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cancino\Desktop\Art. 14.15 Agosto\"/>
    </mc:Choice>
  </mc:AlternateContent>
  <xr:revisionPtr revIDLastSave="0" documentId="8_{7D82396D-5E18-40CF-9F5E-DD54D8086A4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5.05.03.24.03.406 PTRAC" sheetId="3" r:id="rId1"/>
    <sheet name="05.05.03.33.03.005 - PMU" sheetId="1" r:id="rId2"/>
    <sheet name="05.05.03.33.03.006 PMB" sheetId="2" r:id="rId3"/>
    <sheet name="05.05.03.33.03.100 FRC" sheetId="4" r:id="rId4"/>
    <sheet name="05.05.03.33.03.111 PRBIPE" sheetId="5" r:id="rId5"/>
    <sheet name="05.05.03.33.03.112 PREAVS" sheetId="7" r:id="rId6"/>
    <sheet name="05.05.03.32.04.002 PRÉSTAMOS" sheetId="6" r:id="rId7"/>
  </sheets>
  <definedNames>
    <definedName name="_xlnm.Print_Area" localSheetId="0">'05.05.03.24.03.406 PTRAC'!$A$1:$W$1028</definedName>
    <definedName name="_xlnm.Print_Area" localSheetId="6">'05.05.03.32.04.002 PRÉSTAMOS'!$A$1:$V$61</definedName>
    <definedName name="_xlnm.Print_Area" localSheetId="1">'05.05.03.33.03.005 - PMU'!$A$1:$W$1027</definedName>
    <definedName name="_xlnm.Print_Area" localSheetId="2">'05.05.03.33.03.006 PMB'!$A$1:$W$1029</definedName>
    <definedName name="_xlnm.Print_Area" localSheetId="3">'05.05.03.33.03.100 FRC'!$A$1:$V$29</definedName>
    <definedName name="_xlnm.Print_Area" localSheetId="4">'05.05.03.33.03.111 PRBIPE'!$A$1:$V$1028</definedName>
    <definedName name="_xlnm.Print_Area" localSheetId="5">'05.05.03.33.03.112 PREAVS'!$A$1:$V$49</definedName>
    <definedName name="arrastre" localSheetId="0">#REF!</definedName>
    <definedName name="arrastre" localSheetId="6">#REF!</definedName>
    <definedName name="arrastre" localSheetId="1">#REF!</definedName>
    <definedName name="arrastre" localSheetId="2">#REF!</definedName>
    <definedName name="arrastre" localSheetId="3">#REF!</definedName>
    <definedName name="arrastre" localSheetId="5">#REF!</definedName>
    <definedName name="arrastre">#REF!</definedName>
    <definedName name="pmu" localSheetId="0">#REF!</definedName>
    <definedName name="pmu" localSheetId="6">#REF!</definedName>
    <definedName name="pmu" localSheetId="1">#REF!</definedName>
    <definedName name="pmu" localSheetId="2">#REF!</definedName>
    <definedName name="pmu" localSheetId="3">#REF!</definedName>
    <definedName name="pmu" localSheetId="5">#REF!</definedName>
    <definedName name="pm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4" l="1"/>
  <c r="L25" i="4"/>
  <c r="M25" i="4"/>
  <c r="N25" i="4"/>
  <c r="O25" i="4"/>
  <c r="P25" i="4"/>
  <c r="Q25" i="4"/>
  <c r="R25" i="4"/>
  <c r="S25" i="4"/>
  <c r="T25" i="4"/>
  <c r="U25" i="4"/>
  <c r="V25" i="4"/>
  <c r="J25" i="4"/>
  <c r="H25" i="4"/>
  <c r="B25" i="4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X23" i="7"/>
  <c r="B23" i="7" s="1"/>
  <c r="V23" i="7"/>
  <c r="Q23" i="7"/>
  <c r="H23" i="7"/>
  <c r="G23" i="7"/>
  <c r="F23" i="7"/>
  <c r="E23" i="7"/>
  <c r="D23" i="7"/>
  <c r="C23" i="7"/>
  <c r="A23" i="7"/>
  <c r="X22" i="7"/>
  <c r="B22" i="7" s="1"/>
  <c r="V22" i="7"/>
  <c r="U22" i="7"/>
  <c r="U45" i="7" s="1"/>
  <c r="T22" i="7"/>
  <c r="T45" i="7" s="1"/>
  <c r="S22" i="7"/>
  <c r="S45" i="7" s="1"/>
  <c r="R22" i="7"/>
  <c r="R45" i="7" s="1"/>
  <c r="Q22" i="7"/>
  <c r="P22" i="7"/>
  <c r="P45" i="7" s="1"/>
  <c r="O22" i="7"/>
  <c r="O45" i="7" s="1"/>
  <c r="N22" i="7"/>
  <c r="N45" i="7" s="1"/>
  <c r="M22" i="7"/>
  <c r="M45" i="7" s="1"/>
  <c r="L22" i="7"/>
  <c r="L45" i="7" s="1"/>
  <c r="K22" i="7"/>
  <c r="K45" i="7" s="1"/>
  <c r="J22" i="7"/>
  <c r="J45" i="7" s="1"/>
  <c r="H22" i="7"/>
  <c r="G22" i="7"/>
  <c r="F22" i="7"/>
  <c r="E22" i="7"/>
  <c r="D22" i="7"/>
  <c r="C22" i="7"/>
  <c r="A22" i="7"/>
  <c r="A7" i="7"/>
  <c r="W56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X23" i="6"/>
  <c r="B23" i="6" s="1"/>
  <c r="V23" i="6"/>
  <c r="P23" i="6"/>
  <c r="N23" i="6"/>
  <c r="H23" i="6"/>
  <c r="G23" i="6"/>
  <c r="F23" i="6"/>
  <c r="E23" i="6"/>
  <c r="D23" i="6"/>
  <c r="C23" i="6"/>
  <c r="A23" i="6"/>
  <c r="X22" i="6"/>
  <c r="B22" i="6" s="1"/>
  <c r="V22" i="6"/>
  <c r="U22" i="6"/>
  <c r="U56" i="6" s="1"/>
  <c r="T22" i="6"/>
  <c r="T56" i="6" s="1"/>
  <c r="S22" i="6"/>
  <c r="S56" i="6" s="1"/>
  <c r="R22" i="6"/>
  <c r="R56" i="6" s="1"/>
  <c r="Q22" i="6"/>
  <c r="Q56" i="6" s="1"/>
  <c r="P22" i="6"/>
  <c r="O22" i="6"/>
  <c r="O56" i="6" s="1"/>
  <c r="N22" i="6"/>
  <c r="M22" i="6"/>
  <c r="M56" i="6" s="1"/>
  <c r="L22" i="6"/>
  <c r="L56" i="6" s="1"/>
  <c r="K22" i="6"/>
  <c r="K56" i="6" s="1"/>
  <c r="J22" i="6"/>
  <c r="J56" i="6" s="1"/>
  <c r="H22" i="6"/>
  <c r="G22" i="6"/>
  <c r="F22" i="6"/>
  <c r="E22" i="6"/>
  <c r="D22" i="6"/>
  <c r="C22" i="6"/>
  <c r="A22" i="6"/>
  <c r="A7" i="6"/>
  <c r="W1025" i="5"/>
  <c r="X83" i="5"/>
  <c r="V83" i="5"/>
  <c r="P83" i="5"/>
  <c r="H83" i="5"/>
  <c r="G83" i="5"/>
  <c r="F83" i="5"/>
  <c r="E83" i="5"/>
  <c r="D83" i="5"/>
  <c r="C83" i="5"/>
  <c r="A83" i="5"/>
  <c r="X82" i="5"/>
  <c r="B82" i="5" s="1"/>
  <c r="V82" i="5"/>
  <c r="N82" i="5"/>
  <c r="H82" i="5"/>
  <c r="G82" i="5"/>
  <c r="F82" i="5"/>
  <c r="E82" i="5"/>
  <c r="D82" i="5"/>
  <c r="C82" i="5"/>
  <c r="A82" i="5"/>
  <c r="X81" i="5"/>
  <c r="B81" i="5" s="1"/>
  <c r="V81" i="5"/>
  <c r="H81" i="5"/>
  <c r="G81" i="5"/>
  <c r="F81" i="5"/>
  <c r="E81" i="5"/>
  <c r="D81" i="5"/>
  <c r="C81" i="5"/>
  <c r="A81" i="5"/>
  <c r="X80" i="5"/>
  <c r="B80" i="5" s="1"/>
  <c r="V80" i="5"/>
  <c r="Q80" i="5"/>
  <c r="H80" i="5"/>
  <c r="G80" i="5"/>
  <c r="F80" i="5"/>
  <c r="E80" i="5"/>
  <c r="D80" i="5"/>
  <c r="C80" i="5"/>
  <c r="A80" i="5"/>
  <c r="X79" i="5"/>
  <c r="B79" i="5" s="1"/>
  <c r="V79" i="5"/>
  <c r="Q79" i="5"/>
  <c r="H79" i="5"/>
  <c r="G79" i="5"/>
  <c r="F79" i="5"/>
  <c r="E79" i="5"/>
  <c r="D79" i="5"/>
  <c r="C79" i="5"/>
  <c r="A79" i="5"/>
  <c r="X78" i="5"/>
  <c r="B78" i="5" s="1"/>
  <c r="V78" i="5"/>
  <c r="Q78" i="5"/>
  <c r="H78" i="5"/>
  <c r="G78" i="5"/>
  <c r="F78" i="5"/>
  <c r="E78" i="5"/>
  <c r="D78" i="5"/>
  <c r="C78" i="5"/>
  <c r="A78" i="5"/>
  <c r="X77" i="5"/>
  <c r="B77" i="5" s="1"/>
  <c r="V77" i="5"/>
  <c r="Q77" i="5"/>
  <c r="H77" i="5"/>
  <c r="G77" i="5"/>
  <c r="F77" i="5"/>
  <c r="E77" i="5"/>
  <c r="D77" i="5"/>
  <c r="C77" i="5"/>
  <c r="A77" i="5"/>
  <c r="X76" i="5"/>
  <c r="B76" i="5" s="1"/>
  <c r="V76" i="5"/>
  <c r="H76" i="5"/>
  <c r="G76" i="5"/>
  <c r="F76" i="5"/>
  <c r="E76" i="5"/>
  <c r="D76" i="5"/>
  <c r="C76" i="5"/>
  <c r="A76" i="5"/>
  <c r="X75" i="5"/>
  <c r="B75" i="5" s="1"/>
  <c r="V75" i="5"/>
  <c r="Q75" i="5"/>
  <c r="H75" i="5"/>
  <c r="G75" i="5"/>
  <c r="F75" i="5"/>
  <c r="E75" i="5"/>
  <c r="D75" i="5"/>
  <c r="C75" i="5"/>
  <c r="A75" i="5"/>
  <c r="X74" i="5"/>
  <c r="B74" i="5" s="1"/>
  <c r="V74" i="5"/>
  <c r="Q74" i="5"/>
  <c r="H74" i="5"/>
  <c r="G74" i="5"/>
  <c r="F74" i="5"/>
  <c r="E74" i="5"/>
  <c r="D74" i="5"/>
  <c r="C74" i="5"/>
  <c r="A74" i="5"/>
  <c r="X73" i="5"/>
  <c r="B73" i="5" s="1"/>
  <c r="V73" i="5"/>
  <c r="K73" i="5"/>
  <c r="H73" i="5"/>
  <c r="G73" i="5"/>
  <c r="F73" i="5"/>
  <c r="E73" i="5"/>
  <c r="D73" i="5"/>
  <c r="C73" i="5"/>
  <c r="A73" i="5"/>
  <c r="X72" i="5"/>
  <c r="B72" i="5" s="1"/>
  <c r="V72" i="5"/>
  <c r="O72" i="5"/>
  <c r="H72" i="5"/>
  <c r="G72" i="5"/>
  <c r="F72" i="5"/>
  <c r="E72" i="5"/>
  <c r="D72" i="5"/>
  <c r="C72" i="5"/>
  <c r="A72" i="5"/>
  <c r="X71" i="5"/>
  <c r="B71" i="5" s="1"/>
  <c r="V71" i="5"/>
  <c r="H71" i="5"/>
  <c r="G71" i="5"/>
  <c r="F71" i="5"/>
  <c r="E71" i="5"/>
  <c r="D71" i="5"/>
  <c r="C71" i="5"/>
  <c r="A71" i="5"/>
  <c r="X70" i="5"/>
  <c r="B70" i="5" s="1"/>
  <c r="V70" i="5"/>
  <c r="H70" i="5"/>
  <c r="G70" i="5"/>
  <c r="F70" i="5"/>
  <c r="E70" i="5"/>
  <c r="D70" i="5"/>
  <c r="C70" i="5"/>
  <c r="A70" i="5"/>
  <c r="X69" i="5"/>
  <c r="B69" i="5" s="1"/>
  <c r="V69" i="5"/>
  <c r="H69" i="5"/>
  <c r="G69" i="5"/>
  <c r="F69" i="5"/>
  <c r="E69" i="5"/>
  <c r="D69" i="5"/>
  <c r="C69" i="5"/>
  <c r="A69" i="5"/>
  <c r="X68" i="5"/>
  <c r="B68" i="5" s="1"/>
  <c r="V68" i="5"/>
  <c r="K68" i="5"/>
  <c r="H68" i="5"/>
  <c r="G68" i="5"/>
  <c r="F68" i="5"/>
  <c r="E68" i="5"/>
  <c r="D68" i="5"/>
  <c r="C68" i="5"/>
  <c r="A68" i="5"/>
  <c r="X67" i="5"/>
  <c r="B67" i="5" s="1"/>
  <c r="V67" i="5"/>
  <c r="M67" i="5"/>
  <c r="H67" i="5"/>
  <c r="G67" i="5"/>
  <c r="F67" i="5"/>
  <c r="E67" i="5"/>
  <c r="D67" i="5"/>
  <c r="C67" i="5"/>
  <c r="A67" i="5"/>
  <c r="X66" i="5"/>
  <c r="B66" i="5" s="1"/>
  <c r="V66" i="5"/>
  <c r="H66" i="5"/>
  <c r="G66" i="5"/>
  <c r="F66" i="5"/>
  <c r="E66" i="5"/>
  <c r="D66" i="5"/>
  <c r="C66" i="5"/>
  <c r="A66" i="5"/>
  <c r="X65" i="5"/>
  <c r="B65" i="5" s="1"/>
  <c r="V65" i="5"/>
  <c r="Q65" i="5"/>
  <c r="H65" i="5"/>
  <c r="G65" i="5"/>
  <c r="F65" i="5"/>
  <c r="E65" i="5"/>
  <c r="D65" i="5"/>
  <c r="C65" i="5"/>
  <c r="A65" i="5"/>
  <c r="X64" i="5"/>
  <c r="B64" i="5" s="1"/>
  <c r="V64" i="5"/>
  <c r="N64" i="5"/>
  <c r="H64" i="5"/>
  <c r="G64" i="5"/>
  <c r="F64" i="5"/>
  <c r="E64" i="5"/>
  <c r="D64" i="5"/>
  <c r="C64" i="5"/>
  <c r="A64" i="5"/>
  <c r="X63" i="5"/>
  <c r="B63" i="5" s="1"/>
  <c r="V63" i="5"/>
  <c r="H63" i="5"/>
  <c r="G63" i="5"/>
  <c r="F63" i="5"/>
  <c r="E63" i="5"/>
  <c r="D63" i="5"/>
  <c r="C63" i="5"/>
  <c r="A63" i="5"/>
  <c r="X62" i="5"/>
  <c r="B62" i="5" s="1"/>
  <c r="V62" i="5"/>
  <c r="M62" i="5"/>
  <c r="H62" i="5"/>
  <c r="G62" i="5"/>
  <c r="F62" i="5"/>
  <c r="E62" i="5"/>
  <c r="D62" i="5"/>
  <c r="C62" i="5"/>
  <c r="A62" i="5"/>
  <c r="X61" i="5"/>
  <c r="B61" i="5" s="1"/>
  <c r="V61" i="5"/>
  <c r="H61" i="5"/>
  <c r="G61" i="5"/>
  <c r="F61" i="5"/>
  <c r="E61" i="5"/>
  <c r="D61" i="5"/>
  <c r="C61" i="5"/>
  <c r="A61" i="5"/>
  <c r="X60" i="5"/>
  <c r="B60" i="5" s="1"/>
  <c r="V60" i="5"/>
  <c r="N60" i="5"/>
  <c r="H60" i="5"/>
  <c r="G60" i="5"/>
  <c r="F60" i="5"/>
  <c r="E60" i="5"/>
  <c r="D60" i="5"/>
  <c r="C60" i="5"/>
  <c r="A60" i="5"/>
  <c r="X59" i="5"/>
  <c r="B59" i="5" s="1"/>
  <c r="V59" i="5"/>
  <c r="H59" i="5"/>
  <c r="G59" i="5"/>
  <c r="F59" i="5"/>
  <c r="E59" i="5"/>
  <c r="D59" i="5"/>
  <c r="C59" i="5"/>
  <c r="A59" i="5"/>
  <c r="X58" i="5"/>
  <c r="B58" i="5" s="1"/>
  <c r="V58" i="5"/>
  <c r="H58" i="5"/>
  <c r="G58" i="5"/>
  <c r="F58" i="5"/>
  <c r="E58" i="5"/>
  <c r="D58" i="5"/>
  <c r="C58" i="5"/>
  <c r="A58" i="5"/>
  <c r="X57" i="5"/>
  <c r="B57" i="5" s="1"/>
  <c r="V57" i="5"/>
  <c r="H57" i="5"/>
  <c r="G57" i="5"/>
  <c r="F57" i="5"/>
  <c r="E57" i="5"/>
  <c r="D57" i="5"/>
  <c r="C57" i="5"/>
  <c r="A57" i="5"/>
  <c r="X56" i="5"/>
  <c r="B56" i="5" s="1"/>
  <c r="V56" i="5"/>
  <c r="P56" i="5"/>
  <c r="H56" i="5"/>
  <c r="G56" i="5"/>
  <c r="F56" i="5"/>
  <c r="E56" i="5"/>
  <c r="D56" i="5"/>
  <c r="C56" i="5"/>
  <c r="A56" i="5"/>
  <c r="X55" i="5"/>
  <c r="B55" i="5" s="1"/>
  <c r="V55" i="5"/>
  <c r="Q55" i="5"/>
  <c r="H55" i="5"/>
  <c r="G55" i="5"/>
  <c r="F55" i="5"/>
  <c r="E55" i="5"/>
  <c r="D55" i="5"/>
  <c r="C55" i="5"/>
  <c r="A55" i="5"/>
  <c r="X54" i="5"/>
  <c r="B54" i="5" s="1"/>
  <c r="V54" i="5"/>
  <c r="N54" i="5"/>
  <c r="H54" i="5"/>
  <c r="G54" i="5"/>
  <c r="F54" i="5"/>
  <c r="E54" i="5"/>
  <c r="D54" i="5"/>
  <c r="C54" i="5"/>
  <c r="A54" i="5"/>
  <c r="X53" i="5"/>
  <c r="B53" i="5" s="1"/>
  <c r="V53" i="5"/>
  <c r="N53" i="5"/>
  <c r="H53" i="5"/>
  <c r="G53" i="5"/>
  <c r="F53" i="5"/>
  <c r="E53" i="5"/>
  <c r="D53" i="5"/>
  <c r="C53" i="5"/>
  <c r="A53" i="5"/>
  <c r="X52" i="5"/>
  <c r="B52" i="5" s="1"/>
  <c r="V52" i="5"/>
  <c r="N52" i="5"/>
  <c r="H52" i="5"/>
  <c r="G52" i="5"/>
  <c r="F52" i="5"/>
  <c r="E52" i="5"/>
  <c r="D52" i="5"/>
  <c r="C52" i="5"/>
  <c r="A52" i="5"/>
  <c r="X51" i="5"/>
  <c r="B51" i="5" s="1"/>
  <c r="V51" i="5"/>
  <c r="O51" i="5"/>
  <c r="H51" i="5"/>
  <c r="G51" i="5"/>
  <c r="F51" i="5"/>
  <c r="E51" i="5"/>
  <c r="D51" i="5"/>
  <c r="C51" i="5"/>
  <c r="A51" i="5"/>
  <c r="X50" i="5"/>
  <c r="B50" i="5" s="1"/>
  <c r="V50" i="5"/>
  <c r="M50" i="5"/>
  <c r="H50" i="5"/>
  <c r="G50" i="5"/>
  <c r="F50" i="5"/>
  <c r="E50" i="5"/>
  <c r="D50" i="5"/>
  <c r="C50" i="5"/>
  <c r="A50" i="5"/>
  <c r="X49" i="5"/>
  <c r="B49" i="5" s="1"/>
  <c r="V49" i="5"/>
  <c r="L49" i="5"/>
  <c r="H49" i="5"/>
  <c r="G49" i="5"/>
  <c r="F49" i="5"/>
  <c r="E49" i="5"/>
  <c r="D49" i="5"/>
  <c r="C49" i="5"/>
  <c r="A49" i="5"/>
  <c r="X48" i="5"/>
  <c r="B48" i="5" s="1"/>
  <c r="V48" i="5"/>
  <c r="K48" i="5"/>
  <c r="H48" i="5"/>
  <c r="G48" i="5"/>
  <c r="F48" i="5"/>
  <c r="E48" i="5"/>
  <c r="D48" i="5"/>
  <c r="C48" i="5"/>
  <c r="A48" i="5"/>
  <c r="X47" i="5"/>
  <c r="B47" i="5" s="1"/>
  <c r="V47" i="5"/>
  <c r="H47" i="5"/>
  <c r="G47" i="5"/>
  <c r="F47" i="5"/>
  <c r="E47" i="5"/>
  <c r="D47" i="5"/>
  <c r="C47" i="5"/>
  <c r="A47" i="5"/>
  <c r="X46" i="5"/>
  <c r="B46" i="5" s="1"/>
  <c r="V46" i="5"/>
  <c r="H46" i="5"/>
  <c r="G46" i="5"/>
  <c r="F46" i="5"/>
  <c r="E46" i="5"/>
  <c r="D46" i="5"/>
  <c r="C46" i="5"/>
  <c r="A46" i="5"/>
  <c r="X45" i="5"/>
  <c r="B45" i="5" s="1"/>
  <c r="V45" i="5"/>
  <c r="H45" i="5"/>
  <c r="G45" i="5"/>
  <c r="F45" i="5"/>
  <c r="E45" i="5"/>
  <c r="D45" i="5"/>
  <c r="C45" i="5"/>
  <c r="A45" i="5"/>
  <c r="X44" i="5"/>
  <c r="B44" i="5" s="1"/>
  <c r="V44" i="5"/>
  <c r="H44" i="5"/>
  <c r="G44" i="5"/>
  <c r="F44" i="5"/>
  <c r="E44" i="5"/>
  <c r="D44" i="5"/>
  <c r="C44" i="5"/>
  <c r="A44" i="5"/>
  <c r="X43" i="5"/>
  <c r="B43" i="5" s="1"/>
  <c r="V43" i="5"/>
  <c r="H43" i="5"/>
  <c r="G43" i="5"/>
  <c r="F43" i="5"/>
  <c r="E43" i="5"/>
  <c r="D43" i="5"/>
  <c r="C43" i="5"/>
  <c r="A43" i="5"/>
  <c r="X42" i="5"/>
  <c r="B42" i="5" s="1"/>
  <c r="V42" i="5"/>
  <c r="L42" i="5"/>
  <c r="H42" i="5"/>
  <c r="G42" i="5"/>
  <c r="F42" i="5"/>
  <c r="E42" i="5"/>
  <c r="D42" i="5"/>
  <c r="C42" i="5"/>
  <c r="A42" i="5"/>
  <c r="X41" i="5"/>
  <c r="B41" i="5" s="1"/>
  <c r="V41" i="5"/>
  <c r="N41" i="5"/>
  <c r="H41" i="5"/>
  <c r="G41" i="5"/>
  <c r="F41" i="5"/>
  <c r="E41" i="5"/>
  <c r="D41" i="5"/>
  <c r="C41" i="5"/>
  <c r="A41" i="5"/>
  <c r="X40" i="5"/>
  <c r="B40" i="5" s="1"/>
  <c r="V40" i="5"/>
  <c r="M40" i="5"/>
  <c r="H40" i="5"/>
  <c r="G40" i="5"/>
  <c r="F40" i="5"/>
  <c r="E40" i="5"/>
  <c r="D40" i="5"/>
  <c r="C40" i="5"/>
  <c r="A40" i="5"/>
  <c r="X39" i="5"/>
  <c r="B39" i="5" s="1"/>
  <c r="V39" i="5"/>
  <c r="M39" i="5"/>
  <c r="H39" i="5"/>
  <c r="G39" i="5"/>
  <c r="F39" i="5"/>
  <c r="E39" i="5"/>
  <c r="D39" i="5"/>
  <c r="C39" i="5"/>
  <c r="A39" i="5"/>
  <c r="X38" i="5"/>
  <c r="B38" i="5" s="1"/>
  <c r="V38" i="5"/>
  <c r="O38" i="5"/>
  <c r="H38" i="5"/>
  <c r="G38" i="5"/>
  <c r="F38" i="5"/>
  <c r="E38" i="5"/>
  <c r="D38" i="5"/>
  <c r="C38" i="5"/>
  <c r="A38" i="5"/>
  <c r="X37" i="5"/>
  <c r="B37" i="5" s="1"/>
  <c r="V37" i="5"/>
  <c r="H37" i="5"/>
  <c r="G37" i="5"/>
  <c r="F37" i="5"/>
  <c r="E37" i="5"/>
  <c r="D37" i="5"/>
  <c r="C37" i="5"/>
  <c r="A37" i="5"/>
  <c r="X36" i="5"/>
  <c r="B36" i="5" s="1"/>
  <c r="V36" i="5"/>
  <c r="H36" i="5"/>
  <c r="G36" i="5"/>
  <c r="F36" i="5"/>
  <c r="E36" i="5"/>
  <c r="D36" i="5"/>
  <c r="C36" i="5"/>
  <c r="A36" i="5"/>
  <c r="X35" i="5"/>
  <c r="B35" i="5" s="1"/>
  <c r="V35" i="5"/>
  <c r="N35" i="5"/>
  <c r="H35" i="5"/>
  <c r="G35" i="5"/>
  <c r="F35" i="5"/>
  <c r="E35" i="5"/>
  <c r="D35" i="5"/>
  <c r="C35" i="5"/>
  <c r="A35" i="5"/>
  <c r="X34" i="5"/>
  <c r="B34" i="5" s="1"/>
  <c r="V34" i="5"/>
  <c r="O34" i="5"/>
  <c r="H34" i="5"/>
  <c r="G34" i="5"/>
  <c r="F34" i="5"/>
  <c r="E34" i="5"/>
  <c r="D34" i="5"/>
  <c r="C34" i="5"/>
  <c r="A34" i="5"/>
  <c r="X33" i="5"/>
  <c r="B33" i="5" s="1"/>
  <c r="V33" i="5"/>
  <c r="H33" i="5"/>
  <c r="G33" i="5"/>
  <c r="F33" i="5"/>
  <c r="E33" i="5"/>
  <c r="D33" i="5"/>
  <c r="C33" i="5"/>
  <c r="A33" i="5"/>
  <c r="X32" i="5"/>
  <c r="B32" i="5" s="1"/>
  <c r="V32" i="5"/>
  <c r="L32" i="5"/>
  <c r="H32" i="5"/>
  <c r="G32" i="5"/>
  <c r="F32" i="5"/>
  <c r="E32" i="5"/>
  <c r="D32" i="5"/>
  <c r="C32" i="5"/>
  <c r="A32" i="5"/>
  <c r="X31" i="5"/>
  <c r="B31" i="5" s="1"/>
  <c r="V31" i="5"/>
  <c r="Q31" i="5"/>
  <c r="H31" i="5"/>
  <c r="G31" i="5"/>
  <c r="F31" i="5"/>
  <c r="E31" i="5"/>
  <c r="D31" i="5"/>
  <c r="C31" i="5"/>
  <c r="A31" i="5"/>
  <c r="X30" i="5"/>
  <c r="B30" i="5" s="1"/>
  <c r="V30" i="5"/>
  <c r="P30" i="5"/>
  <c r="H30" i="5"/>
  <c r="G30" i="5"/>
  <c r="F30" i="5"/>
  <c r="E30" i="5"/>
  <c r="D30" i="5"/>
  <c r="C30" i="5"/>
  <c r="A30" i="5"/>
  <c r="X29" i="5"/>
  <c r="B29" i="5" s="1"/>
  <c r="V29" i="5"/>
  <c r="L29" i="5"/>
  <c r="H29" i="5"/>
  <c r="G29" i="5"/>
  <c r="F29" i="5"/>
  <c r="E29" i="5"/>
  <c r="D29" i="5"/>
  <c r="C29" i="5"/>
  <c r="A29" i="5"/>
  <c r="X28" i="5"/>
  <c r="B28" i="5" s="1"/>
  <c r="V28" i="5"/>
  <c r="H28" i="5"/>
  <c r="G28" i="5"/>
  <c r="F28" i="5"/>
  <c r="E28" i="5"/>
  <c r="D28" i="5"/>
  <c r="C28" i="5"/>
  <c r="A28" i="5"/>
  <c r="X27" i="5"/>
  <c r="B27" i="5" s="1"/>
  <c r="V27" i="5"/>
  <c r="L27" i="5"/>
  <c r="H27" i="5"/>
  <c r="G27" i="5"/>
  <c r="F27" i="5"/>
  <c r="E27" i="5"/>
  <c r="D27" i="5"/>
  <c r="C27" i="5"/>
  <c r="A27" i="5"/>
  <c r="X26" i="5"/>
  <c r="B26" i="5" s="1"/>
  <c r="V26" i="5"/>
  <c r="H26" i="5"/>
  <c r="G26" i="5"/>
  <c r="F26" i="5"/>
  <c r="E26" i="5"/>
  <c r="D26" i="5"/>
  <c r="C26" i="5"/>
  <c r="A26" i="5"/>
  <c r="X25" i="5"/>
  <c r="B25" i="5" s="1"/>
  <c r="V25" i="5"/>
  <c r="H25" i="5"/>
  <c r="G25" i="5"/>
  <c r="F25" i="5"/>
  <c r="E25" i="5"/>
  <c r="D25" i="5"/>
  <c r="C25" i="5"/>
  <c r="A25" i="5"/>
  <c r="X24" i="5"/>
  <c r="B24" i="5" s="1"/>
  <c r="V24" i="5"/>
  <c r="H24" i="5"/>
  <c r="G24" i="5"/>
  <c r="F24" i="5"/>
  <c r="E24" i="5"/>
  <c r="D24" i="5"/>
  <c r="C24" i="5"/>
  <c r="A24" i="5"/>
  <c r="X23" i="5"/>
  <c r="B23" i="5" s="1"/>
  <c r="V23" i="5"/>
  <c r="H23" i="5"/>
  <c r="G23" i="5"/>
  <c r="F23" i="5"/>
  <c r="E23" i="5"/>
  <c r="D23" i="5"/>
  <c r="C23" i="5"/>
  <c r="A23" i="5"/>
  <c r="X22" i="5"/>
  <c r="V22" i="5"/>
  <c r="U22" i="5"/>
  <c r="U1025" i="5" s="1"/>
  <c r="T22" i="5"/>
  <c r="T1025" i="5" s="1"/>
  <c r="S22" i="5"/>
  <c r="S1025" i="5" s="1"/>
  <c r="R22" i="5"/>
  <c r="R1025" i="5" s="1"/>
  <c r="Q22" i="5"/>
  <c r="P22" i="5"/>
  <c r="O22" i="5"/>
  <c r="N22" i="5"/>
  <c r="M22" i="5"/>
  <c r="L22" i="5"/>
  <c r="K22" i="5"/>
  <c r="J22" i="5"/>
  <c r="J1025" i="5" s="1"/>
  <c r="H22" i="5"/>
  <c r="G22" i="5"/>
  <c r="F22" i="5"/>
  <c r="E22" i="5"/>
  <c r="D22" i="5"/>
  <c r="C22" i="5"/>
  <c r="B22" i="5"/>
  <c r="A22" i="5"/>
  <c r="A7" i="5"/>
  <c r="A7" i="4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X95" i="3"/>
  <c r="B95" i="3" s="1"/>
  <c r="W95" i="3"/>
  <c r="R95" i="3"/>
  <c r="I95" i="3"/>
  <c r="H95" i="3"/>
  <c r="G95" i="3"/>
  <c r="F95" i="3"/>
  <c r="E95" i="3"/>
  <c r="D95" i="3"/>
  <c r="C95" i="3"/>
  <c r="A95" i="3"/>
  <c r="X94" i="3"/>
  <c r="B94" i="3" s="1"/>
  <c r="W94" i="3"/>
  <c r="R94" i="3"/>
  <c r="I94" i="3"/>
  <c r="H94" i="3"/>
  <c r="G94" i="3"/>
  <c r="F94" i="3"/>
  <c r="E94" i="3"/>
  <c r="D94" i="3"/>
  <c r="C94" i="3"/>
  <c r="A94" i="3"/>
  <c r="X93" i="3"/>
  <c r="B93" i="3" s="1"/>
  <c r="W93" i="3"/>
  <c r="R93" i="3"/>
  <c r="I93" i="3"/>
  <c r="H93" i="3"/>
  <c r="G93" i="3"/>
  <c r="F93" i="3"/>
  <c r="E93" i="3"/>
  <c r="D93" i="3"/>
  <c r="C93" i="3"/>
  <c r="A93" i="3"/>
  <c r="X92" i="3"/>
  <c r="B92" i="3" s="1"/>
  <c r="W92" i="3"/>
  <c r="R92" i="3"/>
  <c r="I92" i="3"/>
  <c r="H92" i="3"/>
  <c r="G92" i="3"/>
  <c r="F92" i="3"/>
  <c r="E92" i="3"/>
  <c r="D92" i="3"/>
  <c r="C92" i="3"/>
  <c r="A92" i="3"/>
  <c r="X91" i="3"/>
  <c r="B91" i="3" s="1"/>
  <c r="W91" i="3"/>
  <c r="R91" i="3"/>
  <c r="I91" i="3"/>
  <c r="H91" i="3"/>
  <c r="G91" i="3"/>
  <c r="F91" i="3"/>
  <c r="E91" i="3"/>
  <c r="D91" i="3"/>
  <c r="C91" i="3"/>
  <c r="A91" i="3"/>
  <c r="X90" i="3"/>
  <c r="B90" i="3" s="1"/>
  <c r="W90" i="3"/>
  <c r="R90" i="3"/>
  <c r="I90" i="3"/>
  <c r="H90" i="3"/>
  <c r="G90" i="3"/>
  <c r="F90" i="3"/>
  <c r="E90" i="3"/>
  <c r="D90" i="3"/>
  <c r="C90" i="3"/>
  <c r="A90" i="3"/>
  <c r="X89" i="3"/>
  <c r="B89" i="3" s="1"/>
  <c r="W89" i="3"/>
  <c r="R89" i="3"/>
  <c r="I89" i="3"/>
  <c r="H89" i="3"/>
  <c r="G89" i="3"/>
  <c r="F89" i="3"/>
  <c r="E89" i="3"/>
  <c r="D89" i="3"/>
  <c r="C89" i="3"/>
  <c r="A89" i="3"/>
  <c r="X88" i="3"/>
  <c r="B88" i="3" s="1"/>
  <c r="W88" i="3"/>
  <c r="R88" i="3"/>
  <c r="I88" i="3"/>
  <c r="H88" i="3"/>
  <c r="G88" i="3"/>
  <c r="F88" i="3"/>
  <c r="E88" i="3"/>
  <c r="D88" i="3"/>
  <c r="C88" i="3"/>
  <c r="A88" i="3"/>
  <c r="X87" i="3"/>
  <c r="B87" i="3" s="1"/>
  <c r="W87" i="3"/>
  <c r="Q87" i="3"/>
  <c r="I87" i="3"/>
  <c r="H87" i="3"/>
  <c r="G87" i="3"/>
  <c r="F87" i="3"/>
  <c r="E87" i="3"/>
  <c r="D87" i="3"/>
  <c r="C87" i="3"/>
  <c r="A87" i="3"/>
  <c r="X86" i="3"/>
  <c r="B86" i="3" s="1"/>
  <c r="W86" i="3"/>
  <c r="Q86" i="3"/>
  <c r="I86" i="3"/>
  <c r="H86" i="3"/>
  <c r="G86" i="3"/>
  <c r="F86" i="3"/>
  <c r="E86" i="3"/>
  <c r="D86" i="3"/>
  <c r="C86" i="3"/>
  <c r="A86" i="3"/>
  <c r="X85" i="3"/>
  <c r="B85" i="3" s="1"/>
  <c r="W85" i="3"/>
  <c r="Q85" i="3"/>
  <c r="I85" i="3"/>
  <c r="H85" i="3"/>
  <c r="G85" i="3"/>
  <c r="F85" i="3"/>
  <c r="E85" i="3"/>
  <c r="D85" i="3"/>
  <c r="C85" i="3"/>
  <c r="A85" i="3"/>
  <c r="X84" i="3"/>
  <c r="B84" i="3" s="1"/>
  <c r="W84" i="3"/>
  <c r="Q84" i="3"/>
  <c r="I84" i="3"/>
  <c r="H84" i="3"/>
  <c r="G84" i="3"/>
  <c r="F84" i="3"/>
  <c r="E84" i="3"/>
  <c r="D84" i="3"/>
  <c r="C84" i="3"/>
  <c r="A84" i="3"/>
  <c r="X83" i="3"/>
  <c r="B83" i="3" s="1"/>
  <c r="W83" i="3"/>
  <c r="Q83" i="3"/>
  <c r="I83" i="3"/>
  <c r="H83" i="3"/>
  <c r="G83" i="3"/>
  <c r="F83" i="3"/>
  <c r="E83" i="3"/>
  <c r="D83" i="3"/>
  <c r="C83" i="3"/>
  <c r="A83" i="3"/>
  <c r="X82" i="3"/>
  <c r="B82" i="3" s="1"/>
  <c r="W82" i="3"/>
  <c r="Q82" i="3"/>
  <c r="I82" i="3"/>
  <c r="H82" i="3"/>
  <c r="G82" i="3"/>
  <c r="F82" i="3"/>
  <c r="E82" i="3"/>
  <c r="D82" i="3"/>
  <c r="C82" i="3"/>
  <c r="A82" i="3"/>
  <c r="X81" i="3"/>
  <c r="B81" i="3" s="1"/>
  <c r="W81" i="3"/>
  <c r="Q81" i="3"/>
  <c r="I81" i="3"/>
  <c r="H81" i="3"/>
  <c r="G81" i="3"/>
  <c r="F81" i="3"/>
  <c r="E81" i="3"/>
  <c r="D81" i="3"/>
  <c r="C81" i="3"/>
  <c r="A81" i="3"/>
  <c r="X80" i="3"/>
  <c r="B80" i="3" s="1"/>
  <c r="W80" i="3"/>
  <c r="Q80" i="3"/>
  <c r="I80" i="3"/>
  <c r="H80" i="3"/>
  <c r="G80" i="3"/>
  <c r="F80" i="3"/>
  <c r="E80" i="3"/>
  <c r="D80" i="3"/>
  <c r="C80" i="3"/>
  <c r="A80" i="3"/>
  <c r="X79" i="3"/>
  <c r="B79" i="3" s="1"/>
  <c r="W79" i="3"/>
  <c r="Q79" i="3"/>
  <c r="I79" i="3"/>
  <c r="H79" i="3"/>
  <c r="G79" i="3"/>
  <c r="F79" i="3"/>
  <c r="E79" i="3"/>
  <c r="D79" i="3"/>
  <c r="C79" i="3"/>
  <c r="A79" i="3"/>
  <c r="X78" i="3"/>
  <c r="B78" i="3" s="1"/>
  <c r="W78" i="3"/>
  <c r="Q78" i="3"/>
  <c r="I78" i="3"/>
  <c r="H78" i="3"/>
  <c r="G78" i="3"/>
  <c r="F78" i="3"/>
  <c r="E78" i="3"/>
  <c r="D78" i="3"/>
  <c r="C78" i="3"/>
  <c r="A78" i="3"/>
  <c r="X77" i="3"/>
  <c r="B77" i="3" s="1"/>
  <c r="W77" i="3"/>
  <c r="Q77" i="3"/>
  <c r="I77" i="3"/>
  <c r="H77" i="3"/>
  <c r="G77" i="3"/>
  <c r="F77" i="3"/>
  <c r="E77" i="3"/>
  <c r="D77" i="3"/>
  <c r="C77" i="3"/>
  <c r="A77" i="3"/>
  <c r="X76" i="3"/>
  <c r="B76" i="3" s="1"/>
  <c r="W76" i="3"/>
  <c r="Q76" i="3"/>
  <c r="I76" i="3"/>
  <c r="H76" i="3"/>
  <c r="G76" i="3"/>
  <c r="F76" i="3"/>
  <c r="E76" i="3"/>
  <c r="D76" i="3"/>
  <c r="C76" i="3"/>
  <c r="A76" i="3"/>
  <c r="X75" i="3"/>
  <c r="B75" i="3" s="1"/>
  <c r="W75" i="3"/>
  <c r="Q75" i="3"/>
  <c r="I75" i="3"/>
  <c r="H75" i="3"/>
  <c r="G75" i="3"/>
  <c r="F75" i="3"/>
  <c r="E75" i="3"/>
  <c r="D75" i="3"/>
  <c r="C75" i="3"/>
  <c r="A75" i="3"/>
  <c r="X74" i="3"/>
  <c r="B74" i="3" s="1"/>
  <c r="W74" i="3"/>
  <c r="Q74" i="3"/>
  <c r="I74" i="3"/>
  <c r="H74" i="3"/>
  <c r="G74" i="3"/>
  <c r="F74" i="3"/>
  <c r="E74" i="3"/>
  <c r="D74" i="3"/>
  <c r="C74" i="3"/>
  <c r="A74" i="3"/>
  <c r="X73" i="3"/>
  <c r="B73" i="3" s="1"/>
  <c r="W73" i="3"/>
  <c r="Q73" i="3"/>
  <c r="I73" i="3"/>
  <c r="H73" i="3"/>
  <c r="G73" i="3"/>
  <c r="F73" i="3"/>
  <c r="E73" i="3"/>
  <c r="D73" i="3"/>
  <c r="C73" i="3"/>
  <c r="A73" i="3"/>
  <c r="X72" i="3"/>
  <c r="B72" i="3" s="1"/>
  <c r="W72" i="3"/>
  <c r="Q72" i="3"/>
  <c r="I72" i="3"/>
  <c r="H72" i="3"/>
  <c r="G72" i="3"/>
  <c r="F72" i="3"/>
  <c r="E72" i="3"/>
  <c r="D72" i="3"/>
  <c r="C72" i="3"/>
  <c r="A72" i="3"/>
  <c r="X71" i="3"/>
  <c r="B71" i="3" s="1"/>
  <c r="W71" i="3"/>
  <c r="Q71" i="3"/>
  <c r="I71" i="3"/>
  <c r="H71" i="3"/>
  <c r="G71" i="3"/>
  <c r="F71" i="3"/>
  <c r="E71" i="3"/>
  <c r="D71" i="3"/>
  <c r="C71" i="3"/>
  <c r="A71" i="3"/>
  <c r="X70" i="3"/>
  <c r="B70" i="3" s="1"/>
  <c r="W70" i="3"/>
  <c r="Q70" i="3"/>
  <c r="I70" i="3"/>
  <c r="H70" i="3"/>
  <c r="G70" i="3"/>
  <c r="F70" i="3"/>
  <c r="E70" i="3"/>
  <c r="D70" i="3"/>
  <c r="C70" i="3"/>
  <c r="A70" i="3"/>
  <c r="X69" i="3"/>
  <c r="B69" i="3" s="1"/>
  <c r="W69" i="3"/>
  <c r="Q69" i="3"/>
  <c r="I69" i="3"/>
  <c r="H69" i="3"/>
  <c r="G69" i="3"/>
  <c r="F69" i="3"/>
  <c r="E69" i="3"/>
  <c r="D69" i="3"/>
  <c r="C69" i="3"/>
  <c r="A69" i="3"/>
  <c r="X68" i="3"/>
  <c r="B68" i="3" s="1"/>
  <c r="W68" i="3"/>
  <c r="Q68" i="3"/>
  <c r="I68" i="3"/>
  <c r="H68" i="3"/>
  <c r="G68" i="3"/>
  <c r="F68" i="3"/>
  <c r="E68" i="3"/>
  <c r="D68" i="3"/>
  <c r="C68" i="3"/>
  <c r="A68" i="3"/>
  <c r="X67" i="3"/>
  <c r="B67" i="3" s="1"/>
  <c r="W67" i="3"/>
  <c r="Q67" i="3"/>
  <c r="I67" i="3"/>
  <c r="H67" i="3"/>
  <c r="G67" i="3"/>
  <c r="F67" i="3"/>
  <c r="E67" i="3"/>
  <c r="D67" i="3"/>
  <c r="C67" i="3"/>
  <c r="A67" i="3"/>
  <c r="X66" i="3"/>
  <c r="B66" i="3" s="1"/>
  <c r="W66" i="3"/>
  <c r="Q66" i="3"/>
  <c r="I66" i="3"/>
  <c r="H66" i="3"/>
  <c r="G66" i="3"/>
  <c r="F66" i="3"/>
  <c r="E66" i="3"/>
  <c r="D66" i="3"/>
  <c r="C66" i="3"/>
  <c r="A66" i="3"/>
  <c r="X65" i="3"/>
  <c r="B65" i="3" s="1"/>
  <c r="W65" i="3"/>
  <c r="Q65" i="3"/>
  <c r="I65" i="3"/>
  <c r="H65" i="3"/>
  <c r="G65" i="3"/>
  <c r="F65" i="3"/>
  <c r="E65" i="3"/>
  <c r="D65" i="3"/>
  <c r="C65" i="3"/>
  <c r="A65" i="3"/>
  <c r="X64" i="3"/>
  <c r="B64" i="3" s="1"/>
  <c r="W64" i="3"/>
  <c r="Q64" i="3"/>
  <c r="I64" i="3"/>
  <c r="H64" i="3"/>
  <c r="G64" i="3"/>
  <c r="F64" i="3"/>
  <c r="E64" i="3"/>
  <c r="D64" i="3"/>
  <c r="C64" i="3"/>
  <c r="A64" i="3"/>
  <c r="X63" i="3"/>
  <c r="B63" i="3" s="1"/>
  <c r="W63" i="3"/>
  <c r="Q63" i="3"/>
  <c r="I63" i="3"/>
  <c r="H63" i="3"/>
  <c r="G63" i="3"/>
  <c r="F63" i="3"/>
  <c r="E63" i="3"/>
  <c r="D63" i="3"/>
  <c r="C63" i="3"/>
  <c r="A63" i="3"/>
  <c r="X62" i="3"/>
  <c r="B62" i="3" s="1"/>
  <c r="W62" i="3"/>
  <c r="Q62" i="3"/>
  <c r="I62" i="3"/>
  <c r="H62" i="3"/>
  <c r="G62" i="3"/>
  <c r="F62" i="3"/>
  <c r="E62" i="3"/>
  <c r="D62" i="3"/>
  <c r="C62" i="3"/>
  <c r="A62" i="3"/>
  <c r="X61" i="3"/>
  <c r="B61" i="3" s="1"/>
  <c r="W61" i="3"/>
  <c r="Q61" i="3"/>
  <c r="I61" i="3"/>
  <c r="H61" i="3"/>
  <c r="G61" i="3"/>
  <c r="F61" i="3"/>
  <c r="E61" i="3"/>
  <c r="D61" i="3"/>
  <c r="C61" i="3"/>
  <c r="A61" i="3"/>
  <c r="X60" i="3"/>
  <c r="B60" i="3" s="1"/>
  <c r="W60" i="3"/>
  <c r="P60" i="3"/>
  <c r="I60" i="3"/>
  <c r="H60" i="3"/>
  <c r="G60" i="3"/>
  <c r="F60" i="3"/>
  <c r="E60" i="3"/>
  <c r="D60" i="3"/>
  <c r="C60" i="3"/>
  <c r="A60" i="3"/>
  <c r="X59" i="3"/>
  <c r="B59" i="3" s="1"/>
  <c r="W59" i="3"/>
  <c r="P59" i="3"/>
  <c r="I59" i="3"/>
  <c r="H59" i="3"/>
  <c r="G59" i="3"/>
  <c r="F59" i="3"/>
  <c r="E59" i="3"/>
  <c r="D59" i="3"/>
  <c r="C59" i="3"/>
  <c r="A59" i="3"/>
  <c r="X58" i="3"/>
  <c r="B58" i="3" s="1"/>
  <c r="W58" i="3"/>
  <c r="P58" i="3"/>
  <c r="I58" i="3"/>
  <c r="H58" i="3"/>
  <c r="G58" i="3"/>
  <c r="F58" i="3"/>
  <c r="E58" i="3"/>
  <c r="D58" i="3"/>
  <c r="C58" i="3"/>
  <c r="A58" i="3"/>
  <c r="X57" i="3"/>
  <c r="B57" i="3" s="1"/>
  <c r="W57" i="3"/>
  <c r="O57" i="3"/>
  <c r="I57" i="3"/>
  <c r="H57" i="3"/>
  <c r="G57" i="3"/>
  <c r="F57" i="3"/>
  <c r="E57" i="3"/>
  <c r="D57" i="3"/>
  <c r="C57" i="3"/>
  <c r="A57" i="3"/>
  <c r="X56" i="3"/>
  <c r="B56" i="3" s="1"/>
  <c r="W56" i="3"/>
  <c r="O56" i="3"/>
  <c r="I56" i="3"/>
  <c r="H56" i="3"/>
  <c r="G56" i="3"/>
  <c r="F56" i="3"/>
  <c r="E56" i="3"/>
  <c r="D56" i="3"/>
  <c r="C56" i="3"/>
  <c r="A56" i="3"/>
  <c r="X55" i="3"/>
  <c r="B55" i="3" s="1"/>
  <c r="W55" i="3"/>
  <c r="O55" i="3"/>
  <c r="I55" i="3"/>
  <c r="H55" i="3"/>
  <c r="G55" i="3"/>
  <c r="F55" i="3"/>
  <c r="E55" i="3"/>
  <c r="D55" i="3"/>
  <c r="C55" i="3"/>
  <c r="A55" i="3"/>
  <c r="X54" i="3"/>
  <c r="B54" i="3" s="1"/>
  <c r="W54" i="3"/>
  <c r="O54" i="3"/>
  <c r="I54" i="3"/>
  <c r="H54" i="3"/>
  <c r="G54" i="3"/>
  <c r="F54" i="3"/>
  <c r="E54" i="3"/>
  <c r="D54" i="3"/>
  <c r="C54" i="3"/>
  <c r="A54" i="3"/>
  <c r="X53" i="3"/>
  <c r="B53" i="3" s="1"/>
  <c r="W53" i="3"/>
  <c r="O53" i="3"/>
  <c r="I53" i="3"/>
  <c r="H53" i="3"/>
  <c r="G53" i="3"/>
  <c r="F53" i="3"/>
  <c r="E53" i="3"/>
  <c r="D53" i="3"/>
  <c r="C53" i="3"/>
  <c r="A53" i="3"/>
  <c r="X52" i="3"/>
  <c r="B52" i="3" s="1"/>
  <c r="W52" i="3"/>
  <c r="O52" i="3"/>
  <c r="I52" i="3"/>
  <c r="H52" i="3"/>
  <c r="G52" i="3"/>
  <c r="F52" i="3"/>
  <c r="E52" i="3"/>
  <c r="D52" i="3"/>
  <c r="C52" i="3"/>
  <c r="A52" i="3"/>
  <c r="X51" i="3"/>
  <c r="B51" i="3" s="1"/>
  <c r="W51" i="3"/>
  <c r="O51" i="3"/>
  <c r="I51" i="3"/>
  <c r="H51" i="3"/>
  <c r="G51" i="3"/>
  <c r="F51" i="3"/>
  <c r="E51" i="3"/>
  <c r="D51" i="3"/>
  <c r="C51" i="3"/>
  <c r="A51" i="3"/>
  <c r="X50" i="3"/>
  <c r="B50" i="3" s="1"/>
  <c r="W50" i="3"/>
  <c r="O50" i="3"/>
  <c r="I50" i="3"/>
  <c r="H50" i="3"/>
  <c r="G50" i="3"/>
  <c r="F50" i="3"/>
  <c r="E50" i="3"/>
  <c r="D50" i="3"/>
  <c r="C50" i="3"/>
  <c r="A50" i="3"/>
  <c r="X49" i="3"/>
  <c r="B49" i="3" s="1"/>
  <c r="W49" i="3"/>
  <c r="O49" i="3"/>
  <c r="I49" i="3"/>
  <c r="H49" i="3"/>
  <c r="G49" i="3"/>
  <c r="F49" i="3"/>
  <c r="E49" i="3"/>
  <c r="D49" i="3"/>
  <c r="C49" i="3"/>
  <c r="A49" i="3"/>
  <c r="X48" i="3"/>
  <c r="B48" i="3" s="1"/>
  <c r="W48" i="3"/>
  <c r="O48" i="3"/>
  <c r="I48" i="3"/>
  <c r="H48" i="3"/>
  <c r="G48" i="3"/>
  <c r="F48" i="3"/>
  <c r="E48" i="3"/>
  <c r="D48" i="3"/>
  <c r="C48" i="3"/>
  <c r="A48" i="3"/>
  <c r="X47" i="3"/>
  <c r="B47" i="3" s="1"/>
  <c r="W47" i="3"/>
  <c r="O47" i="3"/>
  <c r="I47" i="3"/>
  <c r="H47" i="3"/>
  <c r="G47" i="3"/>
  <c r="F47" i="3"/>
  <c r="E47" i="3"/>
  <c r="D47" i="3"/>
  <c r="C47" i="3"/>
  <c r="A47" i="3"/>
  <c r="X46" i="3"/>
  <c r="B46" i="3" s="1"/>
  <c r="W46" i="3"/>
  <c r="O46" i="3"/>
  <c r="I46" i="3"/>
  <c r="H46" i="3"/>
  <c r="G46" i="3"/>
  <c r="F46" i="3"/>
  <c r="E46" i="3"/>
  <c r="D46" i="3"/>
  <c r="C46" i="3"/>
  <c r="A46" i="3"/>
  <c r="X45" i="3"/>
  <c r="B45" i="3" s="1"/>
  <c r="W45" i="3"/>
  <c r="O45" i="3"/>
  <c r="I45" i="3"/>
  <c r="H45" i="3"/>
  <c r="G45" i="3"/>
  <c r="F45" i="3"/>
  <c r="E45" i="3"/>
  <c r="D45" i="3"/>
  <c r="C45" i="3"/>
  <c r="A45" i="3"/>
  <c r="X44" i="3"/>
  <c r="B44" i="3" s="1"/>
  <c r="W44" i="3"/>
  <c r="O44" i="3"/>
  <c r="I44" i="3"/>
  <c r="H44" i="3"/>
  <c r="G44" i="3"/>
  <c r="F44" i="3"/>
  <c r="E44" i="3"/>
  <c r="D44" i="3"/>
  <c r="C44" i="3"/>
  <c r="A44" i="3"/>
  <c r="X43" i="3"/>
  <c r="B43" i="3" s="1"/>
  <c r="W43" i="3"/>
  <c r="O43" i="3"/>
  <c r="I43" i="3"/>
  <c r="H43" i="3"/>
  <c r="G43" i="3"/>
  <c r="F43" i="3"/>
  <c r="E43" i="3"/>
  <c r="D43" i="3"/>
  <c r="C43" i="3"/>
  <c r="A43" i="3"/>
  <c r="X42" i="3"/>
  <c r="B42" i="3" s="1"/>
  <c r="W42" i="3"/>
  <c r="O42" i="3"/>
  <c r="I42" i="3"/>
  <c r="H42" i="3"/>
  <c r="G42" i="3"/>
  <c r="F42" i="3"/>
  <c r="E42" i="3"/>
  <c r="D42" i="3"/>
  <c r="C42" i="3"/>
  <c r="A42" i="3"/>
  <c r="X41" i="3"/>
  <c r="B41" i="3" s="1"/>
  <c r="W41" i="3"/>
  <c r="O41" i="3"/>
  <c r="I41" i="3"/>
  <c r="H41" i="3"/>
  <c r="G41" i="3"/>
  <c r="F41" i="3"/>
  <c r="E41" i="3"/>
  <c r="D41" i="3"/>
  <c r="C41" i="3"/>
  <c r="A41" i="3"/>
  <c r="X40" i="3"/>
  <c r="B40" i="3" s="1"/>
  <c r="W40" i="3"/>
  <c r="O40" i="3"/>
  <c r="I40" i="3"/>
  <c r="H40" i="3"/>
  <c r="G40" i="3"/>
  <c r="F40" i="3"/>
  <c r="E40" i="3"/>
  <c r="D40" i="3"/>
  <c r="C40" i="3"/>
  <c r="A40" i="3"/>
  <c r="X39" i="3"/>
  <c r="B39" i="3" s="1"/>
  <c r="W39" i="3"/>
  <c r="O39" i="3"/>
  <c r="I39" i="3"/>
  <c r="H39" i="3"/>
  <c r="G39" i="3"/>
  <c r="F39" i="3"/>
  <c r="E39" i="3"/>
  <c r="D39" i="3"/>
  <c r="C39" i="3"/>
  <c r="A39" i="3"/>
  <c r="X38" i="3"/>
  <c r="B38" i="3" s="1"/>
  <c r="W38" i="3"/>
  <c r="O38" i="3"/>
  <c r="I38" i="3"/>
  <c r="H38" i="3"/>
  <c r="G38" i="3"/>
  <c r="F38" i="3"/>
  <c r="E38" i="3"/>
  <c r="D38" i="3"/>
  <c r="C38" i="3"/>
  <c r="A38" i="3"/>
  <c r="X37" i="3"/>
  <c r="B37" i="3" s="1"/>
  <c r="W37" i="3"/>
  <c r="O37" i="3"/>
  <c r="I37" i="3"/>
  <c r="H37" i="3"/>
  <c r="G37" i="3"/>
  <c r="F37" i="3"/>
  <c r="E37" i="3"/>
  <c r="D37" i="3"/>
  <c r="C37" i="3"/>
  <c r="A37" i="3"/>
  <c r="X36" i="3"/>
  <c r="B36" i="3" s="1"/>
  <c r="W36" i="3"/>
  <c r="O36" i="3"/>
  <c r="I36" i="3"/>
  <c r="H36" i="3"/>
  <c r="G36" i="3"/>
  <c r="F36" i="3"/>
  <c r="E36" i="3"/>
  <c r="D36" i="3"/>
  <c r="C36" i="3"/>
  <c r="A36" i="3"/>
  <c r="X35" i="3"/>
  <c r="B35" i="3" s="1"/>
  <c r="W35" i="3"/>
  <c r="O35" i="3"/>
  <c r="I35" i="3"/>
  <c r="H35" i="3"/>
  <c r="G35" i="3"/>
  <c r="F35" i="3"/>
  <c r="E35" i="3"/>
  <c r="D35" i="3"/>
  <c r="C35" i="3"/>
  <c r="A35" i="3"/>
  <c r="X34" i="3"/>
  <c r="B34" i="3" s="1"/>
  <c r="W34" i="3"/>
  <c r="O34" i="3"/>
  <c r="I34" i="3"/>
  <c r="H34" i="3"/>
  <c r="G34" i="3"/>
  <c r="F34" i="3"/>
  <c r="E34" i="3"/>
  <c r="D34" i="3"/>
  <c r="C34" i="3"/>
  <c r="A34" i="3"/>
  <c r="X33" i="3"/>
  <c r="B33" i="3" s="1"/>
  <c r="W33" i="3"/>
  <c r="O33" i="3"/>
  <c r="I33" i="3"/>
  <c r="H33" i="3"/>
  <c r="G33" i="3"/>
  <c r="F33" i="3"/>
  <c r="E33" i="3"/>
  <c r="D33" i="3"/>
  <c r="C33" i="3"/>
  <c r="A33" i="3"/>
  <c r="X32" i="3"/>
  <c r="B32" i="3" s="1"/>
  <c r="W32" i="3"/>
  <c r="O32" i="3"/>
  <c r="I32" i="3"/>
  <c r="H32" i="3"/>
  <c r="G32" i="3"/>
  <c r="F32" i="3"/>
  <c r="E32" i="3"/>
  <c r="D32" i="3"/>
  <c r="C32" i="3"/>
  <c r="A32" i="3"/>
  <c r="X31" i="3"/>
  <c r="B31" i="3" s="1"/>
  <c r="W31" i="3"/>
  <c r="O31" i="3"/>
  <c r="I31" i="3"/>
  <c r="H31" i="3"/>
  <c r="G31" i="3"/>
  <c r="F31" i="3"/>
  <c r="E31" i="3"/>
  <c r="D31" i="3"/>
  <c r="C31" i="3"/>
  <c r="A31" i="3"/>
  <c r="X30" i="3"/>
  <c r="B30" i="3" s="1"/>
  <c r="W30" i="3"/>
  <c r="O30" i="3"/>
  <c r="I30" i="3"/>
  <c r="H30" i="3"/>
  <c r="G30" i="3"/>
  <c r="F30" i="3"/>
  <c r="E30" i="3"/>
  <c r="D30" i="3"/>
  <c r="C30" i="3"/>
  <c r="A30" i="3"/>
  <c r="X29" i="3"/>
  <c r="B29" i="3" s="1"/>
  <c r="W29" i="3"/>
  <c r="O29" i="3"/>
  <c r="I29" i="3"/>
  <c r="H29" i="3"/>
  <c r="G29" i="3"/>
  <c r="F29" i="3"/>
  <c r="E29" i="3"/>
  <c r="D29" i="3"/>
  <c r="C29" i="3"/>
  <c r="A29" i="3"/>
  <c r="X28" i="3"/>
  <c r="B28" i="3" s="1"/>
  <c r="W28" i="3"/>
  <c r="N28" i="3"/>
  <c r="I28" i="3"/>
  <c r="H28" i="3"/>
  <c r="G28" i="3"/>
  <c r="F28" i="3"/>
  <c r="E28" i="3"/>
  <c r="D28" i="3"/>
  <c r="C28" i="3"/>
  <c r="A28" i="3"/>
  <c r="X27" i="3"/>
  <c r="B27" i="3" s="1"/>
  <c r="W27" i="3"/>
  <c r="N27" i="3"/>
  <c r="I27" i="3"/>
  <c r="H27" i="3"/>
  <c r="G27" i="3"/>
  <c r="F27" i="3"/>
  <c r="E27" i="3"/>
  <c r="D27" i="3"/>
  <c r="C27" i="3"/>
  <c r="A27" i="3"/>
  <c r="X26" i="3"/>
  <c r="B26" i="3" s="1"/>
  <c r="W26" i="3"/>
  <c r="M26" i="3"/>
  <c r="I26" i="3"/>
  <c r="H26" i="3"/>
  <c r="G26" i="3"/>
  <c r="F26" i="3"/>
  <c r="E26" i="3"/>
  <c r="D26" i="3"/>
  <c r="C26" i="3"/>
  <c r="A26" i="3"/>
  <c r="X25" i="3"/>
  <c r="B25" i="3" s="1"/>
  <c r="W25" i="3"/>
  <c r="M25" i="3"/>
  <c r="I25" i="3"/>
  <c r="H25" i="3"/>
  <c r="G25" i="3"/>
  <c r="F25" i="3"/>
  <c r="E25" i="3"/>
  <c r="D25" i="3"/>
  <c r="C25" i="3"/>
  <c r="A25" i="3"/>
  <c r="X24" i="3"/>
  <c r="B24" i="3" s="1"/>
  <c r="W24" i="3"/>
  <c r="M24" i="3"/>
  <c r="I24" i="3"/>
  <c r="H24" i="3"/>
  <c r="G24" i="3"/>
  <c r="F24" i="3"/>
  <c r="E24" i="3"/>
  <c r="D24" i="3"/>
  <c r="C24" i="3"/>
  <c r="A24" i="3"/>
  <c r="X23" i="3"/>
  <c r="B23" i="3" s="1"/>
  <c r="W23" i="3"/>
  <c r="V23" i="3"/>
  <c r="V1024" i="3" s="1"/>
  <c r="U23" i="3"/>
  <c r="U1024" i="3" s="1"/>
  <c r="T23" i="3"/>
  <c r="T1024" i="3" s="1"/>
  <c r="S23" i="3"/>
  <c r="S1024" i="3" s="1"/>
  <c r="R23" i="3"/>
  <c r="Q23" i="3"/>
  <c r="P23" i="3"/>
  <c r="O23" i="3"/>
  <c r="N23" i="3"/>
  <c r="M23" i="3"/>
  <c r="L23" i="3"/>
  <c r="L1024" i="3" s="1"/>
  <c r="K23" i="3"/>
  <c r="K1024" i="3" s="1"/>
  <c r="I23" i="3"/>
  <c r="H23" i="3"/>
  <c r="G23" i="3"/>
  <c r="F23" i="3"/>
  <c r="E23" i="3"/>
  <c r="D23" i="3"/>
  <c r="C23" i="3"/>
  <c r="A23" i="3"/>
  <c r="A8" i="3"/>
  <c r="B2001" i="2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X222" i="2"/>
  <c r="B222" i="2" s="1"/>
  <c r="W222" i="2"/>
  <c r="R222" i="2"/>
  <c r="I222" i="2"/>
  <c r="H222" i="2"/>
  <c r="G222" i="2"/>
  <c r="F222" i="2"/>
  <c r="E222" i="2"/>
  <c r="D222" i="2"/>
  <c r="C222" i="2"/>
  <c r="A222" i="2"/>
  <c r="X221" i="2"/>
  <c r="B221" i="2" s="1"/>
  <c r="W221" i="2"/>
  <c r="R221" i="2"/>
  <c r="I221" i="2"/>
  <c r="H221" i="2"/>
  <c r="G221" i="2"/>
  <c r="F221" i="2"/>
  <c r="E221" i="2"/>
  <c r="D221" i="2"/>
  <c r="C221" i="2"/>
  <c r="A221" i="2"/>
  <c r="X220" i="2"/>
  <c r="B220" i="2" s="1"/>
  <c r="W220" i="2"/>
  <c r="R220" i="2"/>
  <c r="I220" i="2"/>
  <c r="H220" i="2"/>
  <c r="G220" i="2"/>
  <c r="F220" i="2"/>
  <c r="E220" i="2"/>
  <c r="D220" i="2"/>
  <c r="C220" i="2"/>
  <c r="A220" i="2"/>
  <c r="X219" i="2"/>
  <c r="B219" i="2" s="1"/>
  <c r="W219" i="2"/>
  <c r="R219" i="2"/>
  <c r="I219" i="2"/>
  <c r="H219" i="2"/>
  <c r="G219" i="2"/>
  <c r="F219" i="2"/>
  <c r="E219" i="2"/>
  <c r="D219" i="2"/>
  <c r="C219" i="2"/>
  <c r="A219" i="2"/>
  <c r="X218" i="2"/>
  <c r="B218" i="2" s="1"/>
  <c r="W218" i="2"/>
  <c r="R218" i="2"/>
  <c r="I218" i="2"/>
  <c r="H218" i="2"/>
  <c r="G218" i="2"/>
  <c r="F218" i="2"/>
  <c r="E218" i="2"/>
  <c r="D218" i="2"/>
  <c r="C218" i="2"/>
  <c r="A218" i="2"/>
  <c r="X217" i="2"/>
  <c r="B217" i="2" s="1"/>
  <c r="W217" i="2"/>
  <c r="R217" i="2"/>
  <c r="I217" i="2"/>
  <c r="H217" i="2"/>
  <c r="G217" i="2"/>
  <c r="F217" i="2"/>
  <c r="E217" i="2"/>
  <c r="D217" i="2"/>
  <c r="C217" i="2"/>
  <c r="A217" i="2"/>
  <c r="X216" i="2"/>
  <c r="B216" i="2" s="1"/>
  <c r="W216" i="2"/>
  <c r="R216" i="2"/>
  <c r="I216" i="2"/>
  <c r="H216" i="2"/>
  <c r="G216" i="2"/>
  <c r="F216" i="2"/>
  <c r="E216" i="2"/>
  <c r="D216" i="2"/>
  <c r="C216" i="2"/>
  <c r="A216" i="2"/>
  <c r="X215" i="2"/>
  <c r="B215" i="2" s="1"/>
  <c r="W215" i="2"/>
  <c r="R215" i="2"/>
  <c r="I215" i="2"/>
  <c r="H215" i="2"/>
  <c r="G215" i="2"/>
  <c r="F215" i="2"/>
  <c r="E215" i="2"/>
  <c r="D215" i="2"/>
  <c r="C215" i="2"/>
  <c r="A215" i="2"/>
  <c r="X214" i="2"/>
  <c r="B214" i="2" s="1"/>
  <c r="W214" i="2"/>
  <c r="R214" i="2"/>
  <c r="I214" i="2"/>
  <c r="H214" i="2"/>
  <c r="G214" i="2"/>
  <c r="F214" i="2"/>
  <c r="E214" i="2"/>
  <c r="D214" i="2"/>
  <c r="C214" i="2"/>
  <c r="A214" i="2"/>
  <c r="X213" i="2"/>
  <c r="B213" i="2" s="1"/>
  <c r="W213" i="2"/>
  <c r="R213" i="2"/>
  <c r="I213" i="2"/>
  <c r="H213" i="2"/>
  <c r="G213" i="2"/>
  <c r="F213" i="2"/>
  <c r="E213" i="2"/>
  <c r="D213" i="2"/>
  <c r="C213" i="2"/>
  <c r="A213" i="2"/>
  <c r="X212" i="2"/>
  <c r="B212" i="2" s="1"/>
  <c r="W212" i="2"/>
  <c r="R212" i="2"/>
  <c r="I212" i="2"/>
  <c r="H212" i="2"/>
  <c r="G212" i="2"/>
  <c r="F212" i="2"/>
  <c r="E212" i="2"/>
  <c r="D212" i="2"/>
  <c r="C212" i="2"/>
  <c r="A212" i="2"/>
  <c r="X211" i="2"/>
  <c r="B211" i="2" s="1"/>
  <c r="W211" i="2"/>
  <c r="R211" i="2"/>
  <c r="I211" i="2"/>
  <c r="H211" i="2"/>
  <c r="G211" i="2"/>
  <c r="F211" i="2"/>
  <c r="E211" i="2"/>
  <c r="D211" i="2"/>
  <c r="C211" i="2"/>
  <c r="A211" i="2"/>
  <c r="X210" i="2"/>
  <c r="B210" i="2" s="1"/>
  <c r="W210" i="2"/>
  <c r="R210" i="2"/>
  <c r="I210" i="2"/>
  <c r="H210" i="2"/>
  <c r="G210" i="2"/>
  <c r="F210" i="2"/>
  <c r="E210" i="2"/>
  <c r="D210" i="2"/>
  <c r="C210" i="2"/>
  <c r="A210" i="2"/>
  <c r="X209" i="2"/>
  <c r="B209" i="2" s="1"/>
  <c r="W209" i="2"/>
  <c r="R209" i="2"/>
  <c r="I209" i="2"/>
  <c r="H209" i="2"/>
  <c r="G209" i="2"/>
  <c r="F209" i="2"/>
  <c r="E209" i="2"/>
  <c r="D209" i="2"/>
  <c r="C209" i="2"/>
  <c r="A209" i="2"/>
  <c r="X208" i="2"/>
  <c r="B208" i="2" s="1"/>
  <c r="W208" i="2"/>
  <c r="R208" i="2"/>
  <c r="I208" i="2"/>
  <c r="H208" i="2"/>
  <c r="G208" i="2"/>
  <c r="F208" i="2"/>
  <c r="E208" i="2"/>
  <c r="D208" i="2"/>
  <c r="C208" i="2"/>
  <c r="A208" i="2"/>
  <c r="X207" i="2"/>
  <c r="B207" i="2" s="1"/>
  <c r="W207" i="2"/>
  <c r="R207" i="2"/>
  <c r="I207" i="2"/>
  <c r="H207" i="2"/>
  <c r="G207" i="2"/>
  <c r="F207" i="2"/>
  <c r="E207" i="2"/>
  <c r="D207" i="2"/>
  <c r="C207" i="2"/>
  <c r="A207" i="2"/>
  <c r="X206" i="2"/>
  <c r="B206" i="2" s="1"/>
  <c r="W206" i="2"/>
  <c r="R206" i="2"/>
  <c r="I206" i="2"/>
  <c r="H206" i="2"/>
  <c r="G206" i="2"/>
  <c r="F206" i="2"/>
  <c r="E206" i="2"/>
  <c r="D206" i="2"/>
  <c r="C206" i="2"/>
  <c r="A206" i="2"/>
  <c r="X205" i="2"/>
  <c r="B205" i="2" s="1"/>
  <c r="W205" i="2"/>
  <c r="R205" i="2"/>
  <c r="I205" i="2"/>
  <c r="H205" i="2"/>
  <c r="G205" i="2"/>
  <c r="F205" i="2"/>
  <c r="E205" i="2"/>
  <c r="D205" i="2"/>
  <c r="C205" i="2"/>
  <c r="A205" i="2"/>
  <c r="X204" i="2"/>
  <c r="B204" i="2" s="1"/>
  <c r="W204" i="2"/>
  <c r="R204" i="2"/>
  <c r="I204" i="2"/>
  <c r="H204" i="2"/>
  <c r="G204" i="2"/>
  <c r="F204" i="2"/>
  <c r="E204" i="2"/>
  <c r="D204" i="2"/>
  <c r="C204" i="2"/>
  <c r="A204" i="2"/>
  <c r="X203" i="2"/>
  <c r="B203" i="2" s="1"/>
  <c r="W203" i="2"/>
  <c r="R203" i="2"/>
  <c r="I203" i="2"/>
  <c r="H203" i="2"/>
  <c r="G203" i="2"/>
  <c r="F203" i="2"/>
  <c r="E203" i="2"/>
  <c r="D203" i="2"/>
  <c r="C203" i="2"/>
  <c r="A203" i="2"/>
  <c r="X202" i="2"/>
  <c r="B202" i="2" s="1"/>
  <c r="W202" i="2"/>
  <c r="R202" i="2"/>
  <c r="I202" i="2"/>
  <c r="H202" i="2"/>
  <c r="G202" i="2"/>
  <c r="F202" i="2"/>
  <c r="E202" i="2"/>
  <c r="D202" i="2"/>
  <c r="C202" i="2"/>
  <c r="A202" i="2"/>
  <c r="X201" i="2"/>
  <c r="B201" i="2" s="1"/>
  <c r="W201" i="2"/>
  <c r="R201" i="2"/>
  <c r="I201" i="2"/>
  <c r="H201" i="2"/>
  <c r="G201" i="2"/>
  <c r="F201" i="2"/>
  <c r="E201" i="2"/>
  <c r="D201" i="2"/>
  <c r="C201" i="2"/>
  <c r="A201" i="2"/>
  <c r="X200" i="2"/>
  <c r="B200" i="2" s="1"/>
  <c r="W200" i="2"/>
  <c r="R200" i="2"/>
  <c r="I200" i="2"/>
  <c r="H200" i="2"/>
  <c r="G200" i="2"/>
  <c r="F200" i="2"/>
  <c r="E200" i="2"/>
  <c r="D200" i="2"/>
  <c r="C200" i="2"/>
  <c r="A200" i="2"/>
  <c r="X199" i="2"/>
  <c r="B199" i="2" s="1"/>
  <c r="W199" i="2"/>
  <c r="R199" i="2"/>
  <c r="I199" i="2"/>
  <c r="H199" i="2"/>
  <c r="G199" i="2"/>
  <c r="F199" i="2"/>
  <c r="E199" i="2"/>
  <c r="D199" i="2"/>
  <c r="C199" i="2"/>
  <c r="A199" i="2"/>
  <c r="X198" i="2"/>
  <c r="B198" i="2" s="1"/>
  <c r="W198" i="2"/>
  <c r="R198" i="2"/>
  <c r="I198" i="2"/>
  <c r="H198" i="2"/>
  <c r="G198" i="2"/>
  <c r="F198" i="2"/>
  <c r="E198" i="2"/>
  <c r="D198" i="2"/>
  <c r="C198" i="2"/>
  <c r="A198" i="2"/>
  <c r="X197" i="2"/>
  <c r="B197" i="2" s="1"/>
  <c r="W197" i="2"/>
  <c r="R197" i="2"/>
  <c r="I197" i="2"/>
  <c r="H197" i="2"/>
  <c r="G197" i="2"/>
  <c r="F197" i="2"/>
  <c r="E197" i="2"/>
  <c r="D197" i="2"/>
  <c r="C197" i="2"/>
  <c r="A197" i="2"/>
  <c r="X196" i="2"/>
  <c r="B196" i="2" s="1"/>
  <c r="W196" i="2"/>
  <c r="R196" i="2"/>
  <c r="I196" i="2"/>
  <c r="H196" i="2"/>
  <c r="G196" i="2"/>
  <c r="F196" i="2"/>
  <c r="E196" i="2"/>
  <c r="D196" i="2"/>
  <c r="C196" i="2"/>
  <c r="A196" i="2"/>
  <c r="X195" i="2"/>
  <c r="B195" i="2" s="1"/>
  <c r="W195" i="2"/>
  <c r="R195" i="2"/>
  <c r="I195" i="2"/>
  <c r="H195" i="2"/>
  <c r="G195" i="2"/>
  <c r="F195" i="2"/>
  <c r="E195" i="2"/>
  <c r="D195" i="2"/>
  <c r="C195" i="2"/>
  <c r="A195" i="2"/>
  <c r="X194" i="2"/>
  <c r="B194" i="2" s="1"/>
  <c r="W194" i="2"/>
  <c r="R194" i="2"/>
  <c r="I194" i="2"/>
  <c r="H194" i="2"/>
  <c r="G194" i="2"/>
  <c r="F194" i="2"/>
  <c r="E194" i="2"/>
  <c r="D194" i="2"/>
  <c r="C194" i="2"/>
  <c r="A194" i="2"/>
  <c r="X193" i="2"/>
  <c r="B193" i="2" s="1"/>
  <c r="W193" i="2"/>
  <c r="R193" i="2"/>
  <c r="I193" i="2"/>
  <c r="H193" i="2"/>
  <c r="G193" i="2"/>
  <c r="F193" i="2"/>
  <c r="E193" i="2"/>
  <c r="D193" i="2"/>
  <c r="C193" i="2"/>
  <c r="A193" i="2"/>
  <c r="X192" i="2"/>
  <c r="B192" i="2" s="1"/>
  <c r="W192" i="2"/>
  <c r="R192" i="2"/>
  <c r="I192" i="2"/>
  <c r="H192" i="2"/>
  <c r="G192" i="2"/>
  <c r="F192" i="2"/>
  <c r="E192" i="2"/>
  <c r="D192" i="2"/>
  <c r="C192" i="2"/>
  <c r="A192" i="2"/>
  <c r="X191" i="2"/>
  <c r="B191" i="2" s="1"/>
  <c r="W191" i="2"/>
  <c r="R191" i="2"/>
  <c r="I191" i="2"/>
  <c r="H191" i="2"/>
  <c r="G191" i="2"/>
  <c r="F191" i="2"/>
  <c r="E191" i="2"/>
  <c r="D191" i="2"/>
  <c r="C191" i="2"/>
  <c r="A191" i="2"/>
  <c r="X190" i="2"/>
  <c r="B190" i="2" s="1"/>
  <c r="W190" i="2"/>
  <c r="R190" i="2"/>
  <c r="I190" i="2"/>
  <c r="H190" i="2"/>
  <c r="G190" i="2"/>
  <c r="F190" i="2"/>
  <c r="E190" i="2"/>
  <c r="D190" i="2"/>
  <c r="C190" i="2"/>
  <c r="A190" i="2"/>
  <c r="X189" i="2"/>
  <c r="B189" i="2" s="1"/>
  <c r="W189" i="2"/>
  <c r="R189" i="2"/>
  <c r="I189" i="2"/>
  <c r="H189" i="2"/>
  <c r="G189" i="2"/>
  <c r="F189" i="2"/>
  <c r="E189" i="2"/>
  <c r="D189" i="2"/>
  <c r="C189" i="2"/>
  <c r="A189" i="2"/>
  <c r="X188" i="2"/>
  <c r="B188" i="2" s="1"/>
  <c r="W188" i="2"/>
  <c r="R188" i="2"/>
  <c r="I188" i="2"/>
  <c r="H188" i="2"/>
  <c r="G188" i="2"/>
  <c r="F188" i="2"/>
  <c r="E188" i="2"/>
  <c r="D188" i="2"/>
  <c r="C188" i="2"/>
  <c r="A188" i="2"/>
  <c r="X187" i="2"/>
  <c r="B187" i="2" s="1"/>
  <c r="W187" i="2"/>
  <c r="R187" i="2"/>
  <c r="I187" i="2"/>
  <c r="H187" i="2"/>
  <c r="G187" i="2"/>
  <c r="F187" i="2"/>
  <c r="E187" i="2"/>
  <c r="D187" i="2"/>
  <c r="C187" i="2"/>
  <c r="A187" i="2"/>
  <c r="X186" i="2"/>
  <c r="B186" i="2" s="1"/>
  <c r="W186" i="2"/>
  <c r="R186" i="2"/>
  <c r="I186" i="2"/>
  <c r="H186" i="2"/>
  <c r="G186" i="2"/>
  <c r="F186" i="2"/>
  <c r="E186" i="2"/>
  <c r="D186" i="2"/>
  <c r="C186" i="2"/>
  <c r="A186" i="2"/>
  <c r="X185" i="2"/>
  <c r="B185" i="2" s="1"/>
  <c r="W185" i="2"/>
  <c r="R185" i="2"/>
  <c r="I185" i="2"/>
  <c r="H185" i="2"/>
  <c r="G185" i="2"/>
  <c r="F185" i="2"/>
  <c r="E185" i="2"/>
  <c r="D185" i="2"/>
  <c r="C185" i="2"/>
  <c r="A185" i="2"/>
  <c r="X184" i="2"/>
  <c r="B184" i="2" s="1"/>
  <c r="W184" i="2"/>
  <c r="R184" i="2"/>
  <c r="I184" i="2"/>
  <c r="H184" i="2"/>
  <c r="G184" i="2"/>
  <c r="F184" i="2"/>
  <c r="E184" i="2"/>
  <c r="D184" i="2"/>
  <c r="C184" i="2"/>
  <c r="A184" i="2"/>
  <c r="X183" i="2"/>
  <c r="B183" i="2" s="1"/>
  <c r="W183" i="2"/>
  <c r="R183" i="2"/>
  <c r="I183" i="2"/>
  <c r="H183" i="2"/>
  <c r="G183" i="2"/>
  <c r="F183" i="2"/>
  <c r="E183" i="2"/>
  <c r="D183" i="2"/>
  <c r="C183" i="2"/>
  <c r="A183" i="2"/>
  <c r="X182" i="2"/>
  <c r="B182" i="2" s="1"/>
  <c r="W182" i="2"/>
  <c r="R182" i="2"/>
  <c r="I182" i="2"/>
  <c r="H182" i="2"/>
  <c r="G182" i="2"/>
  <c r="F182" i="2"/>
  <c r="E182" i="2"/>
  <c r="D182" i="2"/>
  <c r="C182" i="2"/>
  <c r="A182" i="2"/>
  <c r="X181" i="2"/>
  <c r="B181" i="2" s="1"/>
  <c r="W181" i="2"/>
  <c r="R181" i="2"/>
  <c r="I181" i="2"/>
  <c r="H181" i="2"/>
  <c r="G181" i="2"/>
  <c r="F181" i="2"/>
  <c r="E181" i="2"/>
  <c r="D181" i="2"/>
  <c r="C181" i="2"/>
  <c r="A181" i="2"/>
  <c r="X180" i="2"/>
  <c r="B180" i="2" s="1"/>
  <c r="W180" i="2"/>
  <c r="R180" i="2"/>
  <c r="I180" i="2"/>
  <c r="H180" i="2"/>
  <c r="G180" i="2"/>
  <c r="F180" i="2"/>
  <c r="E180" i="2"/>
  <c r="D180" i="2"/>
  <c r="C180" i="2"/>
  <c r="A180" i="2"/>
  <c r="X179" i="2"/>
  <c r="B179" i="2" s="1"/>
  <c r="W179" i="2"/>
  <c r="R179" i="2"/>
  <c r="I179" i="2"/>
  <c r="H179" i="2"/>
  <c r="G179" i="2"/>
  <c r="F179" i="2"/>
  <c r="E179" i="2"/>
  <c r="D179" i="2"/>
  <c r="C179" i="2"/>
  <c r="A179" i="2"/>
  <c r="X178" i="2"/>
  <c r="B178" i="2" s="1"/>
  <c r="W178" i="2"/>
  <c r="Q178" i="2"/>
  <c r="I178" i="2"/>
  <c r="H178" i="2"/>
  <c r="G178" i="2"/>
  <c r="F178" i="2"/>
  <c r="E178" i="2"/>
  <c r="D178" i="2"/>
  <c r="C178" i="2"/>
  <c r="A178" i="2"/>
  <c r="X177" i="2"/>
  <c r="B177" i="2" s="1"/>
  <c r="W177" i="2"/>
  <c r="Q177" i="2"/>
  <c r="I177" i="2"/>
  <c r="H177" i="2"/>
  <c r="G177" i="2"/>
  <c r="F177" i="2"/>
  <c r="E177" i="2"/>
  <c r="D177" i="2"/>
  <c r="C177" i="2"/>
  <c r="A177" i="2"/>
  <c r="X176" i="2"/>
  <c r="B176" i="2" s="1"/>
  <c r="W176" i="2"/>
  <c r="Q176" i="2"/>
  <c r="I176" i="2"/>
  <c r="H176" i="2"/>
  <c r="G176" i="2"/>
  <c r="F176" i="2"/>
  <c r="E176" i="2"/>
  <c r="D176" i="2"/>
  <c r="C176" i="2"/>
  <c r="A176" i="2"/>
  <c r="X175" i="2"/>
  <c r="B175" i="2" s="1"/>
  <c r="W175" i="2"/>
  <c r="Q175" i="2"/>
  <c r="I175" i="2"/>
  <c r="H175" i="2"/>
  <c r="G175" i="2"/>
  <c r="F175" i="2"/>
  <c r="E175" i="2"/>
  <c r="D175" i="2"/>
  <c r="C175" i="2"/>
  <c r="A175" i="2"/>
  <c r="X174" i="2"/>
  <c r="B174" i="2" s="1"/>
  <c r="W174" i="2"/>
  <c r="Q174" i="2"/>
  <c r="I174" i="2"/>
  <c r="H174" i="2"/>
  <c r="G174" i="2"/>
  <c r="F174" i="2"/>
  <c r="E174" i="2"/>
  <c r="D174" i="2"/>
  <c r="C174" i="2"/>
  <c r="A174" i="2"/>
  <c r="X173" i="2"/>
  <c r="B173" i="2" s="1"/>
  <c r="W173" i="2"/>
  <c r="Q173" i="2"/>
  <c r="I173" i="2"/>
  <c r="H173" i="2"/>
  <c r="G173" i="2"/>
  <c r="F173" i="2"/>
  <c r="E173" i="2"/>
  <c r="D173" i="2"/>
  <c r="C173" i="2"/>
  <c r="A173" i="2"/>
  <c r="X172" i="2"/>
  <c r="B172" i="2" s="1"/>
  <c r="W172" i="2"/>
  <c r="Q172" i="2"/>
  <c r="I172" i="2"/>
  <c r="H172" i="2"/>
  <c r="G172" i="2"/>
  <c r="F172" i="2"/>
  <c r="E172" i="2"/>
  <c r="D172" i="2"/>
  <c r="C172" i="2"/>
  <c r="A172" i="2"/>
  <c r="X171" i="2"/>
  <c r="B171" i="2" s="1"/>
  <c r="W171" i="2"/>
  <c r="Q171" i="2"/>
  <c r="I171" i="2"/>
  <c r="H171" i="2"/>
  <c r="G171" i="2"/>
  <c r="F171" i="2"/>
  <c r="E171" i="2"/>
  <c r="D171" i="2"/>
  <c r="C171" i="2"/>
  <c r="A171" i="2"/>
  <c r="X170" i="2"/>
  <c r="B170" i="2" s="1"/>
  <c r="W170" i="2"/>
  <c r="Q170" i="2"/>
  <c r="I170" i="2"/>
  <c r="H170" i="2"/>
  <c r="G170" i="2"/>
  <c r="F170" i="2"/>
  <c r="E170" i="2"/>
  <c r="D170" i="2"/>
  <c r="C170" i="2"/>
  <c r="A170" i="2"/>
  <c r="X169" i="2"/>
  <c r="B169" i="2" s="1"/>
  <c r="W169" i="2"/>
  <c r="Q169" i="2"/>
  <c r="I169" i="2"/>
  <c r="H169" i="2"/>
  <c r="G169" i="2"/>
  <c r="F169" i="2"/>
  <c r="E169" i="2"/>
  <c r="D169" i="2"/>
  <c r="C169" i="2"/>
  <c r="A169" i="2"/>
  <c r="X168" i="2"/>
  <c r="B168" i="2" s="1"/>
  <c r="W168" i="2"/>
  <c r="Q168" i="2"/>
  <c r="I168" i="2"/>
  <c r="H168" i="2"/>
  <c r="G168" i="2"/>
  <c r="F168" i="2"/>
  <c r="E168" i="2"/>
  <c r="D168" i="2"/>
  <c r="C168" i="2"/>
  <c r="A168" i="2"/>
  <c r="X167" i="2"/>
  <c r="B167" i="2" s="1"/>
  <c r="W167" i="2"/>
  <c r="Q167" i="2"/>
  <c r="I167" i="2"/>
  <c r="H167" i="2"/>
  <c r="G167" i="2"/>
  <c r="F167" i="2"/>
  <c r="E167" i="2"/>
  <c r="D167" i="2"/>
  <c r="C167" i="2"/>
  <c r="A167" i="2"/>
  <c r="X166" i="2"/>
  <c r="B166" i="2" s="1"/>
  <c r="W166" i="2"/>
  <c r="Q166" i="2"/>
  <c r="I166" i="2"/>
  <c r="H166" i="2"/>
  <c r="G166" i="2"/>
  <c r="F166" i="2"/>
  <c r="E166" i="2"/>
  <c r="D166" i="2"/>
  <c r="C166" i="2"/>
  <c r="A166" i="2"/>
  <c r="X165" i="2"/>
  <c r="B165" i="2" s="1"/>
  <c r="W165" i="2"/>
  <c r="Q165" i="2"/>
  <c r="I165" i="2"/>
  <c r="H165" i="2"/>
  <c r="G165" i="2"/>
  <c r="F165" i="2"/>
  <c r="E165" i="2"/>
  <c r="D165" i="2"/>
  <c r="C165" i="2"/>
  <c r="A165" i="2"/>
  <c r="X164" i="2"/>
  <c r="B164" i="2" s="1"/>
  <c r="W164" i="2"/>
  <c r="Q164" i="2"/>
  <c r="I164" i="2"/>
  <c r="H164" i="2"/>
  <c r="G164" i="2"/>
  <c r="F164" i="2"/>
  <c r="E164" i="2"/>
  <c r="D164" i="2"/>
  <c r="C164" i="2"/>
  <c r="A164" i="2"/>
  <c r="X163" i="2"/>
  <c r="B163" i="2" s="1"/>
  <c r="W163" i="2"/>
  <c r="Q163" i="2"/>
  <c r="I163" i="2"/>
  <c r="H163" i="2"/>
  <c r="G163" i="2"/>
  <c r="F163" i="2"/>
  <c r="E163" i="2"/>
  <c r="D163" i="2"/>
  <c r="C163" i="2"/>
  <c r="A163" i="2"/>
  <c r="X162" i="2"/>
  <c r="B162" i="2" s="1"/>
  <c r="W162" i="2"/>
  <c r="Q162" i="2"/>
  <c r="I162" i="2"/>
  <c r="H162" i="2"/>
  <c r="G162" i="2"/>
  <c r="F162" i="2"/>
  <c r="E162" i="2"/>
  <c r="D162" i="2"/>
  <c r="C162" i="2"/>
  <c r="A162" i="2"/>
  <c r="X161" i="2"/>
  <c r="B161" i="2" s="1"/>
  <c r="W161" i="2"/>
  <c r="P161" i="2"/>
  <c r="I161" i="2"/>
  <c r="H161" i="2"/>
  <c r="G161" i="2"/>
  <c r="F161" i="2"/>
  <c r="E161" i="2"/>
  <c r="D161" i="2"/>
  <c r="C161" i="2"/>
  <c r="A161" i="2"/>
  <c r="X160" i="2"/>
  <c r="B160" i="2" s="1"/>
  <c r="W160" i="2"/>
  <c r="P160" i="2"/>
  <c r="I160" i="2"/>
  <c r="H160" i="2"/>
  <c r="G160" i="2"/>
  <c r="F160" i="2"/>
  <c r="E160" i="2"/>
  <c r="D160" i="2"/>
  <c r="C160" i="2"/>
  <c r="A160" i="2"/>
  <c r="X159" i="2"/>
  <c r="B159" i="2" s="1"/>
  <c r="W159" i="2"/>
  <c r="P159" i="2"/>
  <c r="I159" i="2"/>
  <c r="H159" i="2"/>
  <c r="G159" i="2"/>
  <c r="F159" i="2"/>
  <c r="E159" i="2"/>
  <c r="D159" i="2"/>
  <c r="C159" i="2"/>
  <c r="A159" i="2"/>
  <c r="X158" i="2"/>
  <c r="B158" i="2" s="1"/>
  <c r="W158" i="2"/>
  <c r="P158" i="2"/>
  <c r="I158" i="2"/>
  <c r="H158" i="2"/>
  <c r="G158" i="2"/>
  <c r="F158" i="2"/>
  <c r="E158" i="2"/>
  <c r="D158" i="2"/>
  <c r="C158" i="2"/>
  <c r="A158" i="2"/>
  <c r="X157" i="2"/>
  <c r="B157" i="2" s="1"/>
  <c r="W157" i="2"/>
  <c r="P157" i="2"/>
  <c r="I157" i="2"/>
  <c r="H157" i="2"/>
  <c r="G157" i="2"/>
  <c r="F157" i="2"/>
  <c r="E157" i="2"/>
  <c r="D157" i="2"/>
  <c r="C157" i="2"/>
  <c r="A157" i="2"/>
  <c r="X156" i="2"/>
  <c r="B156" i="2" s="1"/>
  <c r="W156" i="2"/>
  <c r="P156" i="2"/>
  <c r="I156" i="2"/>
  <c r="H156" i="2"/>
  <c r="G156" i="2"/>
  <c r="F156" i="2"/>
  <c r="E156" i="2"/>
  <c r="D156" i="2"/>
  <c r="C156" i="2"/>
  <c r="A156" i="2"/>
  <c r="X155" i="2"/>
  <c r="B155" i="2" s="1"/>
  <c r="W155" i="2"/>
  <c r="P155" i="2"/>
  <c r="I155" i="2"/>
  <c r="H155" i="2"/>
  <c r="G155" i="2"/>
  <c r="F155" i="2"/>
  <c r="E155" i="2"/>
  <c r="D155" i="2"/>
  <c r="C155" i="2"/>
  <c r="A155" i="2"/>
  <c r="X154" i="2"/>
  <c r="B154" i="2" s="1"/>
  <c r="W154" i="2"/>
  <c r="P154" i="2"/>
  <c r="I154" i="2"/>
  <c r="H154" i="2"/>
  <c r="G154" i="2"/>
  <c r="F154" i="2"/>
  <c r="E154" i="2"/>
  <c r="D154" i="2"/>
  <c r="C154" i="2"/>
  <c r="A154" i="2"/>
  <c r="X153" i="2"/>
  <c r="B153" i="2" s="1"/>
  <c r="W153" i="2"/>
  <c r="P153" i="2"/>
  <c r="I153" i="2"/>
  <c r="H153" i="2"/>
  <c r="G153" i="2"/>
  <c r="F153" i="2"/>
  <c r="E153" i="2"/>
  <c r="D153" i="2"/>
  <c r="C153" i="2"/>
  <c r="A153" i="2"/>
  <c r="X152" i="2"/>
  <c r="B152" i="2" s="1"/>
  <c r="W152" i="2"/>
  <c r="P152" i="2"/>
  <c r="I152" i="2"/>
  <c r="H152" i="2"/>
  <c r="G152" i="2"/>
  <c r="F152" i="2"/>
  <c r="E152" i="2"/>
  <c r="D152" i="2"/>
  <c r="C152" i="2"/>
  <c r="A152" i="2"/>
  <c r="X151" i="2"/>
  <c r="B151" i="2" s="1"/>
  <c r="W151" i="2"/>
  <c r="P151" i="2"/>
  <c r="I151" i="2"/>
  <c r="H151" i="2"/>
  <c r="G151" i="2"/>
  <c r="F151" i="2"/>
  <c r="E151" i="2"/>
  <c r="D151" i="2"/>
  <c r="C151" i="2"/>
  <c r="A151" i="2"/>
  <c r="X150" i="2"/>
  <c r="B150" i="2" s="1"/>
  <c r="W150" i="2"/>
  <c r="P150" i="2"/>
  <c r="I150" i="2"/>
  <c r="H150" i="2"/>
  <c r="G150" i="2"/>
  <c r="F150" i="2"/>
  <c r="E150" i="2"/>
  <c r="D150" i="2"/>
  <c r="C150" i="2"/>
  <c r="A150" i="2"/>
  <c r="X149" i="2"/>
  <c r="B149" i="2" s="1"/>
  <c r="W149" i="2"/>
  <c r="P149" i="2"/>
  <c r="I149" i="2"/>
  <c r="H149" i="2"/>
  <c r="G149" i="2"/>
  <c r="F149" i="2"/>
  <c r="E149" i="2"/>
  <c r="D149" i="2"/>
  <c r="C149" i="2"/>
  <c r="A149" i="2"/>
  <c r="X148" i="2"/>
  <c r="B148" i="2" s="1"/>
  <c r="W148" i="2"/>
  <c r="P148" i="2"/>
  <c r="I148" i="2"/>
  <c r="H148" i="2"/>
  <c r="G148" i="2"/>
  <c r="F148" i="2"/>
  <c r="E148" i="2"/>
  <c r="D148" i="2"/>
  <c r="C148" i="2"/>
  <c r="A148" i="2"/>
  <c r="X147" i="2"/>
  <c r="B147" i="2" s="1"/>
  <c r="W147" i="2"/>
  <c r="P147" i="2"/>
  <c r="I147" i="2"/>
  <c r="H147" i="2"/>
  <c r="G147" i="2"/>
  <c r="F147" i="2"/>
  <c r="E147" i="2"/>
  <c r="D147" i="2"/>
  <c r="C147" i="2"/>
  <c r="A147" i="2"/>
  <c r="X146" i="2"/>
  <c r="B146" i="2" s="1"/>
  <c r="W146" i="2"/>
  <c r="P146" i="2"/>
  <c r="I146" i="2"/>
  <c r="H146" i="2"/>
  <c r="G146" i="2"/>
  <c r="F146" i="2"/>
  <c r="E146" i="2"/>
  <c r="D146" i="2"/>
  <c r="C146" i="2"/>
  <c r="A146" i="2"/>
  <c r="X145" i="2"/>
  <c r="B145" i="2" s="1"/>
  <c r="W145" i="2"/>
  <c r="P145" i="2"/>
  <c r="I145" i="2"/>
  <c r="H145" i="2"/>
  <c r="G145" i="2"/>
  <c r="F145" i="2"/>
  <c r="E145" i="2"/>
  <c r="D145" i="2"/>
  <c r="C145" i="2"/>
  <c r="A145" i="2"/>
  <c r="X144" i="2"/>
  <c r="B144" i="2" s="1"/>
  <c r="W144" i="2"/>
  <c r="P144" i="2"/>
  <c r="I144" i="2"/>
  <c r="H144" i="2"/>
  <c r="G144" i="2"/>
  <c r="F144" i="2"/>
  <c r="E144" i="2"/>
  <c r="D144" i="2"/>
  <c r="C144" i="2"/>
  <c r="A144" i="2"/>
  <c r="X143" i="2"/>
  <c r="B143" i="2" s="1"/>
  <c r="W143" i="2"/>
  <c r="P143" i="2"/>
  <c r="I143" i="2"/>
  <c r="H143" i="2"/>
  <c r="G143" i="2"/>
  <c r="F143" i="2"/>
  <c r="E143" i="2"/>
  <c r="D143" i="2"/>
  <c r="C143" i="2"/>
  <c r="A143" i="2"/>
  <c r="X142" i="2"/>
  <c r="B142" i="2" s="1"/>
  <c r="W142" i="2"/>
  <c r="P142" i="2"/>
  <c r="I142" i="2"/>
  <c r="H142" i="2"/>
  <c r="G142" i="2"/>
  <c r="F142" i="2"/>
  <c r="E142" i="2"/>
  <c r="D142" i="2"/>
  <c r="C142" i="2"/>
  <c r="A142" i="2"/>
  <c r="X141" i="2"/>
  <c r="B141" i="2" s="1"/>
  <c r="W141" i="2"/>
  <c r="P141" i="2"/>
  <c r="I141" i="2"/>
  <c r="H141" i="2"/>
  <c r="G141" i="2"/>
  <c r="F141" i="2"/>
  <c r="E141" i="2"/>
  <c r="D141" i="2"/>
  <c r="C141" i="2"/>
  <c r="A141" i="2"/>
  <c r="X140" i="2"/>
  <c r="B140" i="2" s="1"/>
  <c r="W140" i="2"/>
  <c r="P140" i="2"/>
  <c r="I140" i="2"/>
  <c r="H140" i="2"/>
  <c r="G140" i="2"/>
  <c r="F140" i="2"/>
  <c r="E140" i="2"/>
  <c r="D140" i="2"/>
  <c r="C140" i="2"/>
  <c r="A140" i="2"/>
  <c r="X139" i="2"/>
  <c r="B139" i="2" s="1"/>
  <c r="W139" i="2"/>
  <c r="P139" i="2"/>
  <c r="I139" i="2"/>
  <c r="H139" i="2"/>
  <c r="G139" i="2"/>
  <c r="F139" i="2"/>
  <c r="E139" i="2"/>
  <c r="D139" i="2"/>
  <c r="C139" i="2"/>
  <c r="A139" i="2"/>
  <c r="X138" i="2"/>
  <c r="B138" i="2" s="1"/>
  <c r="W138" i="2"/>
  <c r="P138" i="2"/>
  <c r="I138" i="2"/>
  <c r="H138" i="2"/>
  <c r="G138" i="2"/>
  <c r="F138" i="2"/>
  <c r="E138" i="2"/>
  <c r="D138" i="2"/>
  <c r="C138" i="2"/>
  <c r="A138" i="2"/>
  <c r="X137" i="2"/>
  <c r="B137" i="2" s="1"/>
  <c r="W137" i="2"/>
  <c r="P137" i="2"/>
  <c r="I137" i="2"/>
  <c r="H137" i="2"/>
  <c r="G137" i="2"/>
  <c r="F137" i="2"/>
  <c r="E137" i="2"/>
  <c r="D137" i="2"/>
  <c r="C137" i="2"/>
  <c r="A137" i="2"/>
  <c r="X136" i="2"/>
  <c r="B136" i="2" s="1"/>
  <c r="W136" i="2"/>
  <c r="P136" i="2"/>
  <c r="I136" i="2"/>
  <c r="H136" i="2"/>
  <c r="G136" i="2"/>
  <c r="F136" i="2"/>
  <c r="E136" i="2"/>
  <c r="D136" i="2"/>
  <c r="C136" i="2"/>
  <c r="A136" i="2"/>
  <c r="X135" i="2"/>
  <c r="B135" i="2" s="1"/>
  <c r="W135" i="2"/>
  <c r="P135" i="2"/>
  <c r="I135" i="2"/>
  <c r="H135" i="2"/>
  <c r="G135" i="2"/>
  <c r="F135" i="2"/>
  <c r="E135" i="2"/>
  <c r="D135" i="2"/>
  <c r="C135" i="2"/>
  <c r="A135" i="2"/>
  <c r="X134" i="2"/>
  <c r="B134" i="2" s="1"/>
  <c r="W134" i="2"/>
  <c r="P134" i="2"/>
  <c r="I134" i="2"/>
  <c r="H134" i="2"/>
  <c r="G134" i="2"/>
  <c r="F134" i="2"/>
  <c r="E134" i="2"/>
  <c r="D134" i="2"/>
  <c r="C134" i="2"/>
  <c r="A134" i="2"/>
  <c r="X133" i="2"/>
  <c r="B133" i="2" s="1"/>
  <c r="W133" i="2"/>
  <c r="P133" i="2"/>
  <c r="I133" i="2"/>
  <c r="H133" i="2"/>
  <c r="G133" i="2"/>
  <c r="F133" i="2"/>
  <c r="E133" i="2"/>
  <c r="D133" i="2"/>
  <c r="C133" i="2"/>
  <c r="A133" i="2"/>
  <c r="X132" i="2"/>
  <c r="B132" i="2" s="1"/>
  <c r="W132" i="2"/>
  <c r="P132" i="2"/>
  <c r="I132" i="2"/>
  <c r="H132" i="2"/>
  <c r="G132" i="2"/>
  <c r="F132" i="2"/>
  <c r="E132" i="2"/>
  <c r="D132" i="2"/>
  <c r="C132" i="2"/>
  <c r="A132" i="2"/>
  <c r="X131" i="2"/>
  <c r="B131" i="2" s="1"/>
  <c r="W131" i="2"/>
  <c r="P131" i="2"/>
  <c r="I131" i="2"/>
  <c r="H131" i="2"/>
  <c r="G131" i="2"/>
  <c r="F131" i="2"/>
  <c r="E131" i="2"/>
  <c r="D131" i="2"/>
  <c r="C131" i="2"/>
  <c r="A131" i="2"/>
  <c r="X130" i="2"/>
  <c r="B130" i="2" s="1"/>
  <c r="W130" i="2"/>
  <c r="P130" i="2"/>
  <c r="I130" i="2"/>
  <c r="H130" i="2"/>
  <c r="G130" i="2"/>
  <c r="F130" i="2"/>
  <c r="E130" i="2"/>
  <c r="D130" i="2"/>
  <c r="C130" i="2"/>
  <c r="A130" i="2"/>
  <c r="X129" i="2"/>
  <c r="B129" i="2" s="1"/>
  <c r="W129" i="2"/>
  <c r="P129" i="2"/>
  <c r="I129" i="2"/>
  <c r="H129" i="2"/>
  <c r="G129" i="2"/>
  <c r="F129" i="2"/>
  <c r="E129" i="2"/>
  <c r="D129" i="2"/>
  <c r="C129" i="2"/>
  <c r="A129" i="2"/>
  <c r="X128" i="2"/>
  <c r="B128" i="2" s="1"/>
  <c r="W128" i="2"/>
  <c r="P128" i="2"/>
  <c r="I128" i="2"/>
  <c r="H128" i="2"/>
  <c r="G128" i="2"/>
  <c r="F128" i="2"/>
  <c r="E128" i="2"/>
  <c r="D128" i="2"/>
  <c r="C128" i="2"/>
  <c r="A128" i="2"/>
  <c r="X127" i="2"/>
  <c r="B127" i="2" s="1"/>
  <c r="W127" i="2"/>
  <c r="P127" i="2"/>
  <c r="I127" i="2"/>
  <c r="H127" i="2"/>
  <c r="G127" i="2"/>
  <c r="F127" i="2"/>
  <c r="E127" i="2"/>
  <c r="D127" i="2"/>
  <c r="C127" i="2"/>
  <c r="A127" i="2"/>
  <c r="X126" i="2"/>
  <c r="B126" i="2" s="1"/>
  <c r="W126" i="2"/>
  <c r="O126" i="2"/>
  <c r="I126" i="2"/>
  <c r="H126" i="2"/>
  <c r="G126" i="2"/>
  <c r="F126" i="2"/>
  <c r="E126" i="2"/>
  <c r="D126" i="2"/>
  <c r="C126" i="2"/>
  <c r="A126" i="2"/>
  <c r="X125" i="2"/>
  <c r="B125" i="2" s="1"/>
  <c r="W125" i="2"/>
  <c r="O125" i="2"/>
  <c r="I125" i="2"/>
  <c r="H125" i="2"/>
  <c r="G125" i="2"/>
  <c r="F125" i="2"/>
  <c r="E125" i="2"/>
  <c r="D125" i="2"/>
  <c r="C125" i="2"/>
  <c r="A125" i="2"/>
  <c r="X124" i="2"/>
  <c r="B124" i="2" s="1"/>
  <c r="W124" i="2"/>
  <c r="O124" i="2"/>
  <c r="I124" i="2"/>
  <c r="H124" i="2"/>
  <c r="G124" i="2"/>
  <c r="F124" i="2"/>
  <c r="E124" i="2"/>
  <c r="D124" i="2"/>
  <c r="C124" i="2"/>
  <c r="A124" i="2"/>
  <c r="X123" i="2"/>
  <c r="B123" i="2" s="1"/>
  <c r="W123" i="2"/>
  <c r="O123" i="2"/>
  <c r="I123" i="2"/>
  <c r="H123" i="2"/>
  <c r="G123" i="2"/>
  <c r="F123" i="2"/>
  <c r="E123" i="2"/>
  <c r="D123" i="2"/>
  <c r="C123" i="2"/>
  <c r="A123" i="2"/>
  <c r="X122" i="2"/>
  <c r="B122" i="2" s="1"/>
  <c r="W122" i="2"/>
  <c r="O122" i="2"/>
  <c r="I122" i="2"/>
  <c r="H122" i="2"/>
  <c r="G122" i="2"/>
  <c r="F122" i="2"/>
  <c r="E122" i="2"/>
  <c r="D122" i="2"/>
  <c r="C122" i="2"/>
  <c r="A122" i="2"/>
  <c r="X121" i="2"/>
  <c r="B121" i="2" s="1"/>
  <c r="W121" i="2"/>
  <c r="O121" i="2"/>
  <c r="I121" i="2"/>
  <c r="H121" i="2"/>
  <c r="G121" i="2"/>
  <c r="F121" i="2"/>
  <c r="E121" i="2"/>
  <c r="D121" i="2"/>
  <c r="C121" i="2"/>
  <c r="A121" i="2"/>
  <c r="X120" i="2"/>
  <c r="B120" i="2" s="1"/>
  <c r="W120" i="2"/>
  <c r="O120" i="2"/>
  <c r="I120" i="2"/>
  <c r="H120" i="2"/>
  <c r="G120" i="2"/>
  <c r="F120" i="2"/>
  <c r="E120" i="2"/>
  <c r="D120" i="2"/>
  <c r="C120" i="2"/>
  <c r="A120" i="2"/>
  <c r="X119" i="2"/>
  <c r="B119" i="2" s="1"/>
  <c r="W119" i="2"/>
  <c r="O119" i="2"/>
  <c r="I119" i="2"/>
  <c r="H119" i="2"/>
  <c r="G119" i="2"/>
  <c r="F119" i="2"/>
  <c r="E119" i="2"/>
  <c r="D119" i="2"/>
  <c r="C119" i="2"/>
  <c r="A119" i="2"/>
  <c r="X118" i="2"/>
  <c r="B118" i="2" s="1"/>
  <c r="W118" i="2"/>
  <c r="O118" i="2"/>
  <c r="I118" i="2"/>
  <c r="H118" i="2"/>
  <c r="G118" i="2"/>
  <c r="F118" i="2"/>
  <c r="E118" i="2"/>
  <c r="D118" i="2"/>
  <c r="C118" i="2"/>
  <c r="A118" i="2"/>
  <c r="X117" i="2"/>
  <c r="B117" i="2" s="1"/>
  <c r="W117" i="2"/>
  <c r="O117" i="2"/>
  <c r="I117" i="2"/>
  <c r="H117" i="2"/>
  <c r="G117" i="2"/>
  <c r="F117" i="2"/>
  <c r="E117" i="2"/>
  <c r="D117" i="2"/>
  <c r="C117" i="2"/>
  <c r="A117" i="2"/>
  <c r="X116" i="2"/>
  <c r="B116" i="2" s="1"/>
  <c r="W116" i="2"/>
  <c r="O116" i="2"/>
  <c r="I116" i="2"/>
  <c r="H116" i="2"/>
  <c r="G116" i="2"/>
  <c r="F116" i="2"/>
  <c r="E116" i="2"/>
  <c r="D116" i="2"/>
  <c r="C116" i="2"/>
  <c r="A116" i="2"/>
  <c r="X115" i="2"/>
  <c r="B115" i="2" s="1"/>
  <c r="W115" i="2"/>
  <c r="O115" i="2"/>
  <c r="I115" i="2"/>
  <c r="H115" i="2"/>
  <c r="G115" i="2"/>
  <c r="F115" i="2"/>
  <c r="E115" i="2"/>
  <c r="D115" i="2"/>
  <c r="C115" i="2"/>
  <c r="A115" i="2"/>
  <c r="X114" i="2"/>
  <c r="B114" i="2" s="1"/>
  <c r="W114" i="2"/>
  <c r="O114" i="2"/>
  <c r="I114" i="2"/>
  <c r="H114" i="2"/>
  <c r="G114" i="2"/>
  <c r="F114" i="2"/>
  <c r="E114" i="2"/>
  <c r="D114" i="2"/>
  <c r="C114" i="2"/>
  <c r="A114" i="2"/>
  <c r="X113" i="2"/>
  <c r="B113" i="2" s="1"/>
  <c r="W113" i="2"/>
  <c r="O113" i="2"/>
  <c r="I113" i="2"/>
  <c r="H113" i="2"/>
  <c r="G113" i="2"/>
  <c r="F113" i="2"/>
  <c r="E113" i="2"/>
  <c r="D113" i="2"/>
  <c r="C113" i="2"/>
  <c r="A113" i="2"/>
  <c r="X112" i="2"/>
  <c r="B112" i="2" s="1"/>
  <c r="W112" i="2"/>
  <c r="O112" i="2"/>
  <c r="I112" i="2"/>
  <c r="H112" i="2"/>
  <c r="G112" i="2"/>
  <c r="F112" i="2"/>
  <c r="E112" i="2"/>
  <c r="D112" i="2"/>
  <c r="C112" i="2"/>
  <c r="A112" i="2"/>
  <c r="X111" i="2"/>
  <c r="B111" i="2" s="1"/>
  <c r="W111" i="2"/>
  <c r="O111" i="2"/>
  <c r="I111" i="2"/>
  <c r="H111" i="2"/>
  <c r="G111" i="2"/>
  <c r="F111" i="2"/>
  <c r="E111" i="2"/>
  <c r="D111" i="2"/>
  <c r="C111" i="2"/>
  <c r="A111" i="2"/>
  <c r="X110" i="2"/>
  <c r="B110" i="2" s="1"/>
  <c r="W110" i="2"/>
  <c r="O110" i="2"/>
  <c r="I110" i="2"/>
  <c r="H110" i="2"/>
  <c r="G110" i="2"/>
  <c r="F110" i="2"/>
  <c r="E110" i="2"/>
  <c r="D110" i="2"/>
  <c r="C110" i="2"/>
  <c r="A110" i="2"/>
  <c r="X109" i="2"/>
  <c r="B109" i="2" s="1"/>
  <c r="W109" i="2"/>
  <c r="O109" i="2"/>
  <c r="I109" i="2"/>
  <c r="H109" i="2"/>
  <c r="G109" i="2"/>
  <c r="F109" i="2"/>
  <c r="E109" i="2"/>
  <c r="D109" i="2"/>
  <c r="C109" i="2"/>
  <c r="A109" i="2"/>
  <c r="X108" i="2"/>
  <c r="B108" i="2" s="1"/>
  <c r="W108" i="2"/>
  <c r="O108" i="2"/>
  <c r="I108" i="2"/>
  <c r="H108" i="2"/>
  <c r="G108" i="2"/>
  <c r="F108" i="2"/>
  <c r="E108" i="2"/>
  <c r="D108" i="2"/>
  <c r="C108" i="2"/>
  <c r="A108" i="2"/>
  <c r="X107" i="2"/>
  <c r="B107" i="2" s="1"/>
  <c r="W107" i="2"/>
  <c r="O107" i="2"/>
  <c r="I107" i="2"/>
  <c r="H107" i="2"/>
  <c r="G107" i="2"/>
  <c r="F107" i="2"/>
  <c r="E107" i="2"/>
  <c r="D107" i="2"/>
  <c r="C107" i="2"/>
  <c r="A107" i="2"/>
  <c r="X106" i="2"/>
  <c r="B106" i="2" s="1"/>
  <c r="W106" i="2"/>
  <c r="O106" i="2"/>
  <c r="I106" i="2"/>
  <c r="H106" i="2"/>
  <c r="G106" i="2"/>
  <c r="F106" i="2"/>
  <c r="E106" i="2"/>
  <c r="D106" i="2"/>
  <c r="C106" i="2"/>
  <c r="A106" i="2"/>
  <c r="X105" i="2"/>
  <c r="B105" i="2" s="1"/>
  <c r="W105" i="2"/>
  <c r="O105" i="2"/>
  <c r="I105" i="2"/>
  <c r="H105" i="2"/>
  <c r="G105" i="2"/>
  <c r="F105" i="2"/>
  <c r="E105" i="2"/>
  <c r="D105" i="2"/>
  <c r="C105" i="2"/>
  <c r="A105" i="2"/>
  <c r="X104" i="2"/>
  <c r="B104" i="2" s="1"/>
  <c r="W104" i="2"/>
  <c r="O104" i="2"/>
  <c r="I104" i="2"/>
  <c r="H104" i="2"/>
  <c r="G104" i="2"/>
  <c r="F104" i="2"/>
  <c r="E104" i="2"/>
  <c r="D104" i="2"/>
  <c r="C104" i="2"/>
  <c r="A104" i="2"/>
  <c r="X103" i="2"/>
  <c r="B103" i="2" s="1"/>
  <c r="W103" i="2"/>
  <c r="O103" i="2"/>
  <c r="I103" i="2"/>
  <c r="H103" i="2"/>
  <c r="G103" i="2"/>
  <c r="F103" i="2"/>
  <c r="E103" i="2"/>
  <c r="D103" i="2"/>
  <c r="C103" i="2"/>
  <c r="A103" i="2"/>
  <c r="X102" i="2"/>
  <c r="B102" i="2" s="1"/>
  <c r="W102" i="2"/>
  <c r="O102" i="2"/>
  <c r="I102" i="2"/>
  <c r="H102" i="2"/>
  <c r="G102" i="2"/>
  <c r="F102" i="2"/>
  <c r="E102" i="2"/>
  <c r="D102" i="2"/>
  <c r="C102" i="2"/>
  <c r="A102" i="2"/>
  <c r="X101" i="2"/>
  <c r="B101" i="2" s="1"/>
  <c r="W101" i="2"/>
  <c r="O101" i="2"/>
  <c r="I101" i="2"/>
  <c r="H101" i="2"/>
  <c r="G101" i="2"/>
  <c r="F101" i="2"/>
  <c r="E101" i="2"/>
  <c r="D101" i="2"/>
  <c r="C101" i="2"/>
  <c r="A101" i="2"/>
  <c r="X100" i="2"/>
  <c r="B100" i="2" s="1"/>
  <c r="W100" i="2"/>
  <c r="O100" i="2"/>
  <c r="I100" i="2"/>
  <c r="H100" i="2"/>
  <c r="G100" i="2"/>
  <c r="F100" i="2"/>
  <c r="E100" i="2"/>
  <c r="D100" i="2"/>
  <c r="C100" i="2"/>
  <c r="A100" i="2"/>
  <c r="X99" i="2"/>
  <c r="B99" i="2" s="1"/>
  <c r="W99" i="2"/>
  <c r="O99" i="2"/>
  <c r="I99" i="2"/>
  <c r="H99" i="2"/>
  <c r="G99" i="2"/>
  <c r="F99" i="2"/>
  <c r="E99" i="2"/>
  <c r="D99" i="2"/>
  <c r="C99" i="2"/>
  <c r="A99" i="2"/>
  <c r="X98" i="2"/>
  <c r="B98" i="2" s="1"/>
  <c r="W98" i="2"/>
  <c r="O98" i="2"/>
  <c r="I98" i="2"/>
  <c r="H98" i="2"/>
  <c r="G98" i="2"/>
  <c r="F98" i="2"/>
  <c r="E98" i="2"/>
  <c r="D98" i="2"/>
  <c r="C98" i="2"/>
  <c r="A98" i="2"/>
  <c r="X97" i="2"/>
  <c r="B97" i="2" s="1"/>
  <c r="W97" i="2"/>
  <c r="O97" i="2"/>
  <c r="I97" i="2"/>
  <c r="H97" i="2"/>
  <c r="G97" i="2"/>
  <c r="F97" i="2"/>
  <c r="E97" i="2"/>
  <c r="D97" i="2"/>
  <c r="C97" i="2"/>
  <c r="A97" i="2"/>
  <c r="X96" i="2"/>
  <c r="B96" i="2" s="1"/>
  <c r="W96" i="2"/>
  <c r="O96" i="2"/>
  <c r="I96" i="2"/>
  <c r="H96" i="2"/>
  <c r="G96" i="2"/>
  <c r="F96" i="2"/>
  <c r="E96" i="2"/>
  <c r="D96" i="2"/>
  <c r="C96" i="2"/>
  <c r="A96" i="2"/>
  <c r="X95" i="2"/>
  <c r="B95" i="2" s="1"/>
  <c r="W95" i="2"/>
  <c r="O95" i="2"/>
  <c r="I95" i="2"/>
  <c r="H95" i="2"/>
  <c r="G95" i="2"/>
  <c r="F95" i="2"/>
  <c r="E95" i="2"/>
  <c r="D95" i="2"/>
  <c r="C95" i="2"/>
  <c r="A95" i="2"/>
  <c r="X94" i="2"/>
  <c r="B94" i="2" s="1"/>
  <c r="W94" i="2"/>
  <c r="O94" i="2"/>
  <c r="I94" i="2"/>
  <c r="H94" i="2"/>
  <c r="G94" i="2"/>
  <c r="F94" i="2"/>
  <c r="E94" i="2"/>
  <c r="D94" i="2"/>
  <c r="C94" i="2"/>
  <c r="A94" i="2"/>
  <c r="X93" i="2"/>
  <c r="B93" i="2" s="1"/>
  <c r="W93" i="2"/>
  <c r="O93" i="2"/>
  <c r="I93" i="2"/>
  <c r="H93" i="2"/>
  <c r="G93" i="2"/>
  <c r="F93" i="2"/>
  <c r="E93" i="2"/>
  <c r="D93" i="2"/>
  <c r="C93" i="2"/>
  <c r="A93" i="2"/>
  <c r="X92" i="2"/>
  <c r="B92" i="2" s="1"/>
  <c r="W92" i="2"/>
  <c r="O92" i="2"/>
  <c r="I92" i="2"/>
  <c r="H92" i="2"/>
  <c r="G92" i="2"/>
  <c r="F92" i="2"/>
  <c r="E92" i="2"/>
  <c r="D92" i="2"/>
  <c r="C92" i="2"/>
  <c r="A92" i="2"/>
  <c r="X91" i="2"/>
  <c r="B91" i="2" s="1"/>
  <c r="W91" i="2"/>
  <c r="O91" i="2"/>
  <c r="I91" i="2"/>
  <c r="H91" i="2"/>
  <c r="G91" i="2"/>
  <c r="F91" i="2"/>
  <c r="E91" i="2"/>
  <c r="D91" i="2"/>
  <c r="C91" i="2"/>
  <c r="A91" i="2"/>
  <c r="X90" i="2"/>
  <c r="B90" i="2" s="1"/>
  <c r="W90" i="2"/>
  <c r="O90" i="2"/>
  <c r="I90" i="2"/>
  <c r="H90" i="2"/>
  <c r="G90" i="2"/>
  <c r="F90" i="2"/>
  <c r="E90" i="2"/>
  <c r="D90" i="2"/>
  <c r="C90" i="2"/>
  <c r="A90" i="2"/>
  <c r="X89" i="2"/>
  <c r="B89" i="2" s="1"/>
  <c r="W89" i="2"/>
  <c r="O89" i="2"/>
  <c r="I89" i="2"/>
  <c r="H89" i="2"/>
  <c r="G89" i="2"/>
  <c r="F89" i="2"/>
  <c r="E89" i="2"/>
  <c r="D89" i="2"/>
  <c r="C89" i="2"/>
  <c r="A89" i="2"/>
  <c r="X88" i="2"/>
  <c r="B88" i="2" s="1"/>
  <c r="W88" i="2"/>
  <c r="N88" i="2"/>
  <c r="I88" i="2"/>
  <c r="H88" i="2"/>
  <c r="G88" i="2"/>
  <c r="F88" i="2"/>
  <c r="E88" i="2"/>
  <c r="D88" i="2"/>
  <c r="C88" i="2"/>
  <c r="A88" i="2"/>
  <c r="X87" i="2"/>
  <c r="B87" i="2" s="1"/>
  <c r="W87" i="2"/>
  <c r="N87" i="2"/>
  <c r="I87" i="2"/>
  <c r="H87" i="2"/>
  <c r="G87" i="2"/>
  <c r="F87" i="2"/>
  <c r="E87" i="2"/>
  <c r="D87" i="2"/>
  <c r="C87" i="2"/>
  <c r="A87" i="2"/>
  <c r="X86" i="2"/>
  <c r="B86" i="2" s="1"/>
  <c r="W86" i="2"/>
  <c r="N86" i="2"/>
  <c r="I86" i="2"/>
  <c r="H86" i="2"/>
  <c r="G86" i="2"/>
  <c r="F86" i="2"/>
  <c r="E86" i="2"/>
  <c r="D86" i="2"/>
  <c r="C86" i="2"/>
  <c r="A86" i="2"/>
  <c r="X85" i="2"/>
  <c r="B85" i="2" s="1"/>
  <c r="W85" i="2"/>
  <c r="N85" i="2"/>
  <c r="I85" i="2"/>
  <c r="H85" i="2"/>
  <c r="G85" i="2"/>
  <c r="F85" i="2"/>
  <c r="E85" i="2"/>
  <c r="D85" i="2"/>
  <c r="C85" i="2"/>
  <c r="A85" i="2"/>
  <c r="X84" i="2"/>
  <c r="B84" i="2" s="1"/>
  <c r="W84" i="2"/>
  <c r="N84" i="2"/>
  <c r="I84" i="2"/>
  <c r="H84" i="2"/>
  <c r="G84" i="2"/>
  <c r="F84" i="2"/>
  <c r="E84" i="2"/>
  <c r="D84" i="2"/>
  <c r="C84" i="2"/>
  <c r="A84" i="2"/>
  <c r="X83" i="2"/>
  <c r="B83" i="2" s="1"/>
  <c r="W83" i="2"/>
  <c r="N83" i="2"/>
  <c r="I83" i="2"/>
  <c r="H83" i="2"/>
  <c r="G83" i="2"/>
  <c r="F83" i="2"/>
  <c r="E83" i="2"/>
  <c r="D83" i="2"/>
  <c r="C83" i="2"/>
  <c r="A83" i="2"/>
  <c r="X82" i="2"/>
  <c r="B82" i="2" s="1"/>
  <c r="W82" i="2"/>
  <c r="N82" i="2"/>
  <c r="I82" i="2"/>
  <c r="H82" i="2"/>
  <c r="G82" i="2"/>
  <c r="F82" i="2"/>
  <c r="E82" i="2"/>
  <c r="D82" i="2"/>
  <c r="C82" i="2"/>
  <c r="A82" i="2"/>
  <c r="X81" i="2"/>
  <c r="B81" i="2" s="1"/>
  <c r="W81" i="2"/>
  <c r="N81" i="2"/>
  <c r="I81" i="2"/>
  <c r="H81" i="2"/>
  <c r="G81" i="2"/>
  <c r="F81" i="2"/>
  <c r="E81" i="2"/>
  <c r="D81" i="2"/>
  <c r="C81" i="2"/>
  <c r="A81" i="2"/>
  <c r="X80" i="2"/>
  <c r="B80" i="2" s="1"/>
  <c r="W80" i="2"/>
  <c r="N80" i="2"/>
  <c r="I80" i="2"/>
  <c r="H80" i="2"/>
  <c r="G80" i="2"/>
  <c r="F80" i="2"/>
  <c r="E80" i="2"/>
  <c r="D80" i="2"/>
  <c r="C80" i="2"/>
  <c r="A80" i="2"/>
  <c r="X79" i="2"/>
  <c r="B79" i="2" s="1"/>
  <c r="W79" i="2"/>
  <c r="N79" i="2"/>
  <c r="I79" i="2"/>
  <c r="H79" i="2"/>
  <c r="G79" i="2"/>
  <c r="F79" i="2"/>
  <c r="E79" i="2"/>
  <c r="D79" i="2"/>
  <c r="C79" i="2"/>
  <c r="A79" i="2"/>
  <c r="X78" i="2"/>
  <c r="B78" i="2" s="1"/>
  <c r="W78" i="2"/>
  <c r="N78" i="2"/>
  <c r="I78" i="2"/>
  <c r="H78" i="2"/>
  <c r="G78" i="2"/>
  <c r="F78" i="2"/>
  <c r="E78" i="2"/>
  <c r="D78" i="2"/>
  <c r="C78" i="2"/>
  <c r="A78" i="2"/>
  <c r="X77" i="2"/>
  <c r="B77" i="2" s="1"/>
  <c r="W77" i="2"/>
  <c r="N77" i="2"/>
  <c r="I77" i="2"/>
  <c r="H77" i="2"/>
  <c r="G77" i="2"/>
  <c r="F77" i="2"/>
  <c r="E77" i="2"/>
  <c r="D77" i="2"/>
  <c r="C77" i="2"/>
  <c r="A77" i="2"/>
  <c r="X76" i="2"/>
  <c r="B76" i="2" s="1"/>
  <c r="W76" i="2"/>
  <c r="N76" i="2"/>
  <c r="I76" i="2"/>
  <c r="H76" i="2"/>
  <c r="G76" i="2"/>
  <c r="F76" i="2"/>
  <c r="E76" i="2"/>
  <c r="D76" i="2"/>
  <c r="C76" i="2"/>
  <c r="A76" i="2"/>
  <c r="X75" i="2"/>
  <c r="B75" i="2" s="1"/>
  <c r="W75" i="2"/>
  <c r="N75" i="2"/>
  <c r="I75" i="2"/>
  <c r="H75" i="2"/>
  <c r="G75" i="2"/>
  <c r="F75" i="2"/>
  <c r="E75" i="2"/>
  <c r="D75" i="2"/>
  <c r="C75" i="2"/>
  <c r="A75" i="2"/>
  <c r="X74" i="2"/>
  <c r="B74" i="2" s="1"/>
  <c r="W74" i="2"/>
  <c r="N74" i="2"/>
  <c r="I74" i="2"/>
  <c r="H74" i="2"/>
  <c r="G74" i="2"/>
  <c r="F74" i="2"/>
  <c r="E74" i="2"/>
  <c r="D74" i="2"/>
  <c r="C74" i="2"/>
  <c r="A74" i="2"/>
  <c r="X73" i="2"/>
  <c r="B73" i="2" s="1"/>
  <c r="W73" i="2"/>
  <c r="N73" i="2"/>
  <c r="I73" i="2"/>
  <c r="H73" i="2"/>
  <c r="G73" i="2"/>
  <c r="F73" i="2"/>
  <c r="E73" i="2"/>
  <c r="D73" i="2"/>
  <c r="C73" i="2"/>
  <c r="A73" i="2"/>
  <c r="X72" i="2"/>
  <c r="B72" i="2" s="1"/>
  <c r="W72" i="2"/>
  <c r="N72" i="2"/>
  <c r="I72" i="2"/>
  <c r="H72" i="2"/>
  <c r="G72" i="2"/>
  <c r="F72" i="2"/>
  <c r="E72" i="2"/>
  <c r="D72" i="2"/>
  <c r="C72" i="2"/>
  <c r="A72" i="2"/>
  <c r="X71" i="2"/>
  <c r="B71" i="2" s="1"/>
  <c r="W71" i="2"/>
  <c r="N71" i="2"/>
  <c r="I71" i="2"/>
  <c r="H71" i="2"/>
  <c r="G71" i="2"/>
  <c r="F71" i="2"/>
  <c r="E71" i="2"/>
  <c r="D71" i="2"/>
  <c r="C71" i="2"/>
  <c r="A71" i="2"/>
  <c r="X70" i="2"/>
  <c r="B70" i="2" s="1"/>
  <c r="W70" i="2"/>
  <c r="N70" i="2"/>
  <c r="I70" i="2"/>
  <c r="H70" i="2"/>
  <c r="G70" i="2"/>
  <c r="F70" i="2"/>
  <c r="E70" i="2"/>
  <c r="D70" i="2"/>
  <c r="C70" i="2"/>
  <c r="A70" i="2"/>
  <c r="X69" i="2"/>
  <c r="B69" i="2" s="1"/>
  <c r="W69" i="2"/>
  <c r="N69" i="2"/>
  <c r="I69" i="2"/>
  <c r="H69" i="2"/>
  <c r="G69" i="2"/>
  <c r="F69" i="2"/>
  <c r="E69" i="2"/>
  <c r="D69" i="2"/>
  <c r="C69" i="2"/>
  <c r="A69" i="2"/>
  <c r="X68" i="2"/>
  <c r="B68" i="2" s="1"/>
  <c r="W68" i="2"/>
  <c r="N68" i="2"/>
  <c r="I68" i="2"/>
  <c r="H68" i="2"/>
  <c r="G68" i="2"/>
  <c r="F68" i="2"/>
  <c r="E68" i="2"/>
  <c r="D68" i="2"/>
  <c r="C68" i="2"/>
  <c r="A68" i="2"/>
  <c r="X67" i="2"/>
  <c r="B67" i="2" s="1"/>
  <c r="W67" i="2"/>
  <c r="N67" i="2"/>
  <c r="I67" i="2"/>
  <c r="H67" i="2"/>
  <c r="G67" i="2"/>
  <c r="F67" i="2"/>
  <c r="E67" i="2"/>
  <c r="D67" i="2"/>
  <c r="C67" i="2"/>
  <c r="A67" i="2"/>
  <c r="X66" i="2"/>
  <c r="B66" i="2" s="1"/>
  <c r="W66" i="2"/>
  <c r="N66" i="2"/>
  <c r="I66" i="2"/>
  <c r="H66" i="2"/>
  <c r="G66" i="2"/>
  <c r="F66" i="2"/>
  <c r="E66" i="2"/>
  <c r="D66" i="2"/>
  <c r="C66" i="2"/>
  <c r="A66" i="2"/>
  <c r="X65" i="2"/>
  <c r="B65" i="2" s="1"/>
  <c r="W65" i="2"/>
  <c r="N65" i="2"/>
  <c r="I65" i="2"/>
  <c r="H65" i="2"/>
  <c r="G65" i="2"/>
  <c r="F65" i="2"/>
  <c r="E65" i="2"/>
  <c r="D65" i="2"/>
  <c r="C65" i="2"/>
  <c r="A65" i="2"/>
  <c r="X64" i="2"/>
  <c r="B64" i="2" s="1"/>
  <c r="W64" i="2"/>
  <c r="N64" i="2"/>
  <c r="I64" i="2"/>
  <c r="H64" i="2"/>
  <c r="G64" i="2"/>
  <c r="F64" i="2"/>
  <c r="E64" i="2"/>
  <c r="D64" i="2"/>
  <c r="C64" i="2"/>
  <c r="A64" i="2"/>
  <c r="X63" i="2"/>
  <c r="B63" i="2" s="1"/>
  <c r="W63" i="2"/>
  <c r="N63" i="2"/>
  <c r="I63" i="2"/>
  <c r="H63" i="2"/>
  <c r="G63" i="2"/>
  <c r="F63" i="2"/>
  <c r="E63" i="2"/>
  <c r="D63" i="2"/>
  <c r="C63" i="2"/>
  <c r="A63" i="2"/>
  <c r="X62" i="2"/>
  <c r="B62" i="2" s="1"/>
  <c r="W62" i="2"/>
  <c r="N62" i="2"/>
  <c r="I62" i="2"/>
  <c r="H62" i="2"/>
  <c r="G62" i="2"/>
  <c r="F62" i="2"/>
  <c r="E62" i="2"/>
  <c r="D62" i="2"/>
  <c r="C62" i="2"/>
  <c r="A62" i="2"/>
  <c r="X61" i="2"/>
  <c r="B61" i="2" s="1"/>
  <c r="W61" i="2"/>
  <c r="N61" i="2"/>
  <c r="I61" i="2"/>
  <c r="H61" i="2"/>
  <c r="G61" i="2"/>
  <c r="F61" i="2"/>
  <c r="E61" i="2"/>
  <c r="D61" i="2"/>
  <c r="C61" i="2"/>
  <c r="A61" i="2"/>
  <c r="X60" i="2"/>
  <c r="B60" i="2" s="1"/>
  <c r="W60" i="2"/>
  <c r="N60" i="2"/>
  <c r="I60" i="2"/>
  <c r="H60" i="2"/>
  <c r="G60" i="2"/>
  <c r="F60" i="2"/>
  <c r="E60" i="2"/>
  <c r="D60" i="2"/>
  <c r="C60" i="2"/>
  <c r="A60" i="2"/>
  <c r="X59" i="2"/>
  <c r="B59" i="2" s="1"/>
  <c r="W59" i="2"/>
  <c r="N59" i="2"/>
  <c r="I59" i="2"/>
  <c r="H59" i="2"/>
  <c r="G59" i="2"/>
  <c r="F59" i="2"/>
  <c r="E59" i="2"/>
  <c r="D59" i="2"/>
  <c r="C59" i="2"/>
  <c r="A59" i="2"/>
  <c r="X58" i="2"/>
  <c r="B58" i="2" s="1"/>
  <c r="W58" i="2"/>
  <c r="M58" i="2"/>
  <c r="I58" i="2"/>
  <c r="H58" i="2"/>
  <c r="G58" i="2"/>
  <c r="F58" i="2"/>
  <c r="E58" i="2"/>
  <c r="D58" i="2"/>
  <c r="C58" i="2"/>
  <c r="A58" i="2"/>
  <c r="X57" i="2"/>
  <c r="B57" i="2" s="1"/>
  <c r="W57" i="2"/>
  <c r="M57" i="2"/>
  <c r="I57" i="2"/>
  <c r="H57" i="2"/>
  <c r="G57" i="2"/>
  <c r="F57" i="2"/>
  <c r="E57" i="2"/>
  <c r="D57" i="2"/>
  <c r="C57" i="2"/>
  <c r="A57" i="2"/>
  <c r="X56" i="2"/>
  <c r="B56" i="2" s="1"/>
  <c r="W56" i="2"/>
  <c r="M56" i="2"/>
  <c r="I56" i="2"/>
  <c r="H56" i="2"/>
  <c r="G56" i="2"/>
  <c r="F56" i="2"/>
  <c r="E56" i="2"/>
  <c r="D56" i="2"/>
  <c r="C56" i="2"/>
  <c r="A56" i="2"/>
  <c r="X55" i="2"/>
  <c r="B55" i="2" s="1"/>
  <c r="W55" i="2"/>
  <c r="M55" i="2"/>
  <c r="I55" i="2"/>
  <c r="H55" i="2"/>
  <c r="G55" i="2"/>
  <c r="F55" i="2"/>
  <c r="E55" i="2"/>
  <c r="D55" i="2"/>
  <c r="C55" i="2"/>
  <c r="A55" i="2"/>
  <c r="X54" i="2"/>
  <c r="B54" i="2" s="1"/>
  <c r="W54" i="2"/>
  <c r="M54" i="2"/>
  <c r="I54" i="2"/>
  <c r="H54" i="2"/>
  <c r="G54" i="2"/>
  <c r="F54" i="2"/>
  <c r="E54" i="2"/>
  <c r="D54" i="2"/>
  <c r="C54" i="2"/>
  <c r="A54" i="2"/>
  <c r="X53" i="2"/>
  <c r="B53" i="2" s="1"/>
  <c r="W53" i="2"/>
  <c r="M53" i="2"/>
  <c r="I53" i="2"/>
  <c r="H53" i="2"/>
  <c r="G53" i="2"/>
  <c r="F53" i="2"/>
  <c r="E53" i="2"/>
  <c r="D53" i="2"/>
  <c r="C53" i="2"/>
  <c r="A53" i="2"/>
  <c r="X52" i="2"/>
  <c r="B52" i="2" s="1"/>
  <c r="W52" i="2"/>
  <c r="M52" i="2"/>
  <c r="I52" i="2"/>
  <c r="H52" i="2"/>
  <c r="G52" i="2"/>
  <c r="F52" i="2"/>
  <c r="E52" i="2"/>
  <c r="D52" i="2"/>
  <c r="C52" i="2"/>
  <c r="A52" i="2"/>
  <c r="X51" i="2"/>
  <c r="B51" i="2" s="1"/>
  <c r="W51" i="2"/>
  <c r="M51" i="2"/>
  <c r="I51" i="2"/>
  <c r="H51" i="2"/>
  <c r="G51" i="2"/>
  <c r="F51" i="2"/>
  <c r="E51" i="2"/>
  <c r="D51" i="2"/>
  <c r="C51" i="2"/>
  <c r="A51" i="2"/>
  <c r="X50" i="2"/>
  <c r="B50" i="2" s="1"/>
  <c r="W50" i="2"/>
  <c r="M50" i="2"/>
  <c r="I50" i="2"/>
  <c r="H50" i="2"/>
  <c r="G50" i="2"/>
  <c r="F50" i="2"/>
  <c r="E50" i="2"/>
  <c r="D50" i="2"/>
  <c r="C50" i="2"/>
  <c r="A50" i="2"/>
  <c r="X49" i="2"/>
  <c r="B49" i="2" s="1"/>
  <c r="W49" i="2"/>
  <c r="M49" i="2"/>
  <c r="I49" i="2"/>
  <c r="H49" i="2"/>
  <c r="G49" i="2"/>
  <c r="F49" i="2"/>
  <c r="E49" i="2"/>
  <c r="D49" i="2"/>
  <c r="C49" i="2"/>
  <c r="A49" i="2"/>
  <c r="X48" i="2"/>
  <c r="B48" i="2" s="1"/>
  <c r="W48" i="2"/>
  <c r="M48" i="2"/>
  <c r="I48" i="2"/>
  <c r="H48" i="2"/>
  <c r="G48" i="2"/>
  <c r="F48" i="2"/>
  <c r="E48" i="2"/>
  <c r="D48" i="2"/>
  <c r="C48" i="2"/>
  <c r="A48" i="2"/>
  <c r="X47" i="2"/>
  <c r="B47" i="2" s="1"/>
  <c r="W47" i="2"/>
  <c r="M47" i="2"/>
  <c r="I47" i="2"/>
  <c r="H47" i="2"/>
  <c r="G47" i="2"/>
  <c r="F47" i="2"/>
  <c r="E47" i="2"/>
  <c r="D47" i="2"/>
  <c r="C47" i="2"/>
  <c r="A47" i="2"/>
  <c r="X46" i="2"/>
  <c r="B46" i="2" s="1"/>
  <c r="W46" i="2"/>
  <c r="M46" i="2"/>
  <c r="I46" i="2"/>
  <c r="H46" i="2"/>
  <c r="G46" i="2"/>
  <c r="F46" i="2"/>
  <c r="E46" i="2"/>
  <c r="D46" i="2"/>
  <c r="C46" i="2"/>
  <c r="A46" i="2"/>
  <c r="X45" i="2"/>
  <c r="B45" i="2" s="1"/>
  <c r="W45" i="2"/>
  <c r="M45" i="2"/>
  <c r="I45" i="2"/>
  <c r="H45" i="2"/>
  <c r="G45" i="2"/>
  <c r="F45" i="2"/>
  <c r="E45" i="2"/>
  <c r="D45" i="2"/>
  <c r="C45" i="2"/>
  <c r="A45" i="2"/>
  <c r="X44" i="2"/>
  <c r="B44" i="2" s="1"/>
  <c r="W44" i="2"/>
  <c r="M44" i="2"/>
  <c r="I44" i="2"/>
  <c r="H44" i="2"/>
  <c r="G44" i="2"/>
  <c r="F44" i="2"/>
  <c r="E44" i="2"/>
  <c r="D44" i="2"/>
  <c r="C44" i="2"/>
  <c r="A44" i="2"/>
  <c r="X43" i="2"/>
  <c r="B43" i="2" s="1"/>
  <c r="W43" i="2"/>
  <c r="M43" i="2"/>
  <c r="I43" i="2"/>
  <c r="H43" i="2"/>
  <c r="G43" i="2"/>
  <c r="F43" i="2"/>
  <c r="E43" i="2"/>
  <c r="D43" i="2"/>
  <c r="C43" i="2"/>
  <c r="A43" i="2"/>
  <c r="X42" i="2"/>
  <c r="B42" i="2" s="1"/>
  <c r="W42" i="2"/>
  <c r="M42" i="2"/>
  <c r="I42" i="2"/>
  <c r="H42" i="2"/>
  <c r="G42" i="2"/>
  <c r="F42" i="2"/>
  <c r="E42" i="2"/>
  <c r="D42" i="2"/>
  <c r="C42" i="2"/>
  <c r="A42" i="2"/>
  <c r="X41" i="2"/>
  <c r="B41" i="2" s="1"/>
  <c r="W41" i="2"/>
  <c r="M41" i="2"/>
  <c r="I41" i="2"/>
  <c r="H41" i="2"/>
  <c r="G41" i="2"/>
  <c r="F41" i="2"/>
  <c r="E41" i="2"/>
  <c r="D41" i="2"/>
  <c r="C41" i="2"/>
  <c r="A41" i="2"/>
  <c r="X40" i="2"/>
  <c r="B40" i="2" s="1"/>
  <c r="W40" i="2"/>
  <c r="M40" i="2"/>
  <c r="I40" i="2"/>
  <c r="H40" i="2"/>
  <c r="G40" i="2"/>
  <c r="F40" i="2"/>
  <c r="E40" i="2"/>
  <c r="D40" i="2"/>
  <c r="C40" i="2"/>
  <c r="A40" i="2"/>
  <c r="X39" i="2"/>
  <c r="B39" i="2" s="1"/>
  <c r="W39" i="2"/>
  <c r="M39" i="2"/>
  <c r="I39" i="2"/>
  <c r="H39" i="2"/>
  <c r="G39" i="2"/>
  <c r="F39" i="2"/>
  <c r="E39" i="2"/>
  <c r="D39" i="2"/>
  <c r="C39" i="2"/>
  <c r="A39" i="2"/>
  <c r="X38" i="2"/>
  <c r="B38" i="2" s="1"/>
  <c r="W38" i="2"/>
  <c r="M38" i="2"/>
  <c r="I38" i="2"/>
  <c r="H38" i="2"/>
  <c r="G38" i="2"/>
  <c r="F38" i="2"/>
  <c r="E38" i="2"/>
  <c r="D38" i="2"/>
  <c r="C38" i="2"/>
  <c r="A38" i="2"/>
  <c r="X37" i="2"/>
  <c r="B37" i="2" s="1"/>
  <c r="W37" i="2"/>
  <c r="M37" i="2"/>
  <c r="I37" i="2"/>
  <c r="H37" i="2"/>
  <c r="G37" i="2"/>
  <c r="F37" i="2"/>
  <c r="E37" i="2"/>
  <c r="D37" i="2"/>
  <c r="C37" i="2"/>
  <c r="A37" i="2"/>
  <c r="X36" i="2"/>
  <c r="B36" i="2" s="1"/>
  <c r="W36" i="2"/>
  <c r="M36" i="2"/>
  <c r="I36" i="2"/>
  <c r="H36" i="2"/>
  <c r="G36" i="2"/>
  <c r="F36" i="2"/>
  <c r="E36" i="2"/>
  <c r="D36" i="2"/>
  <c r="C36" i="2"/>
  <c r="A36" i="2"/>
  <c r="X35" i="2"/>
  <c r="B35" i="2" s="1"/>
  <c r="W35" i="2"/>
  <c r="M35" i="2"/>
  <c r="I35" i="2"/>
  <c r="H35" i="2"/>
  <c r="G35" i="2"/>
  <c r="F35" i="2"/>
  <c r="E35" i="2"/>
  <c r="D35" i="2"/>
  <c r="C35" i="2"/>
  <c r="A35" i="2"/>
  <c r="X34" i="2"/>
  <c r="B34" i="2" s="1"/>
  <c r="W34" i="2"/>
  <c r="M34" i="2"/>
  <c r="I34" i="2"/>
  <c r="H34" i="2"/>
  <c r="G34" i="2"/>
  <c r="F34" i="2"/>
  <c r="E34" i="2"/>
  <c r="D34" i="2"/>
  <c r="C34" i="2"/>
  <c r="A34" i="2"/>
  <c r="X33" i="2"/>
  <c r="B33" i="2" s="1"/>
  <c r="W33" i="2"/>
  <c r="L33" i="2"/>
  <c r="I33" i="2"/>
  <c r="H33" i="2"/>
  <c r="G33" i="2"/>
  <c r="F33" i="2"/>
  <c r="E33" i="2"/>
  <c r="D33" i="2"/>
  <c r="C33" i="2"/>
  <c r="A33" i="2"/>
  <c r="X32" i="2"/>
  <c r="B32" i="2" s="1"/>
  <c r="W32" i="2"/>
  <c r="L32" i="2"/>
  <c r="I32" i="2"/>
  <c r="H32" i="2"/>
  <c r="G32" i="2"/>
  <c r="F32" i="2"/>
  <c r="E32" i="2"/>
  <c r="D32" i="2"/>
  <c r="C32" i="2"/>
  <c r="A32" i="2"/>
  <c r="X31" i="2"/>
  <c r="B31" i="2" s="1"/>
  <c r="W31" i="2"/>
  <c r="L31" i="2"/>
  <c r="I31" i="2"/>
  <c r="H31" i="2"/>
  <c r="G31" i="2"/>
  <c r="F31" i="2"/>
  <c r="E31" i="2"/>
  <c r="D31" i="2"/>
  <c r="C31" i="2"/>
  <c r="A31" i="2"/>
  <c r="X30" i="2"/>
  <c r="B30" i="2" s="1"/>
  <c r="W30" i="2"/>
  <c r="L30" i="2"/>
  <c r="I30" i="2"/>
  <c r="H30" i="2"/>
  <c r="G30" i="2"/>
  <c r="F30" i="2"/>
  <c r="E30" i="2"/>
  <c r="D30" i="2"/>
  <c r="C30" i="2"/>
  <c r="A30" i="2"/>
  <c r="X29" i="2"/>
  <c r="B29" i="2" s="1"/>
  <c r="W29" i="2"/>
  <c r="L29" i="2"/>
  <c r="I29" i="2"/>
  <c r="H29" i="2"/>
  <c r="G29" i="2"/>
  <c r="F29" i="2"/>
  <c r="E29" i="2"/>
  <c r="D29" i="2"/>
  <c r="C29" i="2"/>
  <c r="A29" i="2"/>
  <c r="X28" i="2"/>
  <c r="B28" i="2" s="1"/>
  <c r="W28" i="2"/>
  <c r="L28" i="2"/>
  <c r="I28" i="2"/>
  <c r="H28" i="2"/>
  <c r="G28" i="2"/>
  <c r="F28" i="2"/>
  <c r="E28" i="2"/>
  <c r="D28" i="2"/>
  <c r="C28" i="2"/>
  <c r="A28" i="2"/>
  <c r="X27" i="2"/>
  <c r="B27" i="2" s="1"/>
  <c r="W27" i="2"/>
  <c r="L27" i="2"/>
  <c r="I27" i="2"/>
  <c r="H27" i="2"/>
  <c r="G27" i="2"/>
  <c r="F27" i="2"/>
  <c r="E27" i="2"/>
  <c r="D27" i="2"/>
  <c r="C27" i="2"/>
  <c r="A27" i="2"/>
  <c r="X26" i="2"/>
  <c r="B26" i="2" s="1"/>
  <c r="W26" i="2"/>
  <c r="L26" i="2"/>
  <c r="I26" i="2"/>
  <c r="H26" i="2"/>
  <c r="G26" i="2"/>
  <c r="F26" i="2"/>
  <c r="E26" i="2"/>
  <c r="D26" i="2"/>
  <c r="C26" i="2"/>
  <c r="A26" i="2"/>
  <c r="X25" i="2"/>
  <c r="B25" i="2" s="1"/>
  <c r="W25" i="2"/>
  <c r="K25" i="2"/>
  <c r="I25" i="2"/>
  <c r="H25" i="2"/>
  <c r="G25" i="2"/>
  <c r="F25" i="2"/>
  <c r="E25" i="2"/>
  <c r="D25" i="2"/>
  <c r="C25" i="2"/>
  <c r="A25" i="2"/>
  <c r="X24" i="2"/>
  <c r="B24" i="2" s="1"/>
  <c r="W24" i="2"/>
  <c r="K24" i="2"/>
  <c r="I24" i="2"/>
  <c r="H24" i="2"/>
  <c r="G24" i="2"/>
  <c r="F24" i="2"/>
  <c r="E24" i="2"/>
  <c r="D24" i="2"/>
  <c r="C24" i="2"/>
  <c r="A24" i="2"/>
  <c r="X23" i="2"/>
  <c r="B23" i="2" s="1"/>
  <c r="W23" i="2"/>
  <c r="K23" i="2"/>
  <c r="I23" i="2"/>
  <c r="H23" i="2"/>
  <c r="G23" i="2"/>
  <c r="F23" i="2"/>
  <c r="E23" i="2"/>
  <c r="D23" i="2"/>
  <c r="C23" i="2"/>
  <c r="A23" i="2"/>
  <c r="X22" i="2"/>
  <c r="B22" i="2" s="1"/>
  <c r="W22" i="2"/>
  <c r="V22" i="2"/>
  <c r="V1025" i="2" s="1"/>
  <c r="U22" i="2"/>
  <c r="U1025" i="2" s="1"/>
  <c r="T22" i="2"/>
  <c r="T1025" i="2" s="1"/>
  <c r="S22" i="2"/>
  <c r="S1025" i="2" s="1"/>
  <c r="R22" i="2"/>
  <c r="Q22" i="2"/>
  <c r="P22" i="2"/>
  <c r="O22" i="2"/>
  <c r="N22" i="2"/>
  <c r="M22" i="2"/>
  <c r="L22" i="2"/>
  <c r="K22" i="2"/>
  <c r="I22" i="2"/>
  <c r="H22" i="2"/>
  <c r="G22" i="2"/>
  <c r="F22" i="2"/>
  <c r="E22" i="2"/>
  <c r="D22" i="2"/>
  <c r="C22" i="2"/>
  <c r="A22" i="2"/>
  <c r="A7" i="2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X661" i="1"/>
  <c r="B661" i="1" s="1"/>
  <c r="W661" i="1"/>
  <c r="R661" i="1"/>
  <c r="I661" i="1"/>
  <c r="H661" i="1"/>
  <c r="G661" i="1"/>
  <c r="F661" i="1"/>
  <c r="E661" i="1"/>
  <c r="D661" i="1"/>
  <c r="C661" i="1"/>
  <c r="A661" i="1"/>
  <c r="X660" i="1"/>
  <c r="B660" i="1" s="1"/>
  <c r="W660" i="1"/>
  <c r="R660" i="1"/>
  <c r="I660" i="1"/>
  <c r="H660" i="1"/>
  <c r="G660" i="1"/>
  <c r="F660" i="1"/>
  <c r="E660" i="1"/>
  <c r="D660" i="1"/>
  <c r="C660" i="1"/>
  <c r="A660" i="1"/>
  <c r="X659" i="1"/>
  <c r="B659" i="1" s="1"/>
  <c r="W659" i="1"/>
  <c r="R659" i="1"/>
  <c r="I659" i="1"/>
  <c r="H659" i="1"/>
  <c r="G659" i="1"/>
  <c r="F659" i="1"/>
  <c r="E659" i="1"/>
  <c r="D659" i="1"/>
  <c r="C659" i="1"/>
  <c r="A659" i="1"/>
  <c r="X658" i="1"/>
  <c r="B658" i="1" s="1"/>
  <c r="W658" i="1"/>
  <c r="R658" i="1"/>
  <c r="I658" i="1"/>
  <c r="H658" i="1"/>
  <c r="G658" i="1"/>
  <c r="F658" i="1"/>
  <c r="E658" i="1"/>
  <c r="D658" i="1"/>
  <c r="C658" i="1"/>
  <c r="A658" i="1"/>
  <c r="X657" i="1"/>
  <c r="B657" i="1" s="1"/>
  <c r="W657" i="1"/>
  <c r="R657" i="1"/>
  <c r="I657" i="1"/>
  <c r="H657" i="1"/>
  <c r="G657" i="1"/>
  <c r="F657" i="1"/>
  <c r="E657" i="1"/>
  <c r="D657" i="1"/>
  <c r="C657" i="1"/>
  <c r="A657" i="1"/>
  <c r="X656" i="1"/>
  <c r="B656" i="1" s="1"/>
  <c r="W656" i="1"/>
  <c r="R656" i="1"/>
  <c r="I656" i="1"/>
  <c r="H656" i="1"/>
  <c r="G656" i="1"/>
  <c r="F656" i="1"/>
  <c r="E656" i="1"/>
  <c r="D656" i="1"/>
  <c r="C656" i="1"/>
  <c r="A656" i="1"/>
  <c r="X655" i="1"/>
  <c r="B655" i="1" s="1"/>
  <c r="W655" i="1"/>
  <c r="R655" i="1"/>
  <c r="I655" i="1"/>
  <c r="H655" i="1"/>
  <c r="G655" i="1"/>
  <c r="F655" i="1"/>
  <c r="E655" i="1"/>
  <c r="D655" i="1"/>
  <c r="C655" i="1"/>
  <c r="A655" i="1"/>
  <c r="X654" i="1"/>
  <c r="B654" i="1" s="1"/>
  <c r="W654" i="1"/>
  <c r="R654" i="1"/>
  <c r="I654" i="1"/>
  <c r="H654" i="1"/>
  <c r="G654" i="1"/>
  <c r="F654" i="1"/>
  <c r="E654" i="1"/>
  <c r="D654" i="1"/>
  <c r="C654" i="1"/>
  <c r="A654" i="1"/>
  <c r="X653" i="1"/>
  <c r="B653" i="1" s="1"/>
  <c r="W653" i="1"/>
  <c r="R653" i="1"/>
  <c r="I653" i="1"/>
  <c r="H653" i="1"/>
  <c r="G653" i="1"/>
  <c r="F653" i="1"/>
  <c r="E653" i="1"/>
  <c r="D653" i="1"/>
  <c r="C653" i="1"/>
  <c r="A653" i="1"/>
  <c r="X652" i="1"/>
  <c r="B652" i="1" s="1"/>
  <c r="W652" i="1"/>
  <c r="R652" i="1"/>
  <c r="I652" i="1"/>
  <c r="H652" i="1"/>
  <c r="G652" i="1"/>
  <c r="F652" i="1"/>
  <c r="E652" i="1"/>
  <c r="D652" i="1"/>
  <c r="C652" i="1"/>
  <c r="A652" i="1"/>
  <c r="X651" i="1"/>
  <c r="B651" i="1" s="1"/>
  <c r="W651" i="1"/>
  <c r="R651" i="1"/>
  <c r="I651" i="1"/>
  <c r="H651" i="1"/>
  <c r="G651" i="1"/>
  <c r="F651" i="1"/>
  <c r="E651" i="1"/>
  <c r="D651" i="1"/>
  <c r="C651" i="1"/>
  <c r="A651" i="1"/>
  <c r="X650" i="1"/>
  <c r="B650" i="1" s="1"/>
  <c r="W650" i="1"/>
  <c r="R650" i="1"/>
  <c r="I650" i="1"/>
  <c r="H650" i="1"/>
  <c r="G650" i="1"/>
  <c r="F650" i="1"/>
  <c r="E650" i="1"/>
  <c r="D650" i="1"/>
  <c r="C650" i="1"/>
  <c r="A650" i="1"/>
  <c r="X649" i="1"/>
  <c r="B649" i="1" s="1"/>
  <c r="W649" i="1"/>
  <c r="R649" i="1"/>
  <c r="I649" i="1"/>
  <c r="H649" i="1"/>
  <c r="G649" i="1"/>
  <c r="F649" i="1"/>
  <c r="E649" i="1"/>
  <c r="D649" i="1"/>
  <c r="C649" i="1"/>
  <c r="A649" i="1"/>
  <c r="X648" i="1"/>
  <c r="B648" i="1" s="1"/>
  <c r="W648" i="1"/>
  <c r="R648" i="1"/>
  <c r="I648" i="1"/>
  <c r="H648" i="1"/>
  <c r="G648" i="1"/>
  <c r="F648" i="1"/>
  <c r="E648" i="1"/>
  <c r="D648" i="1"/>
  <c r="C648" i="1"/>
  <c r="A648" i="1"/>
  <c r="X647" i="1"/>
  <c r="B647" i="1" s="1"/>
  <c r="W647" i="1"/>
  <c r="R647" i="1"/>
  <c r="I647" i="1"/>
  <c r="H647" i="1"/>
  <c r="G647" i="1"/>
  <c r="F647" i="1"/>
  <c r="E647" i="1"/>
  <c r="D647" i="1"/>
  <c r="C647" i="1"/>
  <c r="A647" i="1"/>
  <c r="X646" i="1"/>
  <c r="B646" i="1" s="1"/>
  <c r="W646" i="1"/>
  <c r="R646" i="1"/>
  <c r="I646" i="1"/>
  <c r="H646" i="1"/>
  <c r="G646" i="1"/>
  <c r="F646" i="1"/>
  <c r="E646" i="1"/>
  <c r="D646" i="1"/>
  <c r="C646" i="1"/>
  <c r="A646" i="1"/>
  <c r="X645" i="1"/>
  <c r="B645" i="1" s="1"/>
  <c r="W645" i="1"/>
  <c r="R645" i="1"/>
  <c r="I645" i="1"/>
  <c r="H645" i="1"/>
  <c r="G645" i="1"/>
  <c r="F645" i="1"/>
  <c r="E645" i="1"/>
  <c r="D645" i="1"/>
  <c r="C645" i="1"/>
  <c r="A645" i="1"/>
  <c r="X644" i="1"/>
  <c r="B644" i="1" s="1"/>
  <c r="W644" i="1"/>
  <c r="R644" i="1"/>
  <c r="I644" i="1"/>
  <c r="H644" i="1"/>
  <c r="G644" i="1"/>
  <c r="F644" i="1"/>
  <c r="E644" i="1"/>
  <c r="D644" i="1"/>
  <c r="C644" i="1"/>
  <c r="A644" i="1"/>
  <c r="X643" i="1"/>
  <c r="B643" i="1" s="1"/>
  <c r="W643" i="1"/>
  <c r="R643" i="1"/>
  <c r="I643" i="1"/>
  <c r="H643" i="1"/>
  <c r="G643" i="1"/>
  <c r="F643" i="1"/>
  <c r="E643" i="1"/>
  <c r="D643" i="1"/>
  <c r="C643" i="1"/>
  <c r="A643" i="1"/>
  <c r="X642" i="1"/>
  <c r="B642" i="1" s="1"/>
  <c r="W642" i="1"/>
  <c r="R642" i="1"/>
  <c r="I642" i="1"/>
  <c r="H642" i="1"/>
  <c r="G642" i="1"/>
  <c r="F642" i="1"/>
  <c r="E642" i="1"/>
  <c r="D642" i="1"/>
  <c r="C642" i="1"/>
  <c r="A642" i="1"/>
  <c r="X641" i="1"/>
  <c r="B641" i="1" s="1"/>
  <c r="W641" i="1"/>
  <c r="R641" i="1"/>
  <c r="I641" i="1"/>
  <c r="H641" i="1"/>
  <c r="G641" i="1"/>
  <c r="F641" i="1"/>
  <c r="E641" i="1"/>
  <c r="D641" i="1"/>
  <c r="C641" i="1"/>
  <c r="A641" i="1"/>
  <c r="X640" i="1"/>
  <c r="B640" i="1" s="1"/>
  <c r="W640" i="1"/>
  <c r="R640" i="1"/>
  <c r="I640" i="1"/>
  <c r="H640" i="1"/>
  <c r="G640" i="1"/>
  <c r="F640" i="1"/>
  <c r="E640" i="1"/>
  <c r="D640" i="1"/>
  <c r="C640" i="1"/>
  <c r="A640" i="1"/>
  <c r="X639" i="1"/>
  <c r="B639" i="1" s="1"/>
  <c r="W639" i="1"/>
  <c r="R639" i="1"/>
  <c r="I639" i="1"/>
  <c r="H639" i="1"/>
  <c r="G639" i="1"/>
  <c r="F639" i="1"/>
  <c r="E639" i="1"/>
  <c r="D639" i="1"/>
  <c r="C639" i="1"/>
  <c r="A639" i="1"/>
  <c r="X638" i="1"/>
  <c r="B638" i="1" s="1"/>
  <c r="W638" i="1"/>
  <c r="R638" i="1"/>
  <c r="I638" i="1"/>
  <c r="H638" i="1"/>
  <c r="G638" i="1"/>
  <c r="F638" i="1"/>
  <c r="E638" i="1"/>
  <c r="D638" i="1"/>
  <c r="C638" i="1"/>
  <c r="A638" i="1"/>
  <c r="X637" i="1"/>
  <c r="B637" i="1" s="1"/>
  <c r="W637" i="1"/>
  <c r="R637" i="1"/>
  <c r="I637" i="1"/>
  <c r="H637" i="1"/>
  <c r="G637" i="1"/>
  <c r="F637" i="1"/>
  <c r="E637" i="1"/>
  <c r="D637" i="1"/>
  <c r="C637" i="1"/>
  <c r="A637" i="1"/>
  <c r="X636" i="1"/>
  <c r="B636" i="1" s="1"/>
  <c r="W636" i="1"/>
  <c r="R636" i="1"/>
  <c r="I636" i="1"/>
  <c r="H636" i="1"/>
  <c r="G636" i="1"/>
  <c r="F636" i="1"/>
  <c r="E636" i="1"/>
  <c r="D636" i="1"/>
  <c r="C636" i="1"/>
  <c r="A636" i="1"/>
  <c r="X635" i="1"/>
  <c r="B635" i="1" s="1"/>
  <c r="W635" i="1"/>
  <c r="R635" i="1"/>
  <c r="I635" i="1"/>
  <c r="H635" i="1"/>
  <c r="G635" i="1"/>
  <c r="F635" i="1"/>
  <c r="E635" i="1"/>
  <c r="D635" i="1"/>
  <c r="C635" i="1"/>
  <c r="A635" i="1"/>
  <c r="X634" i="1"/>
  <c r="B634" i="1" s="1"/>
  <c r="W634" i="1"/>
  <c r="R634" i="1"/>
  <c r="I634" i="1"/>
  <c r="H634" i="1"/>
  <c r="G634" i="1"/>
  <c r="F634" i="1"/>
  <c r="E634" i="1"/>
  <c r="D634" i="1"/>
  <c r="C634" i="1"/>
  <c r="A634" i="1"/>
  <c r="X633" i="1"/>
  <c r="B633" i="1" s="1"/>
  <c r="W633" i="1"/>
  <c r="R633" i="1"/>
  <c r="I633" i="1"/>
  <c r="H633" i="1"/>
  <c r="G633" i="1"/>
  <c r="F633" i="1"/>
  <c r="E633" i="1"/>
  <c r="D633" i="1"/>
  <c r="C633" i="1"/>
  <c r="A633" i="1"/>
  <c r="X632" i="1"/>
  <c r="B632" i="1" s="1"/>
  <c r="W632" i="1"/>
  <c r="R632" i="1"/>
  <c r="I632" i="1"/>
  <c r="H632" i="1"/>
  <c r="G632" i="1"/>
  <c r="F632" i="1"/>
  <c r="E632" i="1"/>
  <c r="D632" i="1"/>
  <c r="C632" i="1"/>
  <c r="A632" i="1"/>
  <c r="X631" i="1"/>
  <c r="B631" i="1" s="1"/>
  <c r="W631" i="1"/>
  <c r="R631" i="1"/>
  <c r="I631" i="1"/>
  <c r="H631" i="1"/>
  <c r="G631" i="1"/>
  <c r="F631" i="1"/>
  <c r="E631" i="1"/>
  <c r="D631" i="1"/>
  <c r="C631" i="1"/>
  <c r="A631" i="1"/>
  <c r="X630" i="1"/>
  <c r="B630" i="1" s="1"/>
  <c r="W630" i="1"/>
  <c r="R630" i="1"/>
  <c r="I630" i="1"/>
  <c r="H630" i="1"/>
  <c r="G630" i="1"/>
  <c r="F630" i="1"/>
  <c r="E630" i="1"/>
  <c r="D630" i="1"/>
  <c r="C630" i="1"/>
  <c r="A630" i="1"/>
  <c r="X629" i="1"/>
  <c r="B629" i="1" s="1"/>
  <c r="W629" i="1"/>
  <c r="R629" i="1"/>
  <c r="I629" i="1"/>
  <c r="H629" i="1"/>
  <c r="G629" i="1"/>
  <c r="F629" i="1"/>
  <c r="E629" i="1"/>
  <c r="D629" i="1"/>
  <c r="C629" i="1"/>
  <c r="A629" i="1"/>
  <c r="X628" i="1"/>
  <c r="B628" i="1" s="1"/>
  <c r="W628" i="1"/>
  <c r="R628" i="1"/>
  <c r="I628" i="1"/>
  <c r="H628" i="1"/>
  <c r="G628" i="1"/>
  <c r="F628" i="1"/>
  <c r="E628" i="1"/>
  <c r="D628" i="1"/>
  <c r="C628" i="1"/>
  <c r="A628" i="1"/>
  <c r="X627" i="1"/>
  <c r="B627" i="1" s="1"/>
  <c r="W627" i="1"/>
  <c r="R627" i="1"/>
  <c r="I627" i="1"/>
  <c r="H627" i="1"/>
  <c r="G627" i="1"/>
  <c r="F627" i="1"/>
  <c r="E627" i="1"/>
  <c r="D627" i="1"/>
  <c r="C627" i="1"/>
  <c r="A627" i="1"/>
  <c r="X626" i="1"/>
  <c r="B626" i="1" s="1"/>
  <c r="W626" i="1"/>
  <c r="R626" i="1"/>
  <c r="I626" i="1"/>
  <c r="H626" i="1"/>
  <c r="G626" i="1"/>
  <c r="F626" i="1"/>
  <c r="E626" i="1"/>
  <c r="D626" i="1"/>
  <c r="C626" i="1"/>
  <c r="A626" i="1"/>
  <c r="X625" i="1"/>
  <c r="B625" i="1" s="1"/>
  <c r="W625" i="1"/>
  <c r="R625" i="1"/>
  <c r="I625" i="1"/>
  <c r="H625" i="1"/>
  <c r="G625" i="1"/>
  <c r="F625" i="1"/>
  <c r="E625" i="1"/>
  <c r="D625" i="1"/>
  <c r="C625" i="1"/>
  <c r="A625" i="1"/>
  <c r="X624" i="1"/>
  <c r="B624" i="1" s="1"/>
  <c r="W624" i="1"/>
  <c r="R624" i="1"/>
  <c r="I624" i="1"/>
  <c r="H624" i="1"/>
  <c r="G624" i="1"/>
  <c r="F624" i="1"/>
  <c r="E624" i="1"/>
  <c r="D624" i="1"/>
  <c r="C624" i="1"/>
  <c r="A624" i="1"/>
  <c r="X623" i="1"/>
  <c r="B623" i="1" s="1"/>
  <c r="W623" i="1"/>
  <c r="R623" i="1"/>
  <c r="I623" i="1"/>
  <c r="H623" i="1"/>
  <c r="G623" i="1"/>
  <c r="F623" i="1"/>
  <c r="E623" i="1"/>
  <c r="D623" i="1"/>
  <c r="C623" i="1"/>
  <c r="A623" i="1"/>
  <c r="X622" i="1"/>
  <c r="B622" i="1" s="1"/>
  <c r="W622" i="1"/>
  <c r="R622" i="1"/>
  <c r="I622" i="1"/>
  <c r="H622" i="1"/>
  <c r="G622" i="1"/>
  <c r="F622" i="1"/>
  <c r="E622" i="1"/>
  <c r="D622" i="1"/>
  <c r="C622" i="1"/>
  <c r="A622" i="1"/>
  <c r="X621" i="1"/>
  <c r="B621" i="1" s="1"/>
  <c r="W621" i="1"/>
  <c r="R621" i="1"/>
  <c r="I621" i="1"/>
  <c r="H621" i="1"/>
  <c r="G621" i="1"/>
  <c r="F621" i="1"/>
  <c r="E621" i="1"/>
  <c r="D621" i="1"/>
  <c r="C621" i="1"/>
  <c r="A621" i="1"/>
  <c r="X620" i="1"/>
  <c r="B620" i="1" s="1"/>
  <c r="W620" i="1"/>
  <c r="R620" i="1"/>
  <c r="I620" i="1"/>
  <c r="H620" i="1"/>
  <c r="G620" i="1"/>
  <c r="F620" i="1"/>
  <c r="E620" i="1"/>
  <c r="D620" i="1"/>
  <c r="C620" i="1"/>
  <c r="A620" i="1"/>
  <c r="X619" i="1"/>
  <c r="B619" i="1" s="1"/>
  <c r="W619" i="1"/>
  <c r="R619" i="1"/>
  <c r="I619" i="1"/>
  <c r="H619" i="1"/>
  <c r="G619" i="1"/>
  <c r="F619" i="1"/>
  <c r="E619" i="1"/>
  <c r="D619" i="1"/>
  <c r="C619" i="1"/>
  <c r="A619" i="1"/>
  <c r="X618" i="1"/>
  <c r="B618" i="1" s="1"/>
  <c r="W618" i="1"/>
  <c r="R618" i="1"/>
  <c r="I618" i="1"/>
  <c r="H618" i="1"/>
  <c r="G618" i="1"/>
  <c r="F618" i="1"/>
  <c r="E618" i="1"/>
  <c r="D618" i="1"/>
  <c r="C618" i="1"/>
  <c r="A618" i="1"/>
  <c r="X617" i="1"/>
  <c r="B617" i="1" s="1"/>
  <c r="W617" i="1"/>
  <c r="R617" i="1"/>
  <c r="I617" i="1"/>
  <c r="H617" i="1"/>
  <c r="G617" i="1"/>
  <c r="F617" i="1"/>
  <c r="E617" i="1"/>
  <c r="D617" i="1"/>
  <c r="C617" i="1"/>
  <c r="A617" i="1"/>
  <c r="X616" i="1"/>
  <c r="B616" i="1" s="1"/>
  <c r="W616" i="1"/>
  <c r="R616" i="1"/>
  <c r="I616" i="1"/>
  <c r="H616" i="1"/>
  <c r="G616" i="1"/>
  <c r="F616" i="1"/>
  <c r="E616" i="1"/>
  <c r="D616" i="1"/>
  <c r="C616" i="1"/>
  <c r="A616" i="1"/>
  <c r="X615" i="1"/>
  <c r="B615" i="1" s="1"/>
  <c r="W615" i="1"/>
  <c r="R615" i="1"/>
  <c r="I615" i="1"/>
  <c r="H615" i="1"/>
  <c r="G615" i="1"/>
  <c r="F615" i="1"/>
  <c r="E615" i="1"/>
  <c r="D615" i="1"/>
  <c r="C615" i="1"/>
  <c r="A615" i="1"/>
  <c r="X614" i="1"/>
  <c r="B614" i="1" s="1"/>
  <c r="W614" i="1"/>
  <c r="R614" i="1"/>
  <c r="I614" i="1"/>
  <c r="H614" i="1"/>
  <c r="G614" i="1"/>
  <c r="F614" i="1"/>
  <c r="E614" i="1"/>
  <c r="D614" i="1"/>
  <c r="C614" i="1"/>
  <c r="A614" i="1"/>
  <c r="X613" i="1"/>
  <c r="B613" i="1" s="1"/>
  <c r="W613" i="1"/>
  <c r="R613" i="1"/>
  <c r="I613" i="1"/>
  <c r="H613" i="1"/>
  <c r="G613" i="1"/>
  <c r="F613" i="1"/>
  <c r="E613" i="1"/>
  <c r="D613" i="1"/>
  <c r="C613" i="1"/>
  <c r="A613" i="1"/>
  <c r="X612" i="1"/>
  <c r="B612" i="1" s="1"/>
  <c r="W612" i="1"/>
  <c r="R612" i="1"/>
  <c r="I612" i="1"/>
  <c r="H612" i="1"/>
  <c r="G612" i="1"/>
  <c r="F612" i="1"/>
  <c r="E612" i="1"/>
  <c r="D612" i="1"/>
  <c r="C612" i="1"/>
  <c r="A612" i="1"/>
  <c r="X611" i="1"/>
  <c r="B611" i="1" s="1"/>
  <c r="W611" i="1"/>
  <c r="R611" i="1"/>
  <c r="I611" i="1"/>
  <c r="H611" i="1"/>
  <c r="G611" i="1"/>
  <c r="F611" i="1"/>
  <c r="E611" i="1"/>
  <c r="D611" i="1"/>
  <c r="C611" i="1"/>
  <c r="A611" i="1"/>
  <c r="X610" i="1"/>
  <c r="B610" i="1" s="1"/>
  <c r="W610" i="1"/>
  <c r="R610" i="1"/>
  <c r="I610" i="1"/>
  <c r="H610" i="1"/>
  <c r="G610" i="1"/>
  <c r="F610" i="1"/>
  <c r="E610" i="1"/>
  <c r="D610" i="1"/>
  <c r="C610" i="1"/>
  <c r="A610" i="1"/>
  <c r="X609" i="1"/>
  <c r="B609" i="1" s="1"/>
  <c r="W609" i="1"/>
  <c r="R609" i="1"/>
  <c r="I609" i="1"/>
  <c r="H609" i="1"/>
  <c r="G609" i="1"/>
  <c r="F609" i="1"/>
  <c r="E609" i="1"/>
  <c r="D609" i="1"/>
  <c r="C609" i="1"/>
  <c r="A609" i="1"/>
  <c r="X608" i="1"/>
  <c r="B608" i="1" s="1"/>
  <c r="W608" i="1"/>
  <c r="R608" i="1"/>
  <c r="I608" i="1"/>
  <c r="H608" i="1"/>
  <c r="G608" i="1"/>
  <c r="F608" i="1"/>
  <c r="E608" i="1"/>
  <c r="D608" i="1"/>
  <c r="C608" i="1"/>
  <c r="A608" i="1"/>
  <c r="X607" i="1"/>
  <c r="B607" i="1" s="1"/>
  <c r="W607" i="1"/>
  <c r="R607" i="1"/>
  <c r="I607" i="1"/>
  <c r="H607" i="1"/>
  <c r="G607" i="1"/>
  <c r="F607" i="1"/>
  <c r="E607" i="1"/>
  <c r="D607" i="1"/>
  <c r="C607" i="1"/>
  <c r="A607" i="1"/>
  <c r="X606" i="1"/>
  <c r="B606" i="1" s="1"/>
  <c r="W606" i="1"/>
  <c r="R606" i="1"/>
  <c r="I606" i="1"/>
  <c r="H606" i="1"/>
  <c r="G606" i="1"/>
  <c r="F606" i="1"/>
  <c r="E606" i="1"/>
  <c r="D606" i="1"/>
  <c r="C606" i="1"/>
  <c r="A606" i="1"/>
  <c r="X605" i="1"/>
  <c r="B605" i="1" s="1"/>
  <c r="W605" i="1"/>
  <c r="R605" i="1"/>
  <c r="I605" i="1"/>
  <c r="H605" i="1"/>
  <c r="G605" i="1"/>
  <c r="F605" i="1"/>
  <c r="E605" i="1"/>
  <c r="D605" i="1"/>
  <c r="C605" i="1"/>
  <c r="A605" i="1"/>
  <c r="X604" i="1"/>
  <c r="B604" i="1" s="1"/>
  <c r="W604" i="1"/>
  <c r="R604" i="1"/>
  <c r="I604" i="1"/>
  <c r="H604" i="1"/>
  <c r="G604" i="1"/>
  <c r="F604" i="1"/>
  <c r="E604" i="1"/>
  <c r="D604" i="1"/>
  <c r="C604" i="1"/>
  <c r="A604" i="1"/>
  <c r="X603" i="1"/>
  <c r="B603" i="1" s="1"/>
  <c r="W603" i="1"/>
  <c r="R603" i="1"/>
  <c r="I603" i="1"/>
  <c r="H603" i="1"/>
  <c r="G603" i="1"/>
  <c r="F603" i="1"/>
  <c r="E603" i="1"/>
  <c r="D603" i="1"/>
  <c r="C603" i="1"/>
  <c r="A603" i="1"/>
  <c r="X602" i="1"/>
  <c r="B602" i="1" s="1"/>
  <c r="W602" i="1"/>
  <c r="R602" i="1"/>
  <c r="I602" i="1"/>
  <c r="H602" i="1"/>
  <c r="G602" i="1"/>
  <c r="F602" i="1"/>
  <c r="E602" i="1"/>
  <c r="D602" i="1"/>
  <c r="C602" i="1"/>
  <c r="A602" i="1"/>
  <c r="X601" i="1"/>
  <c r="B601" i="1" s="1"/>
  <c r="W601" i="1"/>
  <c r="R601" i="1"/>
  <c r="I601" i="1"/>
  <c r="H601" i="1"/>
  <c r="G601" i="1"/>
  <c r="F601" i="1"/>
  <c r="E601" i="1"/>
  <c r="D601" i="1"/>
  <c r="C601" i="1"/>
  <c r="A601" i="1"/>
  <c r="X600" i="1"/>
  <c r="B600" i="1" s="1"/>
  <c r="W600" i="1"/>
  <c r="R600" i="1"/>
  <c r="I600" i="1"/>
  <c r="H600" i="1"/>
  <c r="G600" i="1"/>
  <c r="F600" i="1"/>
  <c r="E600" i="1"/>
  <c r="D600" i="1"/>
  <c r="C600" i="1"/>
  <c r="A600" i="1"/>
  <c r="X599" i="1"/>
  <c r="B599" i="1" s="1"/>
  <c r="W599" i="1"/>
  <c r="R599" i="1"/>
  <c r="I599" i="1"/>
  <c r="H599" i="1"/>
  <c r="G599" i="1"/>
  <c r="F599" i="1"/>
  <c r="E599" i="1"/>
  <c r="D599" i="1"/>
  <c r="C599" i="1"/>
  <c r="A599" i="1"/>
  <c r="X598" i="1"/>
  <c r="B598" i="1" s="1"/>
  <c r="W598" i="1"/>
  <c r="R598" i="1"/>
  <c r="I598" i="1"/>
  <c r="H598" i="1"/>
  <c r="G598" i="1"/>
  <c r="F598" i="1"/>
  <c r="E598" i="1"/>
  <c r="D598" i="1"/>
  <c r="C598" i="1"/>
  <c r="A598" i="1"/>
  <c r="X597" i="1"/>
  <c r="B597" i="1" s="1"/>
  <c r="W597" i="1"/>
  <c r="R597" i="1"/>
  <c r="I597" i="1"/>
  <c r="H597" i="1"/>
  <c r="G597" i="1"/>
  <c r="F597" i="1"/>
  <c r="E597" i="1"/>
  <c r="D597" i="1"/>
  <c r="C597" i="1"/>
  <c r="A597" i="1"/>
  <c r="X596" i="1"/>
  <c r="B596" i="1" s="1"/>
  <c r="W596" i="1"/>
  <c r="R596" i="1"/>
  <c r="I596" i="1"/>
  <c r="H596" i="1"/>
  <c r="G596" i="1"/>
  <c r="F596" i="1"/>
  <c r="E596" i="1"/>
  <c r="D596" i="1"/>
  <c r="C596" i="1"/>
  <c r="A596" i="1"/>
  <c r="X595" i="1"/>
  <c r="B595" i="1" s="1"/>
  <c r="W595" i="1"/>
  <c r="R595" i="1"/>
  <c r="I595" i="1"/>
  <c r="H595" i="1"/>
  <c r="G595" i="1"/>
  <c r="F595" i="1"/>
  <c r="E595" i="1"/>
  <c r="D595" i="1"/>
  <c r="C595" i="1"/>
  <c r="A595" i="1"/>
  <c r="X594" i="1"/>
  <c r="B594" i="1" s="1"/>
  <c r="W594" i="1"/>
  <c r="R594" i="1"/>
  <c r="I594" i="1"/>
  <c r="H594" i="1"/>
  <c r="G594" i="1"/>
  <c r="F594" i="1"/>
  <c r="E594" i="1"/>
  <c r="D594" i="1"/>
  <c r="C594" i="1"/>
  <c r="A594" i="1"/>
  <c r="X593" i="1"/>
  <c r="B593" i="1" s="1"/>
  <c r="W593" i="1"/>
  <c r="R593" i="1"/>
  <c r="I593" i="1"/>
  <c r="H593" i="1"/>
  <c r="G593" i="1"/>
  <c r="F593" i="1"/>
  <c r="E593" i="1"/>
  <c r="D593" i="1"/>
  <c r="C593" i="1"/>
  <c r="A593" i="1"/>
  <c r="X592" i="1"/>
  <c r="B592" i="1" s="1"/>
  <c r="W592" i="1"/>
  <c r="R592" i="1"/>
  <c r="I592" i="1"/>
  <c r="H592" i="1"/>
  <c r="G592" i="1"/>
  <c r="F592" i="1"/>
  <c r="E592" i="1"/>
  <c r="D592" i="1"/>
  <c r="C592" i="1"/>
  <c r="A592" i="1"/>
  <c r="X591" i="1"/>
  <c r="B591" i="1" s="1"/>
  <c r="W591" i="1"/>
  <c r="R591" i="1"/>
  <c r="I591" i="1"/>
  <c r="H591" i="1"/>
  <c r="G591" i="1"/>
  <c r="F591" i="1"/>
  <c r="E591" i="1"/>
  <c r="D591" i="1"/>
  <c r="C591" i="1"/>
  <c r="A591" i="1"/>
  <c r="X590" i="1"/>
  <c r="B590" i="1" s="1"/>
  <c r="W590" i="1"/>
  <c r="R590" i="1"/>
  <c r="I590" i="1"/>
  <c r="H590" i="1"/>
  <c r="G590" i="1"/>
  <c r="F590" i="1"/>
  <c r="E590" i="1"/>
  <c r="D590" i="1"/>
  <c r="C590" i="1"/>
  <c r="A590" i="1"/>
  <c r="X589" i="1"/>
  <c r="B589" i="1" s="1"/>
  <c r="W589" i="1"/>
  <c r="R589" i="1"/>
  <c r="I589" i="1"/>
  <c r="H589" i="1"/>
  <c r="G589" i="1"/>
  <c r="F589" i="1"/>
  <c r="E589" i="1"/>
  <c r="D589" i="1"/>
  <c r="C589" i="1"/>
  <c r="A589" i="1"/>
  <c r="X588" i="1"/>
  <c r="B588" i="1" s="1"/>
  <c r="W588" i="1"/>
  <c r="R588" i="1"/>
  <c r="I588" i="1"/>
  <c r="H588" i="1"/>
  <c r="G588" i="1"/>
  <c r="F588" i="1"/>
  <c r="E588" i="1"/>
  <c r="D588" i="1"/>
  <c r="C588" i="1"/>
  <c r="A588" i="1"/>
  <c r="X587" i="1"/>
  <c r="B587" i="1" s="1"/>
  <c r="W587" i="1"/>
  <c r="R587" i="1"/>
  <c r="I587" i="1"/>
  <c r="H587" i="1"/>
  <c r="G587" i="1"/>
  <c r="F587" i="1"/>
  <c r="E587" i="1"/>
  <c r="D587" i="1"/>
  <c r="C587" i="1"/>
  <c r="A587" i="1"/>
  <c r="X586" i="1"/>
  <c r="B586" i="1" s="1"/>
  <c r="W586" i="1"/>
  <c r="R586" i="1"/>
  <c r="I586" i="1"/>
  <c r="H586" i="1"/>
  <c r="G586" i="1"/>
  <c r="F586" i="1"/>
  <c r="E586" i="1"/>
  <c r="D586" i="1"/>
  <c r="C586" i="1"/>
  <c r="A586" i="1"/>
  <c r="X585" i="1"/>
  <c r="B585" i="1" s="1"/>
  <c r="W585" i="1"/>
  <c r="R585" i="1"/>
  <c r="I585" i="1"/>
  <c r="H585" i="1"/>
  <c r="G585" i="1"/>
  <c r="F585" i="1"/>
  <c r="E585" i="1"/>
  <c r="D585" i="1"/>
  <c r="C585" i="1"/>
  <c r="A585" i="1"/>
  <c r="X584" i="1"/>
  <c r="B584" i="1" s="1"/>
  <c r="W584" i="1"/>
  <c r="R584" i="1"/>
  <c r="I584" i="1"/>
  <c r="H584" i="1"/>
  <c r="G584" i="1"/>
  <c r="F584" i="1"/>
  <c r="E584" i="1"/>
  <c r="D584" i="1"/>
  <c r="C584" i="1"/>
  <c r="A584" i="1"/>
  <c r="X583" i="1"/>
  <c r="B583" i="1" s="1"/>
  <c r="W583" i="1"/>
  <c r="R583" i="1"/>
  <c r="I583" i="1"/>
  <c r="H583" i="1"/>
  <c r="G583" i="1"/>
  <c r="F583" i="1"/>
  <c r="E583" i="1"/>
  <c r="D583" i="1"/>
  <c r="C583" i="1"/>
  <c r="A583" i="1"/>
  <c r="X582" i="1"/>
  <c r="B582" i="1" s="1"/>
  <c r="W582" i="1"/>
  <c r="R582" i="1"/>
  <c r="I582" i="1"/>
  <c r="H582" i="1"/>
  <c r="G582" i="1"/>
  <c r="F582" i="1"/>
  <c r="E582" i="1"/>
  <c r="D582" i="1"/>
  <c r="C582" i="1"/>
  <c r="A582" i="1"/>
  <c r="X581" i="1"/>
  <c r="B581" i="1" s="1"/>
  <c r="W581" i="1"/>
  <c r="R581" i="1"/>
  <c r="I581" i="1"/>
  <c r="H581" i="1"/>
  <c r="G581" i="1"/>
  <c r="F581" i="1"/>
  <c r="E581" i="1"/>
  <c r="D581" i="1"/>
  <c r="C581" i="1"/>
  <c r="A581" i="1"/>
  <c r="X580" i="1"/>
  <c r="B580" i="1" s="1"/>
  <c r="W580" i="1"/>
  <c r="R580" i="1"/>
  <c r="I580" i="1"/>
  <c r="H580" i="1"/>
  <c r="G580" i="1"/>
  <c r="F580" i="1"/>
  <c r="E580" i="1"/>
  <c r="D580" i="1"/>
  <c r="C580" i="1"/>
  <c r="A580" i="1"/>
  <c r="X579" i="1"/>
  <c r="B579" i="1" s="1"/>
  <c r="W579" i="1"/>
  <c r="R579" i="1"/>
  <c r="I579" i="1"/>
  <c r="H579" i="1"/>
  <c r="G579" i="1"/>
  <c r="F579" i="1"/>
  <c r="E579" i="1"/>
  <c r="D579" i="1"/>
  <c r="C579" i="1"/>
  <c r="A579" i="1"/>
  <c r="X578" i="1"/>
  <c r="B578" i="1" s="1"/>
  <c r="W578" i="1"/>
  <c r="R578" i="1"/>
  <c r="I578" i="1"/>
  <c r="H578" i="1"/>
  <c r="G578" i="1"/>
  <c r="F578" i="1"/>
  <c r="E578" i="1"/>
  <c r="D578" i="1"/>
  <c r="C578" i="1"/>
  <c r="A578" i="1"/>
  <c r="X577" i="1"/>
  <c r="B577" i="1" s="1"/>
  <c r="W577" i="1"/>
  <c r="R577" i="1"/>
  <c r="I577" i="1"/>
  <c r="H577" i="1"/>
  <c r="G577" i="1"/>
  <c r="F577" i="1"/>
  <c r="E577" i="1"/>
  <c r="D577" i="1"/>
  <c r="C577" i="1"/>
  <c r="A577" i="1"/>
  <c r="X576" i="1"/>
  <c r="B576" i="1" s="1"/>
  <c r="W576" i="1"/>
  <c r="R576" i="1"/>
  <c r="I576" i="1"/>
  <c r="H576" i="1"/>
  <c r="G576" i="1"/>
  <c r="F576" i="1"/>
  <c r="E576" i="1"/>
  <c r="D576" i="1"/>
  <c r="C576" i="1"/>
  <c r="A576" i="1"/>
  <c r="X575" i="1"/>
  <c r="B575" i="1" s="1"/>
  <c r="W575" i="1"/>
  <c r="R575" i="1"/>
  <c r="I575" i="1"/>
  <c r="H575" i="1"/>
  <c r="G575" i="1"/>
  <c r="F575" i="1"/>
  <c r="E575" i="1"/>
  <c r="D575" i="1"/>
  <c r="C575" i="1"/>
  <c r="A575" i="1"/>
  <c r="X574" i="1"/>
  <c r="B574" i="1" s="1"/>
  <c r="W574" i="1"/>
  <c r="R574" i="1"/>
  <c r="I574" i="1"/>
  <c r="H574" i="1"/>
  <c r="G574" i="1"/>
  <c r="F574" i="1"/>
  <c r="E574" i="1"/>
  <c r="D574" i="1"/>
  <c r="C574" i="1"/>
  <c r="A574" i="1"/>
  <c r="X573" i="1"/>
  <c r="B573" i="1" s="1"/>
  <c r="W573" i="1"/>
  <c r="R573" i="1"/>
  <c r="I573" i="1"/>
  <c r="H573" i="1"/>
  <c r="G573" i="1"/>
  <c r="F573" i="1"/>
  <c r="E573" i="1"/>
  <c r="D573" i="1"/>
  <c r="C573" i="1"/>
  <c r="A573" i="1"/>
  <c r="X572" i="1"/>
  <c r="B572" i="1" s="1"/>
  <c r="W572" i="1"/>
  <c r="R572" i="1"/>
  <c r="I572" i="1"/>
  <c r="H572" i="1"/>
  <c r="G572" i="1"/>
  <c r="F572" i="1"/>
  <c r="E572" i="1"/>
  <c r="D572" i="1"/>
  <c r="C572" i="1"/>
  <c r="A572" i="1"/>
  <c r="X571" i="1"/>
  <c r="B571" i="1" s="1"/>
  <c r="W571" i="1"/>
  <c r="R571" i="1"/>
  <c r="I571" i="1"/>
  <c r="H571" i="1"/>
  <c r="G571" i="1"/>
  <c r="F571" i="1"/>
  <c r="E571" i="1"/>
  <c r="D571" i="1"/>
  <c r="C571" i="1"/>
  <c r="A571" i="1"/>
  <c r="X570" i="1"/>
  <c r="B570" i="1" s="1"/>
  <c r="W570" i="1"/>
  <c r="R570" i="1"/>
  <c r="I570" i="1"/>
  <c r="H570" i="1"/>
  <c r="G570" i="1"/>
  <c r="F570" i="1"/>
  <c r="E570" i="1"/>
  <c r="D570" i="1"/>
  <c r="C570" i="1"/>
  <c r="A570" i="1"/>
  <c r="X569" i="1"/>
  <c r="B569" i="1" s="1"/>
  <c r="W569" i="1"/>
  <c r="R569" i="1"/>
  <c r="I569" i="1"/>
  <c r="H569" i="1"/>
  <c r="G569" i="1"/>
  <c r="F569" i="1"/>
  <c r="E569" i="1"/>
  <c r="D569" i="1"/>
  <c r="C569" i="1"/>
  <c r="A569" i="1"/>
  <c r="X568" i="1"/>
  <c r="B568" i="1" s="1"/>
  <c r="W568" i="1"/>
  <c r="R568" i="1"/>
  <c r="I568" i="1"/>
  <c r="H568" i="1"/>
  <c r="G568" i="1"/>
  <c r="F568" i="1"/>
  <c r="E568" i="1"/>
  <c r="D568" i="1"/>
  <c r="C568" i="1"/>
  <c r="A568" i="1"/>
  <c r="X567" i="1"/>
  <c r="B567" i="1" s="1"/>
  <c r="W567" i="1"/>
  <c r="R567" i="1"/>
  <c r="I567" i="1"/>
  <c r="H567" i="1"/>
  <c r="G567" i="1"/>
  <c r="F567" i="1"/>
  <c r="E567" i="1"/>
  <c r="D567" i="1"/>
  <c r="C567" i="1"/>
  <c r="A567" i="1"/>
  <c r="X566" i="1"/>
  <c r="B566" i="1" s="1"/>
  <c r="W566" i="1"/>
  <c r="R566" i="1"/>
  <c r="I566" i="1"/>
  <c r="H566" i="1"/>
  <c r="G566" i="1"/>
  <c r="F566" i="1"/>
  <c r="E566" i="1"/>
  <c r="D566" i="1"/>
  <c r="C566" i="1"/>
  <c r="A566" i="1"/>
  <c r="X565" i="1"/>
  <c r="B565" i="1" s="1"/>
  <c r="W565" i="1"/>
  <c r="R565" i="1"/>
  <c r="I565" i="1"/>
  <c r="H565" i="1"/>
  <c r="G565" i="1"/>
  <c r="F565" i="1"/>
  <c r="E565" i="1"/>
  <c r="D565" i="1"/>
  <c r="C565" i="1"/>
  <c r="A565" i="1"/>
  <c r="X564" i="1"/>
  <c r="B564" i="1" s="1"/>
  <c r="W564" i="1"/>
  <c r="R564" i="1"/>
  <c r="I564" i="1"/>
  <c r="H564" i="1"/>
  <c r="G564" i="1"/>
  <c r="F564" i="1"/>
  <c r="E564" i="1"/>
  <c r="D564" i="1"/>
  <c r="C564" i="1"/>
  <c r="A564" i="1"/>
  <c r="X563" i="1"/>
  <c r="B563" i="1" s="1"/>
  <c r="W563" i="1"/>
  <c r="R563" i="1"/>
  <c r="I563" i="1"/>
  <c r="H563" i="1"/>
  <c r="G563" i="1"/>
  <c r="F563" i="1"/>
  <c r="E563" i="1"/>
  <c r="D563" i="1"/>
  <c r="C563" i="1"/>
  <c r="A563" i="1"/>
  <c r="X562" i="1"/>
  <c r="B562" i="1" s="1"/>
  <c r="W562" i="1"/>
  <c r="R562" i="1"/>
  <c r="I562" i="1"/>
  <c r="H562" i="1"/>
  <c r="G562" i="1"/>
  <c r="F562" i="1"/>
  <c r="E562" i="1"/>
  <c r="D562" i="1"/>
  <c r="C562" i="1"/>
  <c r="A562" i="1"/>
  <c r="X561" i="1"/>
  <c r="B561" i="1" s="1"/>
  <c r="W561" i="1"/>
  <c r="R561" i="1"/>
  <c r="I561" i="1"/>
  <c r="H561" i="1"/>
  <c r="G561" i="1"/>
  <c r="F561" i="1"/>
  <c r="E561" i="1"/>
  <c r="D561" i="1"/>
  <c r="C561" i="1"/>
  <c r="A561" i="1"/>
  <c r="X560" i="1"/>
  <c r="B560" i="1" s="1"/>
  <c r="W560" i="1"/>
  <c r="R560" i="1"/>
  <c r="I560" i="1"/>
  <c r="H560" i="1"/>
  <c r="G560" i="1"/>
  <c r="F560" i="1"/>
  <c r="E560" i="1"/>
  <c r="D560" i="1"/>
  <c r="C560" i="1"/>
  <c r="A560" i="1"/>
  <c r="X559" i="1"/>
  <c r="B559" i="1" s="1"/>
  <c r="W559" i="1"/>
  <c r="R559" i="1"/>
  <c r="I559" i="1"/>
  <c r="H559" i="1"/>
  <c r="G559" i="1"/>
  <c r="F559" i="1"/>
  <c r="E559" i="1"/>
  <c r="D559" i="1"/>
  <c r="C559" i="1"/>
  <c r="A559" i="1"/>
  <c r="X558" i="1"/>
  <c r="B558" i="1" s="1"/>
  <c r="W558" i="1"/>
  <c r="R558" i="1"/>
  <c r="I558" i="1"/>
  <c r="H558" i="1"/>
  <c r="G558" i="1"/>
  <c r="F558" i="1"/>
  <c r="E558" i="1"/>
  <c r="D558" i="1"/>
  <c r="C558" i="1"/>
  <c r="A558" i="1"/>
  <c r="X557" i="1"/>
  <c r="B557" i="1" s="1"/>
  <c r="W557" i="1"/>
  <c r="R557" i="1"/>
  <c r="I557" i="1"/>
  <c r="H557" i="1"/>
  <c r="G557" i="1"/>
  <c r="F557" i="1"/>
  <c r="E557" i="1"/>
  <c r="D557" i="1"/>
  <c r="C557" i="1"/>
  <c r="A557" i="1"/>
  <c r="X556" i="1"/>
  <c r="B556" i="1" s="1"/>
  <c r="W556" i="1"/>
  <c r="R556" i="1"/>
  <c r="I556" i="1"/>
  <c r="H556" i="1"/>
  <c r="G556" i="1"/>
  <c r="F556" i="1"/>
  <c r="E556" i="1"/>
  <c r="D556" i="1"/>
  <c r="C556" i="1"/>
  <c r="A556" i="1"/>
  <c r="X555" i="1"/>
  <c r="B555" i="1" s="1"/>
  <c r="W555" i="1"/>
  <c r="R555" i="1"/>
  <c r="I555" i="1"/>
  <c r="H555" i="1"/>
  <c r="G555" i="1"/>
  <c r="F555" i="1"/>
  <c r="E555" i="1"/>
  <c r="D555" i="1"/>
  <c r="C555" i="1"/>
  <c r="A555" i="1"/>
  <c r="X554" i="1"/>
  <c r="B554" i="1" s="1"/>
  <c r="W554" i="1"/>
  <c r="R554" i="1"/>
  <c r="I554" i="1"/>
  <c r="H554" i="1"/>
  <c r="G554" i="1"/>
  <c r="F554" i="1"/>
  <c r="E554" i="1"/>
  <c r="D554" i="1"/>
  <c r="C554" i="1"/>
  <c r="A554" i="1"/>
  <c r="X553" i="1"/>
  <c r="B553" i="1" s="1"/>
  <c r="W553" i="1"/>
  <c r="R553" i="1"/>
  <c r="I553" i="1"/>
  <c r="H553" i="1"/>
  <c r="G553" i="1"/>
  <c r="F553" i="1"/>
  <c r="E553" i="1"/>
  <c r="D553" i="1"/>
  <c r="C553" i="1"/>
  <c r="A553" i="1"/>
  <c r="X552" i="1"/>
  <c r="B552" i="1" s="1"/>
  <c r="W552" i="1"/>
  <c r="R552" i="1"/>
  <c r="I552" i="1"/>
  <c r="H552" i="1"/>
  <c r="G552" i="1"/>
  <c r="F552" i="1"/>
  <c r="E552" i="1"/>
  <c r="D552" i="1"/>
  <c r="C552" i="1"/>
  <c r="A552" i="1"/>
  <c r="X551" i="1"/>
  <c r="B551" i="1" s="1"/>
  <c r="W551" i="1"/>
  <c r="R551" i="1"/>
  <c r="I551" i="1"/>
  <c r="H551" i="1"/>
  <c r="G551" i="1"/>
  <c r="F551" i="1"/>
  <c r="E551" i="1"/>
  <c r="D551" i="1"/>
  <c r="C551" i="1"/>
  <c r="A551" i="1"/>
  <c r="X550" i="1"/>
  <c r="B550" i="1" s="1"/>
  <c r="W550" i="1"/>
  <c r="R550" i="1"/>
  <c r="I550" i="1"/>
  <c r="H550" i="1"/>
  <c r="G550" i="1"/>
  <c r="F550" i="1"/>
  <c r="E550" i="1"/>
  <c r="D550" i="1"/>
  <c r="C550" i="1"/>
  <c r="A550" i="1"/>
  <c r="X549" i="1"/>
  <c r="B549" i="1" s="1"/>
  <c r="W549" i="1"/>
  <c r="R549" i="1"/>
  <c r="I549" i="1"/>
  <c r="H549" i="1"/>
  <c r="G549" i="1"/>
  <c r="F549" i="1"/>
  <c r="E549" i="1"/>
  <c r="D549" i="1"/>
  <c r="C549" i="1"/>
  <c r="A549" i="1"/>
  <c r="X548" i="1"/>
  <c r="B548" i="1" s="1"/>
  <c r="W548" i="1"/>
  <c r="R548" i="1"/>
  <c r="I548" i="1"/>
  <c r="H548" i="1"/>
  <c r="G548" i="1"/>
  <c r="F548" i="1"/>
  <c r="E548" i="1"/>
  <c r="D548" i="1"/>
  <c r="C548" i="1"/>
  <c r="A548" i="1"/>
  <c r="X547" i="1"/>
  <c r="B547" i="1" s="1"/>
  <c r="W547" i="1"/>
  <c r="R547" i="1"/>
  <c r="I547" i="1"/>
  <c r="H547" i="1"/>
  <c r="G547" i="1"/>
  <c r="F547" i="1"/>
  <c r="E547" i="1"/>
  <c r="D547" i="1"/>
  <c r="C547" i="1"/>
  <c r="A547" i="1"/>
  <c r="X546" i="1"/>
  <c r="B546" i="1" s="1"/>
  <c r="W546" i="1"/>
  <c r="Q546" i="1"/>
  <c r="I546" i="1"/>
  <c r="H546" i="1"/>
  <c r="G546" i="1"/>
  <c r="F546" i="1"/>
  <c r="E546" i="1"/>
  <c r="D546" i="1"/>
  <c r="C546" i="1"/>
  <c r="A546" i="1"/>
  <c r="X545" i="1"/>
  <c r="B545" i="1" s="1"/>
  <c r="W545" i="1"/>
  <c r="Q545" i="1"/>
  <c r="I545" i="1"/>
  <c r="H545" i="1"/>
  <c r="G545" i="1"/>
  <c r="F545" i="1"/>
  <c r="E545" i="1"/>
  <c r="D545" i="1"/>
  <c r="C545" i="1"/>
  <c r="A545" i="1"/>
  <c r="X544" i="1"/>
  <c r="B544" i="1" s="1"/>
  <c r="W544" i="1"/>
  <c r="Q544" i="1"/>
  <c r="I544" i="1"/>
  <c r="H544" i="1"/>
  <c r="G544" i="1"/>
  <c r="F544" i="1"/>
  <c r="E544" i="1"/>
  <c r="D544" i="1"/>
  <c r="C544" i="1"/>
  <c r="A544" i="1"/>
  <c r="X543" i="1"/>
  <c r="B543" i="1" s="1"/>
  <c r="W543" i="1"/>
  <c r="Q543" i="1"/>
  <c r="I543" i="1"/>
  <c r="H543" i="1"/>
  <c r="G543" i="1"/>
  <c r="F543" i="1"/>
  <c r="E543" i="1"/>
  <c r="D543" i="1"/>
  <c r="C543" i="1"/>
  <c r="A543" i="1"/>
  <c r="X542" i="1"/>
  <c r="B542" i="1" s="1"/>
  <c r="W542" i="1"/>
  <c r="Q542" i="1"/>
  <c r="I542" i="1"/>
  <c r="H542" i="1"/>
  <c r="G542" i="1"/>
  <c r="F542" i="1"/>
  <c r="E542" i="1"/>
  <c r="D542" i="1"/>
  <c r="C542" i="1"/>
  <c r="A542" i="1"/>
  <c r="X541" i="1"/>
  <c r="B541" i="1" s="1"/>
  <c r="W541" i="1"/>
  <c r="Q541" i="1"/>
  <c r="I541" i="1"/>
  <c r="H541" i="1"/>
  <c r="G541" i="1"/>
  <c r="F541" i="1"/>
  <c r="E541" i="1"/>
  <c r="D541" i="1"/>
  <c r="C541" i="1"/>
  <c r="A541" i="1"/>
  <c r="X540" i="1"/>
  <c r="B540" i="1" s="1"/>
  <c r="W540" i="1"/>
  <c r="Q540" i="1"/>
  <c r="I540" i="1"/>
  <c r="H540" i="1"/>
  <c r="G540" i="1"/>
  <c r="F540" i="1"/>
  <c r="E540" i="1"/>
  <c r="D540" i="1"/>
  <c r="C540" i="1"/>
  <c r="A540" i="1"/>
  <c r="X539" i="1"/>
  <c r="B539" i="1" s="1"/>
  <c r="W539" i="1"/>
  <c r="Q539" i="1"/>
  <c r="I539" i="1"/>
  <c r="H539" i="1"/>
  <c r="G539" i="1"/>
  <c r="F539" i="1"/>
  <c r="E539" i="1"/>
  <c r="D539" i="1"/>
  <c r="C539" i="1"/>
  <c r="A539" i="1"/>
  <c r="X538" i="1"/>
  <c r="B538" i="1" s="1"/>
  <c r="W538" i="1"/>
  <c r="Q538" i="1"/>
  <c r="I538" i="1"/>
  <c r="H538" i="1"/>
  <c r="G538" i="1"/>
  <c r="F538" i="1"/>
  <c r="E538" i="1"/>
  <c r="D538" i="1"/>
  <c r="C538" i="1"/>
  <c r="A538" i="1"/>
  <c r="X537" i="1"/>
  <c r="B537" i="1" s="1"/>
  <c r="W537" i="1"/>
  <c r="Q537" i="1"/>
  <c r="I537" i="1"/>
  <c r="H537" i="1"/>
  <c r="G537" i="1"/>
  <c r="F537" i="1"/>
  <c r="E537" i="1"/>
  <c r="D537" i="1"/>
  <c r="C537" i="1"/>
  <c r="A537" i="1"/>
  <c r="X536" i="1"/>
  <c r="B536" i="1" s="1"/>
  <c r="W536" i="1"/>
  <c r="Q536" i="1"/>
  <c r="I536" i="1"/>
  <c r="H536" i="1"/>
  <c r="G536" i="1"/>
  <c r="F536" i="1"/>
  <c r="E536" i="1"/>
  <c r="D536" i="1"/>
  <c r="C536" i="1"/>
  <c r="A536" i="1"/>
  <c r="X535" i="1"/>
  <c r="B535" i="1" s="1"/>
  <c r="W535" i="1"/>
  <c r="Q535" i="1"/>
  <c r="I535" i="1"/>
  <c r="H535" i="1"/>
  <c r="G535" i="1"/>
  <c r="F535" i="1"/>
  <c r="E535" i="1"/>
  <c r="D535" i="1"/>
  <c r="C535" i="1"/>
  <c r="A535" i="1"/>
  <c r="X534" i="1"/>
  <c r="B534" i="1" s="1"/>
  <c r="W534" i="1"/>
  <c r="Q534" i="1"/>
  <c r="I534" i="1"/>
  <c r="H534" i="1"/>
  <c r="G534" i="1"/>
  <c r="F534" i="1"/>
  <c r="E534" i="1"/>
  <c r="D534" i="1"/>
  <c r="C534" i="1"/>
  <c r="A534" i="1"/>
  <c r="X533" i="1"/>
  <c r="B533" i="1" s="1"/>
  <c r="W533" i="1"/>
  <c r="Q533" i="1"/>
  <c r="I533" i="1"/>
  <c r="H533" i="1"/>
  <c r="G533" i="1"/>
  <c r="F533" i="1"/>
  <c r="E533" i="1"/>
  <c r="D533" i="1"/>
  <c r="C533" i="1"/>
  <c r="A533" i="1"/>
  <c r="X532" i="1"/>
  <c r="B532" i="1" s="1"/>
  <c r="W532" i="1"/>
  <c r="Q532" i="1"/>
  <c r="I532" i="1"/>
  <c r="H532" i="1"/>
  <c r="G532" i="1"/>
  <c r="F532" i="1"/>
  <c r="E532" i="1"/>
  <c r="D532" i="1"/>
  <c r="C532" i="1"/>
  <c r="A532" i="1"/>
  <c r="X531" i="1"/>
  <c r="B531" i="1" s="1"/>
  <c r="W531" i="1"/>
  <c r="Q531" i="1"/>
  <c r="I531" i="1"/>
  <c r="H531" i="1"/>
  <c r="G531" i="1"/>
  <c r="F531" i="1"/>
  <c r="E531" i="1"/>
  <c r="D531" i="1"/>
  <c r="C531" i="1"/>
  <c r="A531" i="1"/>
  <c r="X530" i="1"/>
  <c r="B530" i="1" s="1"/>
  <c r="W530" i="1"/>
  <c r="Q530" i="1"/>
  <c r="I530" i="1"/>
  <c r="H530" i="1"/>
  <c r="G530" i="1"/>
  <c r="F530" i="1"/>
  <c r="E530" i="1"/>
  <c r="D530" i="1"/>
  <c r="C530" i="1"/>
  <c r="A530" i="1"/>
  <c r="X529" i="1"/>
  <c r="B529" i="1" s="1"/>
  <c r="W529" i="1"/>
  <c r="Q529" i="1"/>
  <c r="I529" i="1"/>
  <c r="H529" i="1"/>
  <c r="G529" i="1"/>
  <c r="F529" i="1"/>
  <c r="E529" i="1"/>
  <c r="D529" i="1"/>
  <c r="C529" i="1"/>
  <c r="A529" i="1"/>
  <c r="X528" i="1"/>
  <c r="B528" i="1" s="1"/>
  <c r="W528" i="1"/>
  <c r="Q528" i="1"/>
  <c r="I528" i="1"/>
  <c r="H528" i="1"/>
  <c r="G528" i="1"/>
  <c r="F528" i="1"/>
  <c r="E528" i="1"/>
  <c r="D528" i="1"/>
  <c r="C528" i="1"/>
  <c r="A528" i="1"/>
  <c r="X527" i="1"/>
  <c r="B527" i="1" s="1"/>
  <c r="W527" i="1"/>
  <c r="Q527" i="1"/>
  <c r="I527" i="1"/>
  <c r="H527" i="1"/>
  <c r="G527" i="1"/>
  <c r="F527" i="1"/>
  <c r="E527" i="1"/>
  <c r="D527" i="1"/>
  <c r="C527" i="1"/>
  <c r="A527" i="1"/>
  <c r="X526" i="1"/>
  <c r="B526" i="1" s="1"/>
  <c r="W526" i="1"/>
  <c r="Q526" i="1"/>
  <c r="I526" i="1"/>
  <c r="H526" i="1"/>
  <c r="G526" i="1"/>
  <c r="F526" i="1"/>
  <c r="E526" i="1"/>
  <c r="D526" i="1"/>
  <c r="C526" i="1"/>
  <c r="A526" i="1"/>
  <c r="X525" i="1"/>
  <c r="B525" i="1" s="1"/>
  <c r="W525" i="1"/>
  <c r="Q525" i="1"/>
  <c r="I525" i="1"/>
  <c r="H525" i="1"/>
  <c r="G525" i="1"/>
  <c r="F525" i="1"/>
  <c r="E525" i="1"/>
  <c r="D525" i="1"/>
  <c r="C525" i="1"/>
  <c r="A525" i="1"/>
  <c r="X524" i="1"/>
  <c r="B524" i="1" s="1"/>
  <c r="W524" i="1"/>
  <c r="Q524" i="1"/>
  <c r="I524" i="1"/>
  <c r="H524" i="1"/>
  <c r="G524" i="1"/>
  <c r="F524" i="1"/>
  <c r="E524" i="1"/>
  <c r="D524" i="1"/>
  <c r="C524" i="1"/>
  <c r="A524" i="1"/>
  <c r="X523" i="1"/>
  <c r="B523" i="1" s="1"/>
  <c r="W523" i="1"/>
  <c r="Q523" i="1"/>
  <c r="I523" i="1"/>
  <c r="H523" i="1"/>
  <c r="G523" i="1"/>
  <c r="F523" i="1"/>
  <c r="E523" i="1"/>
  <c r="D523" i="1"/>
  <c r="C523" i="1"/>
  <c r="A523" i="1"/>
  <c r="X522" i="1"/>
  <c r="B522" i="1" s="1"/>
  <c r="W522" i="1"/>
  <c r="Q522" i="1"/>
  <c r="I522" i="1"/>
  <c r="H522" i="1"/>
  <c r="G522" i="1"/>
  <c r="F522" i="1"/>
  <c r="E522" i="1"/>
  <c r="D522" i="1"/>
  <c r="C522" i="1"/>
  <c r="A522" i="1"/>
  <c r="X521" i="1"/>
  <c r="B521" i="1" s="1"/>
  <c r="W521" i="1"/>
  <c r="Q521" i="1"/>
  <c r="I521" i="1"/>
  <c r="H521" i="1"/>
  <c r="G521" i="1"/>
  <c r="F521" i="1"/>
  <c r="E521" i="1"/>
  <c r="D521" i="1"/>
  <c r="C521" i="1"/>
  <c r="A521" i="1"/>
  <c r="X520" i="1"/>
  <c r="B520" i="1" s="1"/>
  <c r="W520" i="1"/>
  <c r="Q520" i="1"/>
  <c r="I520" i="1"/>
  <c r="H520" i="1"/>
  <c r="G520" i="1"/>
  <c r="F520" i="1"/>
  <c r="E520" i="1"/>
  <c r="D520" i="1"/>
  <c r="C520" i="1"/>
  <c r="A520" i="1"/>
  <c r="X519" i="1"/>
  <c r="B519" i="1" s="1"/>
  <c r="W519" i="1"/>
  <c r="Q519" i="1"/>
  <c r="I519" i="1"/>
  <c r="H519" i="1"/>
  <c r="G519" i="1"/>
  <c r="F519" i="1"/>
  <c r="E519" i="1"/>
  <c r="D519" i="1"/>
  <c r="C519" i="1"/>
  <c r="A519" i="1"/>
  <c r="X518" i="1"/>
  <c r="B518" i="1" s="1"/>
  <c r="W518" i="1"/>
  <c r="Q518" i="1"/>
  <c r="I518" i="1"/>
  <c r="H518" i="1"/>
  <c r="G518" i="1"/>
  <c r="F518" i="1"/>
  <c r="E518" i="1"/>
  <c r="D518" i="1"/>
  <c r="C518" i="1"/>
  <c r="A518" i="1"/>
  <c r="X517" i="1"/>
  <c r="B517" i="1" s="1"/>
  <c r="W517" i="1"/>
  <c r="Q517" i="1"/>
  <c r="I517" i="1"/>
  <c r="H517" i="1"/>
  <c r="G517" i="1"/>
  <c r="F517" i="1"/>
  <c r="E517" i="1"/>
  <c r="D517" i="1"/>
  <c r="C517" i="1"/>
  <c r="A517" i="1"/>
  <c r="X516" i="1"/>
  <c r="B516" i="1" s="1"/>
  <c r="W516" i="1"/>
  <c r="Q516" i="1"/>
  <c r="I516" i="1"/>
  <c r="H516" i="1"/>
  <c r="G516" i="1"/>
  <c r="F516" i="1"/>
  <c r="E516" i="1"/>
  <c r="D516" i="1"/>
  <c r="C516" i="1"/>
  <c r="A516" i="1"/>
  <c r="X515" i="1"/>
  <c r="B515" i="1" s="1"/>
  <c r="W515" i="1"/>
  <c r="Q515" i="1"/>
  <c r="I515" i="1"/>
  <c r="H515" i="1"/>
  <c r="G515" i="1"/>
  <c r="F515" i="1"/>
  <c r="E515" i="1"/>
  <c r="D515" i="1"/>
  <c r="C515" i="1"/>
  <c r="A515" i="1"/>
  <c r="X514" i="1"/>
  <c r="B514" i="1" s="1"/>
  <c r="W514" i="1"/>
  <c r="Q514" i="1"/>
  <c r="I514" i="1"/>
  <c r="H514" i="1"/>
  <c r="G514" i="1"/>
  <c r="F514" i="1"/>
  <c r="E514" i="1"/>
  <c r="D514" i="1"/>
  <c r="C514" i="1"/>
  <c r="A514" i="1"/>
  <c r="X513" i="1"/>
  <c r="B513" i="1" s="1"/>
  <c r="W513" i="1"/>
  <c r="Q513" i="1"/>
  <c r="I513" i="1"/>
  <c r="H513" i="1"/>
  <c r="G513" i="1"/>
  <c r="F513" i="1"/>
  <c r="E513" i="1"/>
  <c r="D513" i="1"/>
  <c r="C513" i="1"/>
  <c r="A513" i="1"/>
  <c r="X512" i="1"/>
  <c r="B512" i="1" s="1"/>
  <c r="W512" i="1"/>
  <c r="Q512" i="1"/>
  <c r="I512" i="1"/>
  <c r="H512" i="1"/>
  <c r="G512" i="1"/>
  <c r="F512" i="1"/>
  <c r="E512" i="1"/>
  <c r="D512" i="1"/>
  <c r="C512" i="1"/>
  <c r="A512" i="1"/>
  <c r="X511" i="1"/>
  <c r="B511" i="1" s="1"/>
  <c r="W511" i="1"/>
  <c r="Q511" i="1"/>
  <c r="I511" i="1"/>
  <c r="H511" i="1"/>
  <c r="G511" i="1"/>
  <c r="F511" i="1"/>
  <c r="E511" i="1"/>
  <c r="D511" i="1"/>
  <c r="C511" i="1"/>
  <c r="A511" i="1"/>
  <c r="X510" i="1"/>
  <c r="B510" i="1" s="1"/>
  <c r="W510" i="1"/>
  <c r="Q510" i="1"/>
  <c r="I510" i="1"/>
  <c r="H510" i="1"/>
  <c r="G510" i="1"/>
  <c r="F510" i="1"/>
  <c r="E510" i="1"/>
  <c r="D510" i="1"/>
  <c r="C510" i="1"/>
  <c r="A510" i="1"/>
  <c r="X509" i="1"/>
  <c r="B509" i="1" s="1"/>
  <c r="W509" i="1"/>
  <c r="Q509" i="1"/>
  <c r="I509" i="1"/>
  <c r="H509" i="1"/>
  <c r="G509" i="1"/>
  <c r="F509" i="1"/>
  <c r="E509" i="1"/>
  <c r="D509" i="1"/>
  <c r="C509" i="1"/>
  <c r="A509" i="1"/>
  <c r="X508" i="1"/>
  <c r="B508" i="1" s="1"/>
  <c r="W508" i="1"/>
  <c r="Q508" i="1"/>
  <c r="I508" i="1"/>
  <c r="H508" i="1"/>
  <c r="G508" i="1"/>
  <c r="F508" i="1"/>
  <c r="E508" i="1"/>
  <c r="D508" i="1"/>
  <c r="C508" i="1"/>
  <c r="A508" i="1"/>
  <c r="X507" i="1"/>
  <c r="B507" i="1" s="1"/>
  <c r="W507" i="1"/>
  <c r="Q507" i="1"/>
  <c r="I507" i="1"/>
  <c r="H507" i="1"/>
  <c r="G507" i="1"/>
  <c r="F507" i="1"/>
  <c r="E507" i="1"/>
  <c r="D507" i="1"/>
  <c r="C507" i="1"/>
  <c r="A507" i="1"/>
  <c r="X506" i="1"/>
  <c r="B506" i="1" s="1"/>
  <c r="W506" i="1"/>
  <c r="Q506" i="1"/>
  <c r="I506" i="1"/>
  <c r="H506" i="1"/>
  <c r="G506" i="1"/>
  <c r="F506" i="1"/>
  <c r="E506" i="1"/>
  <c r="D506" i="1"/>
  <c r="C506" i="1"/>
  <c r="A506" i="1"/>
  <c r="X505" i="1"/>
  <c r="B505" i="1" s="1"/>
  <c r="W505" i="1"/>
  <c r="Q505" i="1"/>
  <c r="I505" i="1"/>
  <c r="H505" i="1"/>
  <c r="G505" i="1"/>
  <c r="F505" i="1"/>
  <c r="E505" i="1"/>
  <c r="D505" i="1"/>
  <c r="C505" i="1"/>
  <c r="A505" i="1"/>
  <c r="X504" i="1"/>
  <c r="B504" i="1" s="1"/>
  <c r="W504" i="1"/>
  <c r="Q504" i="1"/>
  <c r="I504" i="1"/>
  <c r="H504" i="1"/>
  <c r="G504" i="1"/>
  <c r="F504" i="1"/>
  <c r="E504" i="1"/>
  <c r="D504" i="1"/>
  <c r="C504" i="1"/>
  <c r="A504" i="1"/>
  <c r="X503" i="1"/>
  <c r="B503" i="1" s="1"/>
  <c r="W503" i="1"/>
  <c r="Q503" i="1"/>
  <c r="I503" i="1"/>
  <c r="H503" i="1"/>
  <c r="G503" i="1"/>
  <c r="F503" i="1"/>
  <c r="E503" i="1"/>
  <c r="D503" i="1"/>
  <c r="C503" i="1"/>
  <c r="A503" i="1"/>
  <c r="X502" i="1"/>
  <c r="B502" i="1" s="1"/>
  <c r="W502" i="1"/>
  <c r="Q502" i="1"/>
  <c r="I502" i="1"/>
  <c r="H502" i="1"/>
  <c r="G502" i="1"/>
  <c r="F502" i="1"/>
  <c r="E502" i="1"/>
  <c r="D502" i="1"/>
  <c r="C502" i="1"/>
  <c r="A502" i="1"/>
  <c r="X501" i="1"/>
  <c r="B501" i="1" s="1"/>
  <c r="W501" i="1"/>
  <c r="Q501" i="1"/>
  <c r="I501" i="1"/>
  <c r="H501" i="1"/>
  <c r="G501" i="1"/>
  <c r="F501" i="1"/>
  <c r="E501" i="1"/>
  <c r="D501" i="1"/>
  <c r="C501" i="1"/>
  <c r="A501" i="1"/>
  <c r="X500" i="1"/>
  <c r="B500" i="1" s="1"/>
  <c r="W500" i="1"/>
  <c r="Q500" i="1"/>
  <c r="I500" i="1"/>
  <c r="H500" i="1"/>
  <c r="G500" i="1"/>
  <c r="F500" i="1"/>
  <c r="E500" i="1"/>
  <c r="D500" i="1"/>
  <c r="C500" i="1"/>
  <c r="A500" i="1"/>
  <c r="X499" i="1"/>
  <c r="B499" i="1" s="1"/>
  <c r="W499" i="1"/>
  <c r="Q499" i="1"/>
  <c r="I499" i="1"/>
  <c r="H499" i="1"/>
  <c r="G499" i="1"/>
  <c r="F499" i="1"/>
  <c r="E499" i="1"/>
  <c r="D499" i="1"/>
  <c r="C499" i="1"/>
  <c r="A499" i="1"/>
  <c r="X498" i="1"/>
  <c r="B498" i="1" s="1"/>
  <c r="W498" i="1"/>
  <c r="Q498" i="1"/>
  <c r="I498" i="1"/>
  <c r="H498" i="1"/>
  <c r="G498" i="1"/>
  <c r="F498" i="1"/>
  <c r="E498" i="1"/>
  <c r="D498" i="1"/>
  <c r="C498" i="1"/>
  <c r="A498" i="1"/>
  <c r="X497" i="1"/>
  <c r="B497" i="1" s="1"/>
  <c r="W497" i="1"/>
  <c r="Q497" i="1"/>
  <c r="I497" i="1"/>
  <c r="H497" i="1"/>
  <c r="G497" i="1"/>
  <c r="F497" i="1"/>
  <c r="E497" i="1"/>
  <c r="D497" i="1"/>
  <c r="C497" i="1"/>
  <c r="A497" i="1"/>
  <c r="X496" i="1"/>
  <c r="B496" i="1" s="1"/>
  <c r="W496" i="1"/>
  <c r="Q496" i="1"/>
  <c r="I496" i="1"/>
  <c r="H496" i="1"/>
  <c r="G496" i="1"/>
  <c r="F496" i="1"/>
  <c r="E496" i="1"/>
  <c r="D496" i="1"/>
  <c r="C496" i="1"/>
  <c r="A496" i="1"/>
  <c r="X495" i="1"/>
  <c r="B495" i="1" s="1"/>
  <c r="W495" i="1"/>
  <c r="Q495" i="1"/>
  <c r="I495" i="1"/>
  <c r="H495" i="1"/>
  <c r="G495" i="1"/>
  <c r="F495" i="1"/>
  <c r="E495" i="1"/>
  <c r="D495" i="1"/>
  <c r="C495" i="1"/>
  <c r="A495" i="1"/>
  <c r="X494" i="1"/>
  <c r="B494" i="1" s="1"/>
  <c r="W494" i="1"/>
  <c r="Q494" i="1"/>
  <c r="I494" i="1"/>
  <c r="H494" i="1"/>
  <c r="G494" i="1"/>
  <c r="F494" i="1"/>
  <c r="E494" i="1"/>
  <c r="D494" i="1"/>
  <c r="C494" i="1"/>
  <c r="A494" i="1"/>
  <c r="X493" i="1"/>
  <c r="B493" i="1" s="1"/>
  <c r="W493" i="1"/>
  <c r="Q493" i="1"/>
  <c r="I493" i="1"/>
  <c r="H493" i="1"/>
  <c r="G493" i="1"/>
  <c r="F493" i="1"/>
  <c r="E493" i="1"/>
  <c r="D493" i="1"/>
  <c r="C493" i="1"/>
  <c r="A493" i="1"/>
  <c r="X492" i="1"/>
  <c r="B492" i="1" s="1"/>
  <c r="W492" i="1"/>
  <c r="Q492" i="1"/>
  <c r="I492" i="1"/>
  <c r="H492" i="1"/>
  <c r="G492" i="1"/>
  <c r="F492" i="1"/>
  <c r="E492" i="1"/>
  <c r="D492" i="1"/>
  <c r="C492" i="1"/>
  <c r="A492" i="1"/>
  <c r="X491" i="1"/>
  <c r="B491" i="1" s="1"/>
  <c r="W491" i="1"/>
  <c r="Q491" i="1"/>
  <c r="I491" i="1"/>
  <c r="H491" i="1"/>
  <c r="G491" i="1"/>
  <c r="F491" i="1"/>
  <c r="E491" i="1"/>
  <c r="D491" i="1"/>
  <c r="C491" i="1"/>
  <c r="A491" i="1"/>
  <c r="X490" i="1"/>
  <c r="B490" i="1" s="1"/>
  <c r="W490" i="1"/>
  <c r="Q490" i="1"/>
  <c r="I490" i="1"/>
  <c r="H490" i="1"/>
  <c r="G490" i="1"/>
  <c r="F490" i="1"/>
  <c r="E490" i="1"/>
  <c r="D490" i="1"/>
  <c r="C490" i="1"/>
  <c r="A490" i="1"/>
  <c r="X489" i="1"/>
  <c r="B489" i="1" s="1"/>
  <c r="W489" i="1"/>
  <c r="Q489" i="1"/>
  <c r="I489" i="1"/>
  <c r="H489" i="1"/>
  <c r="G489" i="1"/>
  <c r="F489" i="1"/>
  <c r="E489" i="1"/>
  <c r="D489" i="1"/>
  <c r="C489" i="1"/>
  <c r="A489" i="1"/>
  <c r="X488" i="1"/>
  <c r="B488" i="1" s="1"/>
  <c r="W488" i="1"/>
  <c r="Q488" i="1"/>
  <c r="I488" i="1"/>
  <c r="H488" i="1"/>
  <c r="G488" i="1"/>
  <c r="F488" i="1"/>
  <c r="E488" i="1"/>
  <c r="D488" i="1"/>
  <c r="C488" i="1"/>
  <c r="A488" i="1"/>
  <c r="X487" i="1"/>
  <c r="B487" i="1" s="1"/>
  <c r="W487" i="1"/>
  <c r="Q487" i="1"/>
  <c r="I487" i="1"/>
  <c r="H487" i="1"/>
  <c r="G487" i="1"/>
  <c r="F487" i="1"/>
  <c r="E487" i="1"/>
  <c r="D487" i="1"/>
  <c r="C487" i="1"/>
  <c r="A487" i="1"/>
  <c r="X486" i="1"/>
  <c r="B486" i="1" s="1"/>
  <c r="W486" i="1"/>
  <c r="Q486" i="1"/>
  <c r="I486" i="1"/>
  <c r="H486" i="1"/>
  <c r="G486" i="1"/>
  <c r="F486" i="1"/>
  <c r="E486" i="1"/>
  <c r="D486" i="1"/>
  <c r="C486" i="1"/>
  <c r="A486" i="1"/>
  <c r="X485" i="1"/>
  <c r="B485" i="1" s="1"/>
  <c r="W485" i="1"/>
  <c r="Q485" i="1"/>
  <c r="I485" i="1"/>
  <c r="H485" i="1"/>
  <c r="G485" i="1"/>
  <c r="F485" i="1"/>
  <c r="E485" i="1"/>
  <c r="D485" i="1"/>
  <c r="C485" i="1"/>
  <c r="A485" i="1"/>
  <c r="X484" i="1"/>
  <c r="B484" i="1" s="1"/>
  <c r="W484" i="1"/>
  <c r="Q484" i="1"/>
  <c r="I484" i="1"/>
  <c r="H484" i="1"/>
  <c r="G484" i="1"/>
  <c r="F484" i="1"/>
  <c r="E484" i="1"/>
  <c r="D484" i="1"/>
  <c r="C484" i="1"/>
  <c r="A484" i="1"/>
  <c r="X483" i="1"/>
  <c r="B483" i="1" s="1"/>
  <c r="W483" i="1"/>
  <c r="Q483" i="1"/>
  <c r="I483" i="1"/>
  <c r="H483" i="1"/>
  <c r="G483" i="1"/>
  <c r="F483" i="1"/>
  <c r="E483" i="1"/>
  <c r="D483" i="1"/>
  <c r="C483" i="1"/>
  <c r="A483" i="1"/>
  <c r="X482" i="1"/>
  <c r="B482" i="1" s="1"/>
  <c r="W482" i="1"/>
  <c r="Q482" i="1"/>
  <c r="I482" i="1"/>
  <c r="H482" i="1"/>
  <c r="G482" i="1"/>
  <c r="F482" i="1"/>
  <c r="E482" i="1"/>
  <c r="D482" i="1"/>
  <c r="C482" i="1"/>
  <c r="A482" i="1"/>
  <c r="X481" i="1"/>
  <c r="B481" i="1" s="1"/>
  <c r="W481" i="1"/>
  <c r="Q481" i="1"/>
  <c r="I481" i="1"/>
  <c r="H481" i="1"/>
  <c r="G481" i="1"/>
  <c r="F481" i="1"/>
  <c r="E481" i="1"/>
  <c r="D481" i="1"/>
  <c r="C481" i="1"/>
  <c r="A481" i="1"/>
  <c r="X480" i="1"/>
  <c r="B480" i="1" s="1"/>
  <c r="W480" i="1"/>
  <c r="Q480" i="1"/>
  <c r="I480" i="1"/>
  <c r="H480" i="1"/>
  <c r="G480" i="1"/>
  <c r="F480" i="1"/>
  <c r="E480" i="1"/>
  <c r="D480" i="1"/>
  <c r="C480" i="1"/>
  <c r="A480" i="1"/>
  <c r="X479" i="1"/>
  <c r="B479" i="1" s="1"/>
  <c r="W479" i="1"/>
  <c r="Q479" i="1"/>
  <c r="I479" i="1"/>
  <c r="H479" i="1"/>
  <c r="G479" i="1"/>
  <c r="F479" i="1"/>
  <c r="E479" i="1"/>
  <c r="D479" i="1"/>
  <c r="C479" i="1"/>
  <c r="A479" i="1"/>
  <c r="X478" i="1"/>
  <c r="B478" i="1" s="1"/>
  <c r="W478" i="1"/>
  <c r="Q478" i="1"/>
  <c r="I478" i="1"/>
  <c r="H478" i="1"/>
  <c r="G478" i="1"/>
  <c r="F478" i="1"/>
  <c r="E478" i="1"/>
  <c r="D478" i="1"/>
  <c r="C478" i="1"/>
  <c r="A478" i="1"/>
  <c r="X477" i="1"/>
  <c r="B477" i="1" s="1"/>
  <c r="W477" i="1"/>
  <c r="Q477" i="1"/>
  <c r="I477" i="1"/>
  <c r="H477" i="1"/>
  <c r="G477" i="1"/>
  <c r="F477" i="1"/>
  <c r="E477" i="1"/>
  <c r="D477" i="1"/>
  <c r="C477" i="1"/>
  <c r="A477" i="1"/>
  <c r="X476" i="1"/>
  <c r="B476" i="1" s="1"/>
  <c r="W476" i="1"/>
  <c r="Q476" i="1"/>
  <c r="I476" i="1"/>
  <c r="H476" i="1"/>
  <c r="G476" i="1"/>
  <c r="F476" i="1"/>
  <c r="E476" i="1"/>
  <c r="D476" i="1"/>
  <c r="C476" i="1"/>
  <c r="A476" i="1"/>
  <c r="X475" i="1"/>
  <c r="B475" i="1" s="1"/>
  <c r="W475" i="1"/>
  <c r="Q475" i="1"/>
  <c r="I475" i="1"/>
  <c r="H475" i="1"/>
  <c r="G475" i="1"/>
  <c r="F475" i="1"/>
  <c r="E475" i="1"/>
  <c r="D475" i="1"/>
  <c r="C475" i="1"/>
  <c r="A475" i="1"/>
  <c r="X474" i="1"/>
  <c r="B474" i="1" s="1"/>
  <c r="W474" i="1"/>
  <c r="Q474" i="1"/>
  <c r="I474" i="1"/>
  <c r="H474" i="1"/>
  <c r="G474" i="1"/>
  <c r="F474" i="1"/>
  <c r="E474" i="1"/>
  <c r="D474" i="1"/>
  <c r="C474" i="1"/>
  <c r="A474" i="1"/>
  <c r="X473" i="1"/>
  <c r="B473" i="1" s="1"/>
  <c r="W473" i="1"/>
  <c r="Q473" i="1"/>
  <c r="I473" i="1"/>
  <c r="H473" i="1"/>
  <c r="G473" i="1"/>
  <c r="F473" i="1"/>
  <c r="E473" i="1"/>
  <c r="D473" i="1"/>
  <c r="C473" i="1"/>
  <c r="A473" i="1"/>
  <c r="X472" i="1"/>
  <c r="B472" i="1" s="1"/>
  <c r="W472" i="1"/>
  <c r="Q472" i="1"/>
  <c r="I472" i="1"/>
  <c r="H472" i="1"/>
  <c r="G472" i="1"/>
  <c r="F472" i="1"/>
  <c r="E472" i="1"/>
  <c r="D472" i="1"/>
  <c r="C472" i="1"/>
  <c r="A472" i="1"/>
  <c r="X471" i="1"/>
  <c r="B471" i="1" s="1"/>
  <c r="W471" i="1"/>
  <c r="Q471" i="1"/>
  <c r="I471" i="1"/>
  <c r="H471" i="1"/>
  <c r="G471" i="1"/>
  <c r="F471" i="1"/>
  <c r="E471" i="1"/>
  <c r="D471" i="1"/>
  <c r="C471" i="1"/>
  <c r="A471" i="1"/>
  <c r="X470" i="1"/>
  <c r="B470" i="1" s="1"/>
  <c r="W470" i="1"/>
  <c r="Q470" i="1"/>
  <c r="I470" i="1"/>
  <c r="H470" i="1"/>
  <c r="G470" i="1"/>
  <c r="F470" i="1"/>
  <c r="E470" i="1"/>
  <c r="D470" i="1"/>
  <c r="C470" i="1"/>
  <c r="A470" i="1"/>
  <c r="X469" i="1"/>
  <c r="B469" i="1" s="1"/>
  <c r="W469" i="1"/>
  <c r="Q469" i="1"/>
  <c r="I469" i="1"/>
  <c r="H469" i="1"/>
  <c r="G469" i="1"/>
  <c r="F469" i="1"/>
  <c r="E469" i="1"/>
  <c r="D469" i="1"/>
  <c r="C469" i="1"/>
  <c r="A469" i="1"/>
  <c r="X468" i="1"/>
  <c r="B468" i="1" s="1"/>
  <c r="W468" i="1"/>
  <c r="Q468" i="1"/>
  <c r="I468" i="1"/>
  <c r="H468" i="1"/>
  <c r="G468" i="1"/>
  <c r="F468" i="1"/>
  <c r="E468" i="1"/>
  <c r="D468" i="1"/>
  <c r="C468" i="1"/>
  <c r="A468" i="1"/>
  <c r="X467" i="1"/>
  <c r="B467" i="1" s="1"/>
  <c r="W467" i="1"/>
  <c r="Q467" i="1"/>
  <c r="I467" i="1"/>
  <c r="H467" i="1"/>
  <c r="G467" i="1"/>
  <c r="F467" i="1"/>
  <c r="E467" i="1"/>
  <c r="D467" i="1"/>
  <c r="C467" i="1"/>
  <c r="A467" i="1"/>
  <c r="X466" i="1"/>
  <c r="B466" i="1" s="1"/>
  <c r="W466" i="1"/>
  <c r="Q466" i="1"/>
  <c r="I466" i="1"/>
  <c r="H466" i="1"/>
  <c r="G466" i="1"/>
  <c r="F466" i="1"/>
  <c r="E466" i="1"/>
  <c r="D466" i="1"/>
  <c r="C466" i="1"/>
  <c r="A466" i="1"/>
  <c r="X465" i="1"/>
  <c r="B465" i="1" s="1"/>
  <c r="W465" i="1"/>
  <c r="Q465" i="1"/>
  <c r="I465" i="1"/>
  <c r="H465" i="1"/>
  <c r="G465" i="1"/>
  <c r="F465" i="1"/>
  <c r="E465" i="1"/>
  <c r="D465" i="1"/>
  <c r="C465" i="1"/>
  <c r="A465" i="1"/>
  <c r="X464" i="1"/>
  <c r="B464" i="1" s="1"/>
  <c r="W464" i="1"/>
  <c r="Q464" i="1"/>
  <c r="I464" i="1"/>
  <c r="H464" i="1"/>
  <c r="G464" i="1"/>
  <c r="F464" i="1"/>
  <c r="E464" i="1"/>
  <c r="D464" i="1"/>
  <c r="C464" i="1"/>
  <c r="A464" i="1"/>
  <c r="X463" i="1"/>
  <c r="B463" i="1" s="1"/>
  <c r="W463" i="1"/>
  <c r="Q463" i="1"/>
  <c r="I463" i="1"/>
  <c r="H463" i="1"/>
  <c r="G463" i="1"/>
  <c r="F463" i="1"/>
  <c r="E463" i="1"/>
  <c r="D463" i="1"/>
  <c r="C463" i="1"/>
  <c r="A463" i="1"/>
  <c r="X462" i="1"/>
  <c r="B462" i="1" s="1"/>
  <c r="W462" i="1"/>
  <c r="Q462" i="1"/>
  <c r="I462" i="1"/>
  <c r="H462" i="1"/>
  <c r="G462" i="1"/>
  <c r="F462" i="1"/>
  <c r="E462" i="1"/>
  <c r="D462" i="1"/>
  <c r="C462" i="1"/>
  <c r="A462" i="1"/>
  <c r="X461" i="1"/>
  <c r="B461" i="1" s="1"/>
  <c r="W461" i="1"/>
  <c r="Q461" i="1"/>
  <c r="I461" i="1"/>
  <c r="H461" i="1"/>
  <c r="G461" i="1"/>
  <c r="F461" i="1"/>
  <c r="E461" i="1"/>
  <c r="D461" i="1"/>
  <c r="C461" i="1"/>
  <c r="A461" i="1"/>
  <c r="X460" i="1"/>
  <c r="B460" i="1" s="1"/>
  <c r="W460" i="1"/>
  <c r="Q460" i="1"/>
  <c r="I460" i="1"/>
  <c r="H460" i="1"/>
  <c r="G460" i="1"/>
  <c r="F460" i="1"/>
  <c r="E460" i="1"/>
  <c r="D460" i="1"/>
  <c r="C460" i="1"/>
  <c r="A460" i="1"/>
  <c r="X459" i="1"/>
  <c r="B459" i="1" s="1"/>
  <c r="W459" i="1"/>
  <c r="Q459" i="1"/>
  <c r="I459" i="1"/>
  <c r="H459" i="1"/>
  <c r="G459" i="1"/>
  <c r="F459" i="1"/>
  <c r="E459" i="1"/>
  <c r="D459" i="1"/>
  <c r="C459" i="1"/>
  <c r="A459" i="1"/>
  <c r="X458" i="1"/>
  <c r="B458" i="1" s="1"/>
  <c r="W458" i="1"/>
  <c r="Q458" i="1"/>
  <c r="I458" i="1"/>
  <c r="H458" i="1"/>
  <c r="G458" i="1"/>
  <c r="F458" i="1"/>
  <c r="E458" i="1"/>
  <c r="D458" i="1"/>
  <c r="C458" i="1"/>
  <c r="A458" i="1"/>
  <c r="X457" i="1"/>
  <c r="B457" i="1" s="1"/>
  <c r="W457" i="1"/>
  <c r="Q457" i="1"/>
  <c r="I457" i="1"/>
  <c r="H457" i="1"/>
  <c r="G457" i="1"/>
  <c r="F457" i="1"/>
  <c r="E457" i="1"/>
  <c r="D457" i="1"/>
  <c r="C457" i="1"/>
  <c r="A457" i="1"/>
  <c r="X456" i="1"/>
  <c r="B456" i="1" s="1"/>
  <c r="W456" i="1"/>
  <c r="Q456" i="1"/>
  <c r="I456" i="1"/>
  <c r="H456" i="1"/>
  <c r="G456" i="1"/>
  <c r="F456" i="1"/>
  <c r="E456" i="1"/>
  <c r="D456" i="1"/>
  <c r="C456" i="1"/>
  <c r="A456" i="1"/>
  <c r="X455" i="1"/>
  <c r="B455" i="1" s="1"/>
  <c r="W455" i="1"/>
  <c r="Q455" i="1"/>
  <c r="I455" i="1"/>
  <c r="H455" i="1"/>
  <c r="G455" i="1"/>
  <c r="F455" i="1"/>
  <c r="E455" i="1"/>
  <c r="D455" i="1"/>
  <c r="C455" i="1"/>
  <c r="A455" i="1"/>
  <c r="X454" i="1"/>
  <c r="B454" i="1" s="1"/>
  <c r="W454" i="1"/>
  <c r="Q454" i="1"/>
  <c r="I454" i="1"/>
  <c r="H454" i="1"/>
  <c r="G454" i="1"/>
  <c r="F454" i="1"/>
  <c r="E454" i="1"/>
  <c r="D454" i="1"/>
  <c r="C454" i="1"/>
  <c r="A454" i="1"/>
  <c r="X453" i="1"/>
  <c r="B453" i="1" s="1"/>
  <c r="W453" i="1"/>
  <c r="P453" i="1"/>
  <c r="I453" i="1"/>
  <c r="H453" i="1"/>
  <c r="G453" i="1"/>
  <c r="F453" i="1"/>
  <c r="E453" i="1"/>
  <c r="D453" i="1"/>
  <c r="C453" i="1"/>
  <c r="A453" i="1"/>
  <c r="X452" i="1"/>
  <c r="B452" i="1" s="1"/>
  <c r="W452" i="1"/>
  <c r="P452" i="1"/>
  <c r="I452" i="1"/>
  <c r="H452" i="1"/>
  <c r="G452" i="1"/>
  <c r="F452" i="1"/>
  <c r="E452" i="1"/>
  <c r="D452" i="1"/>
  <c r="C452" i="1"/>
  <c r="A452" i="1"/>
  <c r="X451" i="1"/>
  <c r="B451" i="1" s="1"/>
  <c r="W451" i="1"/>
  <c r="P451" i="1"/>
  <c r="I451" i="1"/>
  <c r="H451" i="1"/>
  <c r="G451" i="1"/>
  <c r="F451" i="1"/>
  <c r="E451" i="1"/>
  <c r="D451" i="1"/>
  <c r="C451" i="1"/>
  <c r="A451" i="1"/>
  <c r="X450" i="1"/>
  <c r="B450" i="1" s="1"/>
  <c r="W450" i="1"/>
  <c r="P450" i="1"/>
  <c r="I450" i="1"/>
  <c r="H450" i="1"/>
  <c r="G450" i="1"/>
  <c r="F450" i="1"/>
  <c r="E450" i="1"/>
  <c r="D450" i="1"/>
  <c r="C450" i="1"/>
  <c r="A450" i="1"/>
  <c r="X449" i="1"/>
  <c r="B449" i="1" s="1"/>
  <c r="W449" i="1"/>
  <c r="P449" i="1"/>
  <c r="I449" i="1"/>
  <c r="H449" i="1"/>
  <c r="G449" i="1"/>
  <c r="F449" i="1"/>
  <c r="E449" i="1"/>
  <c r="D449" i="1"/>
  <c r="C449" i="1"/>
  <c r="A449" i="1"/>
  <c r="X448" i="1"/>
  <c r="B448" i="1" s="1"/>
  <c r="W448" i="1"/>
  <c r="P448" i="1"/>
  <c r="I448" i="1"/>
  <c r="H448" i="1"/>
  <c r="G448" i="1"/>
  <c r="F448" i="1"/>
  <c r="E448" i="1"/>
  <c r="D448" i="1"/>
  <c r="C448" i="1"/>
  <c r="A448" i="1"/>
  <c r="X447" i="1"/>
  <c r="B447" i="1" s="1"/>
  <c r="W447" i="1"/>
  <c r="P447" i="1"/>
  <c r="I447" i="1"/>
  <c r="H447" i="1"/>
  <c r="G447" i="1"/>
  <c r="F447" i="1"/>
  <c r="E447" i="1"/>
  <c r="D447" i="1"/>
  <c r="C447" i="1"/>
  <c r="A447" i="1"/>
  <c r="X446" i="1"/>
  <c r="B446" i="1" s="1"/>
  <c r="W446" i="1"/>
  <c r="P446" i="1"/>
  <c r="I446" i="1"/>
  <c r="H446" i="1"/>
  <c r="G446" i="1"/>
  <c r="F446" i="1"/>
  <c r="E446" i="1"/>
  <c r="D446" i="1"/>
  <c r="C446" i="1"/>
  <c r="A446" i="1"/>
  <c r="X445" i="1"/>
  <c r="B445" i="1" s="1"/>
  <c r="W445" i="1"/>
  <c r="P445" i="1"/>
  <c r="I445" i="1"/>
  <c r="H445" i="1"/>
  <c r="G445" i="1"/>
  <c r="F445" i="1"/>
  <c r="E445" i="1"/>
  <c r="D445" i="1"/>
  <c r="C445" i="1"/>
  <c r="A445" i="1"/>
  <c r="X444" i="1"/>
  <c r="B444" i="1" s="1"/>
  <c r="W444" i="1"/>
  <c r="P444" i="1"/>
  <c r="I444" i="1"/>
  <c r="H444" i="1"/>
  <c r="G444" i="1"/>
  <c r="F444" i="1"/>
  <c r="E444" i="1"/>
  <c r="D444" i="1"/>
  <c r="C444" i="1"/>
  <c r="A444" i="1"/>
  <c r="X443" i="1"/>
  <c r="B443" i="1" s="1"/>
  <c r="W443" i="1"/>
  <c r="P443" i="1"/>
  <c r="I443" i="1"/>
  <c r="H443" i="1"/>
  <c r="G443" i="1"/>
  <c r="F443" i="1"/>
  <c r="E443" i="1"/>
  <c r="D443" i="1"/>
  <c r="C443" i="1"/>
  <c r="A443" i="1"/>
  <c r="X442" i="1"/>
  <c r="B442" i="1" s="1"/>
  <c r="W442" i="1"/>
  <c r="P442" i="1"/>
  <c r="I442" i="1"/>
  <c r="H442" i="1"/>
  <c r="G442" i="1"/>
  <c r="F442" i="1"/>
  <c r="E442" i="1"/>
  <c r="D442" i="1"/>
  <c r="C442" i="1"/>
  <c r="A442" i="1"/>
  <c r="X441" i="1"/>
  <c r="B441" i="1" s="1"/>
  <c r="W441" i="1"/>
  <c r="P441" i="1"/>
  <c r="I441" i="1"/>
  <c r="H441" i="1"/>
  <c r="G441" i="1"/>
  <c r="F441" i="1"/>
  <c r="E441" i="1"/>
  <c r="D441" i="1"/>
  <c r="C441" i="1"/>
  <c r="A441" i="1"/>
  <c r="X440" i="1"/>
  <c r="B440" i="1" s="1"/>
  <c r="W440" i="1"/>
  <c r="P440" i="1"/>
  <c r="I440" i="1"/>
  <c r="H440" i="1"/>
  <c r="G440" i="1"/>
  <c r="F440" i="1"/>
  <c r="E440" i="1"/>
  <c r="D440" i="1"/>
  <c r="C440" i="1"/>
  <c r="A440" i="1"/>
  <c r="X439" i="1"/>
  <c r="B439" i="1" s="1"/>
  <c r="W439" i="1"/>
  <c r="P439" i="1"/>
  <c r="I439" i="1"/>
  <c r="H439" i="1"/>
  <c r="G439" i="1"/>
  <c r="F439" i="1"/>
  <c r="E439" i="1"/>
  <c r="D439" i="1"/>
  <c r="C439" i="1"/>
  <c r="A439" i="1"/>
  <c r="X438" i="1"/>
  <c r="B438" i="1" s="1"/>
  <c r="W438" i="1"/>
  <c r="P438" i="1"/>
  <c r="I438" i="1"/>
  <c r="H438" i="1"/>
  <c r="G438" i="1"/>
  <c r="F438" i="1"/>
  <c r="E438" i="1"/>
  <c r="D438" i="1"/>
  <c r="C438" i="1"/>
  <c r="A438" i="1"/>
  <c r="X437" i="1"/>
  <c r="B437" i="1" s="1"/>
  <c r="W437" i="1"/>
  <c r="P437" i="1"/>
  <c r="I437" i="1"/>
  <c r="H437" i="1"/>
  <c r="G437" i="1"/>
  <c r="F437" i="1"/>
  <c r="E437" i="1"/>
  <c r="D437" i="1"/>
  <c r="C437" i="1"/>
  <c r="A437" i="1"/>
  <c r="X436" i="1"/>
  <c r="B436" i="1" s="1"/>
  <c r="W436" i="1"/>
  <c r="P436" i="1"/>
  <c r="I436" i="1"/>
  <c r="H436" i="1"/>
  <c r="G436" i="1"/>
  <c r="F436" i="1"/>
  <c r="E436" i="1"/>
  <c r="D436" i="1"/>
  <c r="C436" i="1"/>
  <c r="A436" i="1"/>
  <c r="X435" i="1"/>
  <c r="B435" i="1" s="1"/>
  <c r="W435" i="1"/>
  <c r="P435" i="1"/>
  <c r="I435" i="1"/>
  <c r="H435" i="1"/>
  <c r="G435" i="1"/>
  <c r="F435" i="1"/>
  <c r="E435" i="1"/>
  <c r="D435" i="1"/>
  <c r="C435" i="1"/>
  <c r="A435" i="1"/>
  <c r="X434" i="1"/>
  <c r="B434" i="1" s="1"/>
  <c r="W434" i="1"/>
  <c r="P434" i="1"/>
  <c r="I434" i="1"/>
  <c r="H434" i="1"/>
  <c r="G434" i="1"/>
  <c r="F434" i="1"/>
  <c r="E434" i="1"/>
  <c r="D434" i="1"/>
  <c r="C434" i="1"/>
  <c r="A434" i="1"/>
  <c r="X433" i="1"/>
  <c r="B433" i="1" s="1"/>
  <c r="W433" i="1"/>
  <c r="P433" i="1"/>
  <c r="I433" i="1"/>
  <c r="H433" i="1"/>
  <c r="G433" i="1"/>
  <c r="F433" i="1"/>
  <c r="E433" i="1"/>
  <c r="D433" i="1"/>
  <c r="C433" i="1"/>
  <c r="A433" i="1"/>
  <c r="X432" i="1"/>
  <c r="B432" i="1" s="1"/>
  <c r="W432" i="1"/>
  <c r="P432" i="1"/>
  <c r="I432" i="1"/>
  <c r="H432" i="1"/>
  <c r="G432" i="1"/>
  <c r="F432" i="1"/>
  <c r="E432" i="1"/>
  <c r="D432" i="1"/>
  <c r="C432" i="1"/>
  <c r="A432" i="1"/>
  <c r="X431" i="1"/>
  <c r="B431" i="1" s="1"/>
  <c r="W431" i="1"/>
  <c r="P431" i="1"/>
  <c r="I431" i="1"/>
  <c r="H431" i="1"/>
  <c r="G431" i="1"/>
  <c r="F431" i="1"/>
  <c r="E431" i="1"/>
  <c r="D431" i="1"/>
  <c r="C431" i="1"/>
  <c r="A431" i="1"/>
  <c r="X430" i="1"/>
  <c r="B430" i="1" s="1"/>
  <c r="W430" i="1"/>
  <c r="P430" i="1"/>
  <c r="I430" i="1"/>
  <c r="H430" i="1"/>
  <c r="G430" i="1"/>
  <c r="F430" i="1"/>
  <c r="E430" i="1"/>
  <c r="D430" i="1"/>
  <c r="C430" i="1"/>
  <c r="A430" i="1"/>
  <c r="X429" i="1"/>
  <c r="B429" i="1" s="1"/>
  <c r="W429" i="1"/>
  <c r="P429" i="1"/>
  <c r="I429" i="1"/>
  <c r="H429" i="1"/>
  <c r="G429" i="1"/>
  <c r="F429" i="1"/>
  <c r="E429" i="1"/>
  <c r="D429" i="1"/>
  <c r="C429" i="1"/>
  <c r="A429" i="1"/>
  <c r="X428" i="1"/>
  <c r="B428" i="1" s="1"/>
  <c r="W428" i="1"/>
  <c r="P428" i="1"/>
  <c r="I428" i="1"/>
  <c r="H428" i="1"/>
  <c r="G428" i="1"/>
  <c r="F428" i="1"/>
  <c r="E428" i="1"/>
  <c r="D428" i="1"/>
  <c r="C428" i="1"/>
  <c r="A428" i="1"/>
  <c r="X427" i="1"/>
  <c r="B427" i="1" s="1"/>
  <c r="W427" i="1"/>
  <c r="P427" i="1"/>
  <c r="I427" i="1"/>
  <c r="H427" i="1"/>
  <c r="G427" i="1"/>
  <c r="F427" i="1"/>
  <c r="E427" i="1"/>
  <c r="D427" i="1"/>
  <c r="C427" i="1"/>
  <c r="A427" i="1"/>
  <c r="X426" i="1"/>
  <c r="B426" i="1" s="1"/>
  <c r="W426" i="1"/>
  <c r="P426" i="1"/>
  <c r="I426" i="1"/>
  <c r="H426" i="1"/>
  <c r="G426" i="1"/>
  <c r="F426" i="1"/>
  <c r="E426" i="1"/>
  <c r="D426" i="1"/>
  <c r="C426" i="1"/>
  <c r="A426" i="1"/>
  <c r="X425" i="1"/>
  <c r="B425" i="1" s="1"/>
  <c r="W425" i="1"/>
  <c r="P425" i="1"/>
  <c r="I425" i="1"/>
  <c r="H425" i="1"/>
  <c r="G425" i="1"/>
  <c r="F425" i="1"/>
  <c r="E425" i="1"/>
  <c r="D425" i="1"/>
  <c r="C425" i="1"/>
  <c r="A425" i="1"/>
  <c r="X424" i="1"/>
  <c r="B424" i="1" s="1"/>
  <c r="W424" i="1"/>
  <c r="P424" i="1"/>
  <c r="I424" i="1"/>
  <c r="H424" i="1"/>
  <c r="G424" i="1"/>
  <c r="F424" i="1"/>
  <c r="E424" i="1"/>
  <c r="D424" i="1"/>
  <c r="C424" i="1"/>
  <c r="A424" i="1"/>
  <c r="X423" i="1"/>
  <c r="B423" i="1" s="1"/>
  <c r="W423" i="1"/>
  <c r="P423" i="1"/>
  <c r="I423" i="1"/>
  <c r="H423" i="1"/>
  <c r="G423" i="1"/>
  <c r="F423" i="1"/>
  <c r="E423" i="1"/>
  <c r="D423" i="1"/>
  <c r="C423" i="1"/>
  <c r="A423" i="1"/>
  <c r="X422" i="1"/>
  <c r="B422" i="1" s="1"/>
  <c r="W422" i="1"/>
  <c r="P422" i="1"/>
  <c r="I422" i="1"/>
  <c r="H422" i="1"/>
  <c r="G422" i="1"/>
  <c r="F422" i="1"/>
  <c r="E422" i="1"/>
  <c r="D422" i="1"/>
  <c r="C422" i="1"/>
  <c r="A422" i="1"/>
  <c r="X421" i="1"/>
  <c r="B421" i="1" s="1"/>
  <c r="W421" i="1"/>
  <c r="P421" i="1"/>
  <c r="I421" i="1"/>
  <c r="H421" i="1"/>
  <c r="G421" i="1"/>
  <c r="F421" i="1"/>
  <c r="E421" i="1"/>
  <c r="D421" i="1"/>
  <c r="C421" i="1"/>
  <c r="A421" i="1"/>
  <c r="X420" i="1"/>
  <c r="B420" i="1" s="1"/>
  <c r="W420" i="1"/>
  <c r="P420" i="1"/>
  <c r="I420" i="1"/>
  <c r="H420" i="1"/>
  <c r="G420" i="1"/>
  <c r="F420" i="1"/>
  <c r="E420" i="1"/>
  <c r="D420" i="1"/>
  <c r="C420" i="1"/>
  <c r="A420" i="1"/>
  <c r="X419" i="1"/>
  <c r="B419" i="1" s="1"/>
  <c r="W419" i="1"/>
  <c r="P419" i="1"/>
  <c r="I419" i="1"/>
  <c r="H419" i="1"/>
  <c r="G419" i="1"/>
  <c r="F419" i="1"/>
  <c r="E419" i="1"/>
  <c r="D419" i="1"/>
  <c r="C419" i="1"/>
  <c r="A419" i="1"/>
  <c r="X418" i="1"/>
  <c r="B418" i="1" s="1"/>
  <c r="W418" i="1"/>
  <c r="P418" i="1"/>
  <c r="I418" i="1"/>
  <c r="H418" i="1"/>
  <c r="G418" i="1"/>
  <c r="F418" i="1"/>
  <c r="E418" i="1"/>
  <c r="D418" i="1"/>
  <c r="C418" i="1"/>
  <c r="A418" i="1"/>
  <c r="X417" i="1"/>
  <c r="B417" i="1" s="1"/>
  <c r="W417" i="1"/>
  <c r="P417" i="1"/>
  <c r="I417" i="1"/>
  <c r="H417" i="1"/>
  <c r="G417" i="1"/>
  <c r="F417" i="1"/>
  <c r="E417" i="1"/>
  <c r="D417" i="1"/>
  <c r="C417" i="1"/>
  <c r="A417" i="1"/>
  <c r="X416" i="1"/>
  <c r="B416" i="1" s="1"/>
  <c r="W416" i="1"/>
  <c r="P416" i="1"/>
  <c r="I416" i="1"/>
  <c r="H416" i="1"/>
  <c r="G416" i="1"/>
  <c r="F416" i="1"/>
  <c r="E416" i="1"/>
  <c r="D416" i="1"/>
  <c r="C416" i="1"/>
  <c r="A416" i="1"/>
  <c r="X415" i="1"/>
  <c r="B415" i="1" s="1"/>
  <c r="W415" i="1"/>
  <c r="P415" i="1"/>
  <c r="I415" i="1"/>
  <c r="H415" i="1"/>
  <c r="G415" i="1"/>
  <c r="F415" i="1"/>
  <c r="E415" i="1"/>
  <c r="D415" i="1"/>
  <c r="C415" i="1"/>
  <c r="A415" i="1"/>
  <c r="X414" i="1"/>
  <c r="B414" i="1" s="1"/>
  <c r="W414" i="1"/>
  <c r="P414" i="1"/>
  <c r="I414" i="1"/>
  <c r="H414" i="1"/>
  <c r="G414" i="1"/>
  <c r="F414" i="1"/>
  <c r="E414" i="1"/>
  <c r="D414" i="1"/>
  <c r="C414" i="1"/>
  <c r="A414" i="1"/>
  <c r="X413" i="1"/>
  <c r="B413" i="1" s="1"/>
  <c r="W413" i="1"/>
  <c r="O413" i="1"/>
  <c r="I413" i="1"/>
  <c r="H413" i="1"/>
  <c r="G413" i="1"/>
  <c r="F413" i="1"/>
  <c r="E413" i="1"/>
  <c r="D413" i="1"/>
  <c r="C413" i="1"/>
  <c r="A413" i="1"/>
  <c r="X412" i="1"/>
  <c r="B412" i="1" s="1"/>
  <c r="W412" i="1"/>
  <c r="O412" i="1"/>
  <c r="I412" i="1"/>
  <c r="H412" i="1"/>
  <c r="G412" i="1"/>
  <c r="F412" i="1"/>
  <c r="E412" i="1"/>
  <c r="D412" i="1"/>
  <c r="C412" i="1"/>
  <c r="A412" i="1"/>
  <c r="X411" i="1"/>
  <c r="B411" i="1" s="1"/>
  <c r="W411" i="1"/>
  <c r="O411" i="1"/>
  <c r="I411" i="1"/>
  <c r="H411" i="1"/>
  <c r="G411" i="1"/>
  <c r="F411" i="1"/>
  <c r="E411" i="1"/>
  <c r="D411" i="1"/>
  <c r="C411" i="1"/>
  <c r="A411" i="1"/>
  <c r="X410" i="1"/>
  <c r="B410" i="1" s="1"/>
  <c r="W410" i="1"/>
  <c r="O410" i="1"/>
  <c r="I410" i="1"/>
  <c r="H410" i="1"/>
  <c r="G410" i="1"/>
  <c r="F410" i="1"/>
  <c r="E410" i="1"/>
  <c r="D410" i="1"/>
  <c r="C410" i="1"/>
  <c r="A410" i="1"/>
  <c r="X409" i="1"/>
  <c r="B409" i="1" s="1"/>
  <c r="W409" i="1"/>
  <c r="O409" i="1"/>
  <c r="I409" i="1"/>
  <c r="H409" i="1"/>
  <c r="G409" i="1"/>
  <c r="F409" i="1"/>
  <c r="E409" i="1"/>
  <c r="D409" i="1"/>
  <c r="C409" i="1"/>
  <c r="A409" i="1"/>
  <c r="X408" i="1"/>
  <c r="B408" i="1" s="1"/>
  <c r="W408" i="1"/>
  <c r="O408" i="1"/>
  <c r="I408" i="1"/>
  <c r="H408" i="1"/>
  <c r="G408" i="1"/>
  <c r="F408" i="1"/>
  <c r="E408" i="1"/>
  <c r="D408" i="1"/>
  <c r="C408" i="1"/>
  <c r="A408" i="1"/>
  <c r="X407" i="1"/>
  <c r="B407" i="1" s="1"/>
  <c r="W407" i="1"/>
  <c r="O407" i="1"/>
  <c r="I407" i="1"/>
  <c r="H407" i="1"/>
  <c r="G407" i="1"/>
  <c r="F407" i="1"/>
  <c r="E407" i="1"/>
  <c r="D407" i="1"/>
  <c r="C407" i="1"/>
  <c r="A407" i="1"/>
  <c r="X406" i="1"/>
  <c r="B406" i="1" s="1"/>
  <c r="W406" i="1"/>
  <c r="O406" i="1"/>
  <c r="I406" i="1"/>
  <c r="H406" i="1"/>
  <c r="G406" i="1"/>
  <c r="F406" i="1"/>
  <c r="E406" i="1"/>
  <c r="D406" i="1"/>
  <c r="C406" i="1"/>
  <c r="A406" i="1"/>
  <c r="X405" i="1"/>
  <c r="B405" i="1" s="1"/>
  <c r="W405" i="1"/>
  <c r="O405" i="1"/>
  <c r="I405" i="1"/>
  <c r="H405" i="1"/>
  <c r="G405" i="1"/>
  <c r="F405" i="1"/>
  <c r="E405" i="1"/>
  <c r="D405" i="1"/>
  <c r="C405" i="1"/>
  <c r="A405" i="1"/>
  <c r="X404" i="1"/>
  <c r="B404" i="1" s="1"/>
  <c r="W404" i="1"/>
  <c r="O404" i="1"/>
  <c r="I404" i="1"/>
  <c r="H404" i="1"/>
  <c r="G404" i="1"/>
  <c r="F404" i="1"/>
  <c r="E404" i="1"/>
  <c r="D404" i="1"/>
  <c r="C404" i="1"/>
  <c r="A404" i="1"/>
  <c r="X403" i="1"/>
  <c r="B403" i="1" s="1"/>
  <c r="W403" i="1"/>
  <c r="O403" i="1"/>
  <c r="I403" i="1"/>
  <c r="H403" i="1"/>
  <c r="G403" i="1"/>
  <c r="F403" i="1"/>
  <c r="E403" i="1"/>
  <c r="D403" i="1"/>
  <c r="C403" i="1"/>
  <c r="A403" i="1"/>
  <c r="X402" i="1"/>
  <c r="B402" i="1" s="1"/>
  <c r="W402" i="1"/>
  <c r="O402" i="1"/>
  <c r="I402" i="1"/>
  <c r="H402" i="1"/>
  <c r="G402" i="1"/>
  <c r="F402" i="1"/>
  <c r="E402" i="1"/>
  <c r="D402" i="1"/>
  <c r="C402" i="1"/>
  <c r="A402" i="1"/>
  <c r="X401" i="1"/>
  <c r="B401" i="1" s="1"/>
  <c r="W401" i="1"/>
  <c r="O401" i="1"/>
  <c r="I401" i="1"/>
  <c r="H401" i="1"/>
  <c r="G401" i="1"/>
  <c r="F401" i="1"/>
  <c r="E401" i="1"/>
  <c r="D401" i="1"/>
  <c r="C401" i="1"/>
  <c r="A401" i="1"/>
  <c r="X400" i="1"/>
  <c r="B400" i="1" s="1"/>
  <c r="W400" i="1"/>
  <c r="O400" i="1"/>
  <c r="I400" i="1"/>
  <c r="H400" i="1"/>
  <c r="G400" i="1"/>
  <c r="F400" i="1"/>
  <c r="E400" i="1"/>
  <c r="D400" i="1"/>
  <c r="C400" i="1"/>
  <c r="A400" i="1"/>
  <c r="X399" i="1"/>
  <c r="B399" i="1" s="1"/>
  <c r="W399" i="1"/>
  <c r="O399" i="1"/>
  <c r="I399" i="1"/>
  <c r="H399" i="1"/>
  <c r="G399" i="1"/>
  <c r="F399" i="1"/>
  <c r="E399" i="1"/>
  <c r="D399" i="1"/>
  <c r="C399" i="1"/>
  <c r="A399" i="1"/>
  <c r="X398" i="1"/>
  <c r="B398" i="1" s="1"/>
  <c r="W398" i="1"/>
  <c r="O398" i="1"/>
  <c r="I398" i="1"/>
  <c r="H398" i="1"/>
  <c r="G398" i="1"/>
  <c r="F398" i="1"/>
  <c r="E398" i="1"/>
  <c r="D398" i="1"/>
  <c r="C398" i="1"/>
  <c r="A398" i="1"/>
  <c r="X397" i="1"/>
  <c r="B397" i="1" s="1"/>
  <c r="W397" i="1"/>
  <c r="O397" i="1"/>
  <c r="I397" i="1"/>
  <c r="H397" i="1"/>
  <c r="G397" i="1"/>
  <c r="F397" i="1"/>
  <c r="E397" i="1"/>
  <c r="D397" i="1"/>
  <c r="C397" i="1"/>
  <c r="A397" i="1"/>
  <c r="X396" i="1"/>
  <c r="B396" i="1" s="1"/>
  <c r="W396" i="1"/>
  <c r="O396" i="1"/>
  <c r="I396" i="1"/>
  <c r="H396" i="1"/>
  <c r="G396" i="1"/>
  <c r="F396" i="1"/>
  <c r="E396" i="1"/>
  <c r="D396" i="1"/>
  <c r="C396" i="1"/>
  <c r="A396" i="1"/>
  <c r="X395" i="1"/>
  <c r="B395" i="1" s="1"/>
  <c r="W395" i="1"/>
  <c r="O395" i="1"/>
  <c r="I395" i="1"/>
  <c r="H395" i="1"/>
  <c r="G395" i="1"/>
  <c r="F395" i="1"/>
  <c r="E395" i="1"/>
  <c r="D395" i="1"/>
  <c r="C395" i="1"/>
  <c r="A395" i="1"/>
  <c r="X394" i="1"/>
  <c r="B394" i="1" s="1"/>
  <c r="W394" i="1"/>
  <c r="O394" i="1"/>
  <c r="I394" i="1"/>
  <c r="H394" i="1"/>
  <c r="G394" i="1"/>
  <c r="F394" i="1"/>
  <c r="E394" i="1"/>
  <c r="D394" i="1"/>
  <c r="C394" i="1"/>
  <c r="A394" i="1"/>
  <c r="X393" i="1"/>
  <c r="B393" i="1" s="1"/>
  <c r="W393" i="1"/>
  <c r="O393" i="1"/>
  <c r="I393" i="1"/>
  <c r="H393" i="1"/>
  <c r="G393" i="1"/>
  <c r="F393" i="1"/>
  <c r="E393" i="1"/>
  <c r="D393" i="1"/>
  <c r="C393" i="1"/>
  <c r="A393" i="1"/>
  <c r="X392" i="1"/>
  <c r="B392" i="1" s="1"/>
  <c r="W392" i="1"/>
  <c r="O392" i="1"/>
  <c r="I392" i="1"/>
  <c r="H392" i="1"/>
  <c r="G392" i="1"/>
  <c r="F392" i="1"/>
  <c r="E392" i="1"/>
  <c r="D392" i="1"/>
  <c r="C392" i="1"/>
  <c r="A392" i="1"/>
  <c r="X391" i="1"/>
  <c r="B391" i="1" s="1"/>
  <c r="W391" i="1"/>
  <c r="O391" i="1"/>
  <c r="I391" i="1"/>
  <c r="H391" i="1"/>
  <c r="G391" i="1"/>
  <c r="F391" i="1"/>
  <c r="E391" i="1"/>
  <c r="D391" i="1"/>
  <c r="C391" i="1"/>
  <c r="A391" i="1"/>
  <c r="X390" i="1"/>
  <c r="B390" i="1" s="1"/>
  <c r="W390" i="1"/>
  <c r="O390" i="1"/>
  <c r="I390" i="1"/>
  <c r="H390" i="1"/>
  <c r="G390" i="1"/>
  <c r="F390" i="1"/>
  <c r="E390" i="1"/>
  <c r="D390" i="1"/>
  <c r="C390" i="1"/>
  <c r="A390" i="1"/>
  <c r="X389" i="1"/>
  <c r="B389" i="1" s="1"/>
  <c r="W389" i="1"/>
  <c r="O389" i="1"/>
  <c r="I389" i="1"/>
  <c r="H389" i="1"/>
  <c r="G389" i="1"/>
  <c r="F389" i="1"/>
  <c r="E389" i="1"/>
  <c r="D389" i="1"/>
  <c r="C389" i="1"/>
  <c r="A389" i="1"/>
  <c r="X388" i="1"/>
  <c r="B388" i="1" s="1"/>
  <c r="W388" i="1"/>
  <c r="O388" i="1"/>
  <c r="I388" i="1"/>
  <c r="H388" i="1"/>
  <c r="G388" i="1"/>
  <c r="F388" i="1"/>
  <c r="E388" i="1"/>
  <c r="D388" i="1"/>
  <c r="C388" i="1"/>
  <c r="A388" i="1"/>
  <c r="X387" i="1"/>
  <c r="B387" i="1" s="1"/>
  <c r="W387" i="1"/>
  <c r="O387" i="1"/>
  <c r="I387" i="1"/>
  <c r="H387" i="1"/>
  <c r="G387" i="1"/>
  <c r="F387" i="1"/>
  <c r="E387" i="1"/>
  <c r="D387" i="1"/>
  <c r="C387" i="1"/>
  <c r="A387" i="1"/>
  <c r="X386" i="1"/>
  <c r="B386" i="1" s="1"/>
  <c r="W386" i="1"/>
  <c r="O386" i="1"/>
  <c r="I386" i="1"/>
  <c r="H386" i="1"/>
  <c r="G386" i="1"/>
  <c r="F386" i="1"/>
  <c r="E386" i="1"/>
  <c r="D386" i="1"/>
  <c r="C386" i="1"/>
  <c r="A386" i="1"/>
  <c r="X385" i="1"/>
  <c r="B385" i="1" s="1"/>
  <c r="W385" i="1"/>
  <c r="O385" i="1"/>
  <c r="I385" i="1"/>
  <c r="H385" i="1"/>
  <c r="G385" i="1"/>
  <c r="F385" i="1"/>
  <c r="E385" i="1"/>
  <c r="D385" i="1"/>
  <c r="C385" i="1"/>
  <c r="A385" i="1"/>
  <c r="X384" i="1"/>
  <c r="B384" i="1" s="1"/>
  <c r="W384" i="1"/>
  <c r="O384" i="1"/>
  <c r="I384" i="1"/>
  <c r="H384" i="1"/>
  <c r="G384" i="1"/>
  <c r="F384" i="1"/>
  <c r="E384" i="1"/>
  <c r="D384" i="1"/>
  <c r="C384" i="1"/>
  <c r="A384" i="1"/>
  <c r="X383" i="1"/>
  <c r="B383" i="1" s="1"/>
  <c r="W383" i="1"/>
  <c r="O383" i="1"/>
  <c r="I383" i="1"/>
  <c r="H383" i="1"/>
  <c r="G383" i="1"/>
  <c r="F383" i="1"/>
  <c r="E383" i="1"/>
  <c r="D383" i="1"/>
  <c r="C383" i="1"/>
  <c r="A383" i="1"/>
  <c r="X382" i="1"/>
  <c r="B382" i="1" s="1"/>
  <c r="W382" i="1"/>
  <c r="O382" i="1"/>
  <c r="I382" i="1"/>
  <c r="H382" i="1"/>
  <c r="G382" i="1"/>
  <c r="F382" i="1"/>
  <c r="E382" i="1"/>
  <c r="D382" i="1"/>
  <c r="C382" i="1"/>
  <c r="A382" i="1"/>
  <c r="X381" i="1"/>
  <c r="B381" i="1" s="1"/>
  <c r="W381" i="1"/>
  <c r="O381" i="1"/>
  <c r="I381" i="1"/>
  <c r="H381" i="1"/>
  <c r="G381" i="1"/>
  <c r="F381" i="1"/>
  <c r="E381" i="1"/>
  <c r="D381" i="1"/>
  <c r="C381" i="1"/>
  <c r="A381" i="1"/>
  <c r="X380" i="1"/>
  <c r="B380" i="1" s="1"/>
  <c r="W380" i="1"/>
  <c r="O380" i="1"/>
  <c r="I380" i="1"/>
  <c r="H380" i="1"/>
  <c r="G380" i="1"/>
  <c r="F380" i="1"/>
  <c r="E380" i="1"/>
  <c r="D380" i="1"/>
  <c r="C380" i="1"/>
  <c r="A380" i="1"/>
  <c r="X379" i="1"/>
  <c r="B379" i="1" s="1"/>
  <c r="W379" i="1"/>
  <c r="O379" i="1"/>
  <c r="I379" i="1"/>
  <c r="H379" i="1"/>
  <c r="G379" i="1"/>
  <c r="F379" i="1"/>
  <c r="E379" i="1"/>
  <c r="D379" i="1"/>
  <c r="C379" i="1"/>
  <c r="A379" i="1"/>
  <c r="X378" i="1"/>
  <c r="B378" i="1" s="1"/>
  <c r="W378" i="1"/>
  <c r="O378" i="1"/>
  <c r="I378" i="1"/>
  <c r="H378" i="1"/>
  <c r="G378" i="1"/>
  <c r="F378" i="1"/>
  <c r="E378" i="1"/>
  <c r="D378" i="1"/>
  <c r="C378" i="1"/>
  <c r="A378" i="1"/>
  <c r="X377" i="1"/>
  <c r="B377" i="1" s="1"/>
  <c r="W377" i="1"/>
  <c r="O377" i="1"/>
  <c r="I377" i="1"/>
  <c r="H377" i="1"/>
  <c r="G377" i="1"/>
  <c r="F377" i="1"/>
  <c r="E377" i="1"/>
  <c r="D377" i="1"/>
  <c r="C377" i="1"/>
  <c r="A377" i="1"/>
  <c r="X376" i="1"/>
  <c r="B376" i="1" s="1"/>
  <c r="W376" i="1"/>
  <c r="O376" i="1"/>
  <c r="I376" i="1"/>
  <c r="H376" i="1"/>
  <c r="G376" i="1"/>
  <c r="F376" i="1"/>
  <c r="E376" i="1"/>
  <c r="D376" i="1"/>
  <c r="C376" i="1"/>
  <c r="A376" i="1"/>
  <c r="X375" i="1"/>
  <c r="B375" i="1" s="1"/>
  <c r="W375" i="1"/>
  <c r="O375" i="1"/>
  <c r="I375" i="1"/>
  <c r="H375" i="1"/>
  <c r="G375" i="1"/>
  <c r="F375" i="1"/>
  <c r="E375" i="1"/>
  <c r="D375" i="1"/>
  <c r="C375" i="1"/>
  <c r="A375" i="1"/>
  <c r="X374" i="1"/>
  <c r="B374" i="1" s="1"/>
  <c r="W374" i="1"/>
  <c r="O374" i="1"/>
  <c r="I374" i="1"/>
  <c r="H374" i="1"/>
  <c r="G374" i="1"/>
  <c r="F374" i="1"/>
  <c r="E374" i="1"/>
  <c r="D374" i="1"/>
  <c r="C374" i="1"/>
  <c r="A374" i="1"/>
  <c r="X373" i="1"/>
  <c r="B373" i="1" s="1"/>
  <c r="W373" i="1"/>
  <c r="O373" i="1"/>
  <c r="I373" i="1"/>
  <c r="H373" i="1"/>
  <c r="G373" i="1"/>
  <c r="F373" i="1"/>
  <c r="E373" i="1"/>
  <c r="D373" i="1"/>
  <c r="C373" i="1"/>
  <c r="A373" i="1"/>
  <c r="X372" i="1"/>
  <c r="B372" i="1" s="1"/>
  <c r="W372" i="1"/>
  <c r="O372" i="1"/>
  <c r="I372" i="1"/>
  <c r="H372" i="1"/>
  <c r="G372" i="1"/>
  <c r="F372" i="1"/>
  <c r="E372" i="1"/>
  <c r="D372" i="1"/>
  <c r="C372" i="1"/>
  <c r="A372" i="1"/>
  <c r="X371" i="1"/>
  <c r="B371" i="1" s="1"/>
  <c r="W371" i="1"/>
  <c r="O371" i="1"/>
  <c r="I371" i="1"/>
  <c r="H371" i="1"/>
  <c r="G371" i="1"/>
  <c r="F371" i="1"/>
  <c r="E371" i="1"/>
  <c r="D371" i="1"/>
  <c r="C371" i="1"/>
  <c r="A371" i="1"/>
  <c r="X370" i="1"/>
  <c r="B370" i="1" s="1"/>
  <c r="W370" i="1"/>
  <c r="O370" i="1"/>
  <c r="I370" i="1"/>
  <c r="H370" i="1"/>
  <c r="G370" i="1"/>
  <c r="F370" i="1"/>
  <c r="E370" i="1"/>
  <c r="D370" i="1"/>
  <c r="C370" i="1"/>
  <c r="A370" i="1"/>
  <c r="X369" i="1"/>
  <c r="B369" i="1" s="1"/>
  <c r="W369" i="1"/>
  <c r="O369" i="1"/>
  <c r="I369" i="1"/>
  <c r="H369" i="1"/>
  <c r="G369" i="1"/>
  <c r="F369" i="1"/>
  <c r="E369" i="1"/>
  <c r="D369" i="1"/>
  <c r="C369" i="1"/>
  <c r="A369" i="1"/>
  <c r="X368" i="1"/>
  <c r="B368" i="1" s="1"/>
  <c r="W368" i="1"/>
  <c r="O368" i="1"/>
  <c r="I368" i="1"/>
  <c r="H368" i="1"/>
  <c r="G368" i="1"/>
  <c r="F368" i="1"/>
  <c r="E368" i="1"/>
  <c r="D368" i="1"/>
  <c r="C368" i="1"/>
  <c r="A368" i="1"/>
  <c r="X367" i="1"/>
  <c r="B367" i="1" s="1"/>
  <c r="W367" i="1"/>
  <c r="O367" i="1"/>
  <c r="I367" i="1"/>
  <c r="H367" i="1"/>
  <c r="G367" i="1"/>
  <c r="F367" i="1"/>
  <c r="E367" i="1"/>
  <c r="D367" i="1"/>
  <c r="C367" i="1"/>
  <c r="A367" i="1"/>
  <c r="X366" i="1"/>
  <c r="B366" i="1" s="1"/>
  <c r="W366" i="1"/>
  <c r="O366" i="1"/>
  <c r="I366" i="1"/>
  <c r="H366" i="1"/>
  <c r="G366" i="1"/>
  <c r="F366" i="1"/>
  <c r="E366" i="1"/>
  <c r="D366" i="1"/>
  <c r="C366" i="1"/>
  <c r="A366" i="1"/>
  <c r="X365" i="1"/>
  <c r="B365" i="1" s="1"/>
  <c r="W365" i="1"/>
  <c r="O365" i="1"/>
  <c r="I365" i="1"/>
  <c r="H365" i="1"/>
  <c r="G365" i="1"/>
  <c r="F365" i="1"/>
  <c r="E365" i="1"/>
  <c r="D365" i="1"/>
  <c r="C365" i="1"/>
  <c r="A365" i="1"/>
  <c r="X364" i="1"/>
  <c r="B364" i="1" s="1"/>
  <c r="W364" i="1"/>
  <c r="O364" i="1"/>
  <c r="I364" i="1"/>
  <c r="H364" i="1"/>
  <c r="G364" i="1"/>
  <c r="F364" i="1"/>
  <c r="E364" i="1"/>
  <c r="D364" i="1"/>
  <c r="C364" i="1"/>
  <c r="A364" i="1"/>
  <c r="X363" i="1"/>
  <c r="B363" i="1" s="1"/>
  <c r="W363" i="1"/>
  <c r="O363" i="1"/>
  <c r="I363" i="1"/>
  <c r="H363" i="1"/>
  <c r="G363" i="1"/>
  <c r="F363" i="1"/>
  <c r="E363" i="1"/>
  <c r="D363" i="1"/>
  <c r="C363" i="1"/>
  <c r="A363" i="1"/>
  <c r="X362" i="1"/>
  <c r="B362" i="1" s="1"/>
  <c r="W362" i="1"/>
  <c r="O362" i="1"/>
  <c r="I362" i="1"/>
  <c r="H362" i="1"/>
  <c r="G362" i="1"/>
  <c r="F362" i="1"/>
  <c r="E362" i="1"/>
  <c r="D362" i="1"/>
  <c r="C362" i="1"/>
  <c r="A362" i="1"/>
  <c r="X361" i="1"/>
  <c r="B361" i="1" s="1"/>
  <c r="W361" i="1"/>
  <c r="O361" i="1"/>
  <c r="I361" i="1"/>
  <c r="H361" i="1"/>
  <c r="G361" i="1"/>
  <c r="F361" i="1"/>
  <c r="E361" i="1"/>
  <c r="D361" i="1"/>
  <c r="C361" i="1"/>
  <c r="A361" i="1"/>
  <c r="X360" i="1"/>
  <c r="B360" i="1" s="1"/>
  <c r="W360" i="1"/>
  <c r="O360" i="1"/>
  <c r="I360" i="1"/>
  <c r="H360" i="1"/>
  <c r="G360" i="1"/>
  <c r="F360" i="1"/>
  <c r="E360" i="1"/>
  <c r="D360" i="1"/>
  <c r="C360" i="1"/>
  <c r="A360" i="1"/>
  <c r="X359" i="1"/>
  <c r="B359" i="1" s="1"/>
  <c r="W359" i="1"/>
  <c r="O359" i="1"/>
  <c r="I359" i="1"/>
  <c r="H359" i="1"/>
  <c r="G359" i="1"/>
  <c r="F359" i="1"/>
  <c r="E359" i="1"/>
  <c r="D359" i="1"/>
  <c r="C359" i="1"/>
  <c r="A359" i="1"/>
  <c r="X358" i="1"/>
  <c r="B358" i="1" s="1"/>
  <c r="W358" i="1"/>
  <c r="O358" i="1"/>
  <c r="I358" i="1"/>
  <c r="H358" i="1"/>
  <c r="G358" i="1"/>
  <c r="F358" i="1"/>
  <c r="E358" i="1"/>
  <c r="D358" i="1"/>
  <c r="C358" i="1"/>
  <c r="A358" i="1"/>
  <c r="X357" i="1"/>
  <c r="B357" i="1" s="1"/>
  <c r="W357" i="1"/>
  <c r="O357" i="1"/>
  <c r="I357" i="1"/>
  <c r="H357" i="1"/>
  <c r="G357" i="1"/>
  <c r="F357" i="1"/>
  <c r="E357" i="1"/>
  <c r="D357" i="1"/>
  <c r="C357" i="1"/>
  <c r="A357" i="1"/>
  <c r="X356" i="1"/>
  <c r="B356" i="1" s="1"/>
  <c r="W356" i="1"/>
  <c r="O356" i="1"/>
  <c r="I356" i="1"/>
  <c r="H356" i="1"/>
  <c r="G356" i="1"/>
  <c r="F356" i="1"/>
  <c r="E356" i="1"/>
  <c r="D356" i="1"/>
  <c r="C356" i="1"/>
  <c r="A356" i="1"/>
  <c r="X355" i="1"/>
  <c r="B355" i="1" s="1"/>
  <c r="W355" i="1"/>
  <c r="O355" i="1"/>
  <c r="I355" i="1"/>
  <c r="H355" i="1"/>
  <c r="G355" i="1"/>
  <c r="F355" i="1"/>
  <c r="E355" i="1"/>
  <c r="D355" i="1"/>
  <c r="C355" i="1"/>
  <c r="A355" i="1"/>
  <c r="X354" i="1"/>
  <c r="B354" i="1" s="1"/>
  <c r="W354" i="1"/>
  <c r="N354" i="1"/>
  <c r="I354" i="1"/>
  <c r="H354" i="1"/>
  <c r="G354" i="1"/>
  <c r="F354" i="1"/>
  <c r="E354" i="1"/>
  <c r="D354" i="1"/>
  <c r="C354" i="1"/>
  <c r="A354" i="1"/>
  <c r="X353" i="1"/>
  <c r="B353" i="1" s="1"/>
  <c r="W353" i="1"/>
  <c r="N353" i="1"/>
  <c r="I353" i="1"/>
  <c r="H353" i="1"/>
  <c r="G353" i="1"/>
  <c r="F353" i="1"/>
  <c r="E353" i="1"/>
  <c r="D353" i="1"/>
  <c r="C353" i="1"/>
  <c r="A353" i="1"/>
  <c r="X352" i="1"/>
  <c r="B352" i="1" s="1"/>
  <c r="W352" i="1"/>
  <c r="N352" i="1"/>
  <c r="I352" i="1"/>
  <c r="H352" i="1"/>
  <c r="G352" i="1"/>
  <c r="F352" i="1"/>
  <c r="E352" i="1"/>
  <c r="D352" i="1"/>
  <c r="C352" i="1"/>
  <c r="A352" i="1"/>
  <c r="X351" i="1"/>
  <c r="B351" i="1" s="1"/>
  <c r="W351" i="1"/>
  <c r="N351" i="1"/>
  <c r="I351" i="1"/>
  <c r="H351" i="1"/>
  <c r="G351" i="1"/>
  <c r="F351" i="1"/>
  <c r="E351" i="1"/>
  <c r="D351" i="1"/>
  <c r="C351" i="1"/>
  <c r="A351" i="1"/>
  <c r="X350" i="1"/>
  <c r="B350" i="1" s="1"/>
  <c r="W350" i="1"/>
  <c r="N350" i="1"/>
  <c r="I350" i="1"/>
  <c r="H350" i="1"/>
  <c r="G350" i="1"/>
  <c r="F350" i="1"/>
  <c r="E350" i="1"/>
  <c r="D350" i="1"/>
  <c r="C350" i="1"/>
  <c r="A350" i="1"/>
  <c r="X349" i="1"/>
  <c r="B349" i="1" s="1"/>
  <c r="W349" i="1"/>
  <c r="N349" i="1"/>
  <c r="I349" i="1"/>
  <c r="H349" i="1"/>
  <c r="G349" i="1"/>
  <c r="F349" i="1"/>
  <c r="E349" i="1"/>
  <c r="D349" i="1"/>
  <c r="C349" i="1"/>
  <c r="A349" i="1"/>
  <c r="X348" i="1"/>
  <c r="B348" i="1" s="1"/>
  <c r="W348" i="1"/>
  <c r="N348" i="1"/>
  <c r="I348" i="1"/>
  <c r="H348" i="1"/>
  <c r="G348" i="1"/>
  <c r="F348" i="1"/>
  <c r="E348" i="1"/>
  <c r="D348" i="1"/>
  <c r="C348" i="1"/>
  <c r="A348" i="1"/>
  <c r="X347" i="1"/>
  <c r="B347" i="1" s="1"/>
  <c r="W347" i="1"/>
  <c r="N347" i="1"/>
  <c r="I347" i="1"/>
  <c r="H347" i="1"/>
  <c r="G347" i="1"/>
  <c r="F347" i="1"/>
  <c r="E347" i="1"/>
  <c r="D347" i="1"/>
  <c r="C347" i="1"/>
  <c r="A347" i="1"/>
  <c r="X346" i="1"/>
  <c r="B346" i="1" s="1"/>
  <c r="W346" i="1"/>
  <c r="N346" i="1"/>
  <c r="I346" i="1"/>
  <c r="H346" i="1"/>
  <c r="G346" i="1"/>
  <c r="F346" i="1"/>
  <c r="E346" i="1"/>
  <c r="D346" i="1"/>
  <c r="C346" i="1"/>
  <c r="A346" i="1"/>
  <c r="X345" i="1"/>
  <c r="B345" i="1" s="1"/>
  <c r="W345" i="1"/>
  <c r="N345" i="1"/>
  <c r="I345" i="1"/>
  <c r="H345" i="1"/>
  <c r="G345" i="1"/>
  <c r="F345" i="1"/>
  <c r="E345" i="1"/>
  <c r="D345" i="1"/>
  <c r="C345" i="1"/>
  <c r="A345" i="1"/>
  <c r="X344" i="1"/>
  <c r="B344" i="1" s="1"/>
  <c r="W344" i="1"/>
  <c r="N344" i="1"/>
  <c r="I344" i="1"/>
  <c r="H344" i="1"/>
  <c r="G344" i="1"/>
  <c r="F344" i="1"/>
  <c r="E344" i="1"/>
  <c r="D344" i="1"/>
  <c r="C344" i="1"/>
  <c r="A344" i="1"/>
  <c r="X343" i="1"/>
  <c r="B343" i="1" s="1"/>
  <c r="W343" i="1"/>
  <c r="N343" i="1"/>
  <c r="I343" i="1"/>
  <c r="H343" i="1"/>
  <c r="G343" i="1"/>
  <c r="F343" i="1"/>
  <c r="E343" i="1"/>
  <c r="D343" i="1"/>
  <c r="C343" i="1"/>
  <c r="A343" i="1"/>
  <c r="X342" i="1"/>
  <c r="B342" i="1" s="1"/>
  <c r="W342" i="1"/>
  <c r="N342" i="1"/>
  <c r="I342" i="1"/>
  <c r="H342" i="1"/>
  <c r="G342" i="1"/>
  <c r="F342" i="1"/>
  <c r="E342" i="1"/>
  <c r="D342" i="1"/>
  <c r="C342" i="1"/>
  <c r="A342" i="1"/>
  <c r="X341" i="1"/>
  <c r="B341" i="1" s="1"/>
  <c r="W341" i="1"/>
  <c r="N341" i="1"/>
  <c r="I341" i="1"/>
  <c r="H341" i="1"/>
  <c r="G341" i="1"/>
  <c r="F341" i="1"/>
  <c r="E341" i="1"/>
  <c r="D341" i="1"/>
  <c r="C341" i="1"/>
  <c r="A341" i="1"/>
  <c r="X340" i="1"/>
  <c r="B340" i="1" s="1"/>
  <c r="W340" i="1"/>
  <c r="N340" i="1"/>
  <c r="I340" i="1"/>
  <c r="H340" i="1"/>
  <c r="G340" i="1"/>
  <c r="F340" i="1"/>
  <c r="E340" i="1"/>
  <c r="D340" i="1"/>
  <c r="C340" i="1"/>
  <c r="A340" i="1"/>
  <c r="X339" i="1"/>
  <c r="B339" i="1" s="1"/>
  <c r="W339" i="1"/>
  <c r="N339" i="1"/>
  <c r="I339" i="1"/>
  <c r="H339" i="1"/>
  <c r="G339" i="1"/>
  <c r="F339" i="1"/>
  <c r="E339" i="1"/>
  <c r="D339" i="1"/>
  <c r="C339" i="1"/>
  <c r="A339" i="1"/>
  <c r="X338" i="1"/>
  <c r="B338" i="1" s="1"/>
  <c r="W338" i="1"/>
  <c r="N338" i="1"/>
  <c r="I338" i="1"/>
  <c r="H338" i="1"/>
  <c r="G338" i="1"/>
  <c r="F338" i="1"/>
  <c r="E338" i="1"/>
  <c r="D338" i="1"/>
  <c r="C338" i="1"/>
  <c r="A338" i="1"/>
  <c r="X337" i="1"/>
  <c r="B337" i="1" s="1"/>
  <c r="W337" i="1"/>
  <c r="N337" i="1"/>
  <c r="I337" i="1"/>
  <c r="H337" i="1"/>
  <c r="G337" i="1"/>
  <c r="F337" i="1"/>
  <c r="E337" i="1"/>
  <c r="D337" i="1"/>
  <c r="C337" i="1"/>
  <c r="A337" i="1"/>
  <c r="X336" i="1"/>
  <c r="B336" i="1" s="1"/>
  <c r="W336" i="1"/>
  <c r="N336" i="1"/>
  <c r="I336" i="1"/>
  <c r="H336" i="1"/>
  <c r="G336" i="1"/>
  <c r="F336" i="1"/>
  <c r="E336" i="1"/>
  <c r="D336" i="1"/>
  <c r="C336" i="1"/>
  <c r="A336" i="1"/>
  <c r="X335" i="1"/>
  <c r="B335" i="1" s="1"/>
  <c r="W335" i="1"/>
  <c r="N335" i="1"/>
  <c r="I335" i="1"/>
  <c r="H335" i="1"/>
  <c r="G335" i="1"/>
  <c r="F335" i="1"/>
  <c r="E335" i="1"/>
  <c r="D335" i="1"/>
  <c r="C335" i="1"/>
  <c r="A335" i="1"/>
  <c r="X334" i="1"/>
  <c r="B334" i="1" s="1"/>
  <c r="W334" i="1"/>
  <c r="N334" i="1"/>
  <c r="I334" i="1"/>
  <c r="H334" i="1"/>
  <c r="G334" i="1"/>
  <c r="F334" i="1"/>
  <c r="E334" i="1"/>
  <c r="D334" i="1"/>
  <c r="C334" i="1"/>
  <c r="A334" i="1"/>
  <c r="X333" i="1"/>
  <c r="B333" i="1" s="1"/>
  <c r="W333" i="1"/>
  <c r="N333" i="1"/>
  <c r="I333" i="1"/>
  <c r="H333" i="1"/>
  <c r="G333" i="1"/>
  <c r="F333" i="1"/>
  <c r="E333" i="1"/>
  <c r="D333" i="1"/>
  <c r="C333" i="1"/>
  <c r="A333" i="1"/>
  <c r="X332" i="1"/>
  <c r="B332" i="1" s="1"/>
  <c r="W332" i="1"/>
  <c r="N332" i="1"/>
  <c r="I332" i="1"/>
  <c r="H332" i="1"/>
  <c r="G332" i="1"/>
  <c r="F332" i="1"/>
  <c r="E332" i="1"/>
  <c r="D332" i="1"/>
  <c r="C332" i="1"/>
  <c r="A332" i="1"/>
  <c r="X331" i="1"/>
  <c r="B331" i="1" s="1"/>
  <c r="W331" i="1"/>
  <c r="N331" i="1"/>
  <c r="I331" i="1"/>
  <c r="H331" i="1"/>
  <c r="G331" i="1"/>
  <c r="F331" i="1"/>
  <c r="E331" i="1"/>
  <c r="D331" i="1"/>
  <c r="C331" i="1"/>
  <c r="A331" i="1"/>
  <c r="X330" i="1"/>
  <c r="B330" i="1" s="1"/>
  <c r="W330" i="1"/>
  <c r="N330" i="1"/>
  <c r="I330" i="1"/>
  <c r="H330" i="1"/>
  <c r="G330" i="1"/>
  <c r="F330" i="1"/>
  <c r="E330" i="1"/>
  <c r="D330" i="1"/>
  <c r="C330" i="1"/>
  <c r="A330" i="1"/>
  <c r="X329" i="1"/>
  <c r="B329" i="1" s="1"/>
  <c r="W329" i="1"/>
  <c r="N329" i="1"/>
  <c r="I329" i="1"/>
  <c r="H329" i="1"/>
  <c r="G329" i="1"/>
  <c r="F329" i="1"/>
  <c r="E329" i="1"/>
  <c r="D329" i="1"/>
  <c r="C329" i="1"/>
  <c r="A329" i="1"/>
  <c r="X328" i="1"/>
  <c r="B328" i="1" s="1"/>
  <c r="W328" i="1"/>
  <c r="N328" i="1"/>
  <c r="I328" i="1"/>
  <c r="H328" i="1"/>
  <c r="G328" i="1"/>
  <c r="F328" i="1"/>
  <c r="E328" i="1"/>
  <c r="D328" i="1"/>
  <c r="C328" i="1"/>
  <c r="A328" i="1"/>
  <c r="X327" i="1"/>
  <c r="B327" i="1" s="1"/>
  <c r="W327" i="1"/>
  <c r="N327" i="1"/>
  <c r="I327" i="1"/>
  <c r="H327" i="1"/>
  <c r="G327" i="1"/>
  <c r="F327" i="1"/>
  <c r="E327" i="1"/>
  <c r="D327" i="1"/>
  <c r="C327" i="1"/>
  <c r="A327" i="1"/>
  <c r="X326" i="1"/>
  <c r="B326" i="1" s="1"/>
  <c r="W326" i="1"/>
  <c r="N326" i="1"/>
  <c r="I326" i="1"/>
  <c r="H326" i="1"/>
  <c r="G326" i="1"/>
  <c r="F326" i="1"/>
  <c r="E326" i="1"/>
  <c r="D326" i="1"/>
  <c r="C326" i="1"/>
  <c r="A326" i="1"/>
  <c r="X325" i="1"/>
  <c r="B325" i="1" s="1"/>
  <c r="W325" i="1"/>
  <c r="N325" i="1"/>
  <c r="I325" i="1"/>
  <c r="H325" i="1"/>
  <c r="G325" i="1"/>
  <c r="F325" i="1"/>
  <c r="E325" i="1"/>
  <c r="D325" i="1"/>
  <c r="C325" i="1"/>
  <c r="A325" i="1"/>
  <c r="X324" i="1"/>
  <c r="B324" i="1" s="1"/>
  <c r="W324" i="1"/>
  <c r="N324" i="1"/>
  <c r="I324" i="1"/>
  <c r="H324" i="1"/>
  <c r="G324" i="1"/>
  <c r="F324" i="1"/>
  <c r="E324" i="1"/>
  <c r="D324" i="1"/>
  <c r="C324" i="1"/>
  <c r="A324" i="1"/>
  <c r="X323" i="1"/>
  <c r="B323" i="1" s="1"/>
  <c r="W323" i="1"/>
  <c r="N323" i="1"/>
  <c r="I323" i="1"/>
  <c r="H323" i="1"/>
  <c r="G323" i="1"/>
  <c r="F323" i="1"/>
  <c r="E323" i="1"/>
  <c r="D323" i="1"/>
  <c r="C323" i="1"/>
  <c r="A323" i="1"/>
  <c r="X322" i="1"/>
  <c r="B322" i="1" s="1"/>
  <c r="W322" i="1"/>
  <c r="N322" i="1"/>
  <c r="I322" i="1"/>
  <c r="H322" i="1"/>
  <c r="G322" i="1"/>
  <c r="F322" i="1"/>
  <c r="E322" i="1"/>
  <c r="D322" i="1"/>
  <c r="C322" i="1"/>
  <c r="A322" i="1"/>
  <c r="X321" i="1"/>
  <c r="B321" i="1" s="1"/>
  <c r="W321" i="1"/>
  <c r="N321" i="1"/>
  <c r="I321" i="1"/>
  <c r="H321" i="1"/>
  <c r="G321" i="1"/>
  <c r="F321" i="1"/>
  <c r="E321" i="1"/>
  <c r="D321" i="1"/>
  <c r="C321" i="1"/>
  <c r="A321" i="1"/>
  <c r="X320" i="1"/>
  <c r="B320" i="1" s="1"/>
  <c r="W320" i="1"/>
  <c r="N320" i="1"/>
  <c r="I320" i="1"/>
  <c r="H320" i="1"/>
  <c r="G320" i="1"/>
  <c r="F320" i="1"/>
  <c r="E320" i="1"/>
  <c r="D320" i="1"/>
  <c r="C320" i="1"/>
  <c r="A320" i="1"/>
  <c r="X319" i="1"/>
  <c r="B319" i="1" s="1"/>
  <c r="W319" i="1"/>
  <c r="N319" i="1"/>
  <c r="I319" i="1"/>
  <c r="H319" i="1"/>
  <c r="G319" i="1"/>
  <c r="F319" i="1"/>
  <c r="E319" i="1"/>
  <c r="D319" i="1"/>
  <c r="C319" i="1"/>
  <c r="A319" i="1"/>
  <c r="X318" i="1"/>
  <c r="B318" i="1" s="1"/>
  <c r="W318" i="1"/>
  <c r="N318" i="1"/>
  <c r="I318" i="1"/>
  <c r="H318" i="1"/>
  <c r="G318" i="1"/>
  <c r="F318" i="1"/>
  <c r="E318" i="1"/>
  <c r="D318" i="1"/>
  <c r="C318" i="1"/>
  <c r="A318" i="1"/>
  <c r="X317" i="1"/>
  <c r="B317" i="1" s="1"/>
  <c r="W317" i="1"/>
  <c r="N317" i="1"/>
  <c r="I317" i="1"/>
  <c r="H317" i="1"/>
  <c r="G317" i="1"/>
  <c r="F317" i="1"/>
  <c r="E317" i="1"/>
  <c r="D317" i="1"/>
  <c r="C317" i="1"/>
  <c r="A317" i="1"/>
  <c r="X316" i="1"/>
  <c r="B316" i="1" s="1"/>
  <c r="W316" i="1"/>
  <c r="N316" i="1"/>
  <c r="I316" i="1"/>
  <c r="H316" i="1"/>
  <c r="G316" i="1"/>
  <c r="F316" i="1"/>
  <c r="E316" i="1"/>
  <c r="D316" i="1"/>
  <c r="C316" i="1"/>
  <c r="A316" i="1"/>
  <c r="X315" i="1"/>
  <c r="B315" i="1" s="1"/>
  <c r="W315" i="1"/>
  <c r="N315" i="1"/>
  <c r="I315" i="1"/>
  <c r="H315" i="1"/>
  <c r="G315" i="1"/>
  <c r="F315" i="1"/>
  <c r="E315" i="1"/>
  <c r="D315" i="1"/>
  <c r="C315" i="1"/>
  <c r="A315" i="1"/>
  <c r="X314" i="1"/>
  <c r="B314" i="1" s="1"/>
  <c r="W314" i="1"/>
  <c r="N314" i="1"/>
  <c r="I314" i="1"/>
  <c r="H314" i="1"/>
  <c r="G314" i="1"/>
  <c r="F314" i="1"/>
  <c r="E314" i="1"/>
  <c r="D314" i="1"/>
  <c r="C314" i="1"/>
  <c r="A314" i="1"/>
  <c r="X313" i="1"/>
  <c r="B313" i="1" s="1"/>
  <c r="W313" i="1"/>
  <c r="N313" i="1"/>
  <c r="I313" i="1"/>
  <c r="H313" i="1"/>
  <c r="G313" i="1"/>
  <c r="F313" i="1"/>
  <c r="E313" i="1"/>
  <c r="D313" i="1"/>
  <c r="C313" i="1"/>
  <c r="A313" i="1"/>
  <c r="X312" i="1"/>
  <c r="B312" i="1" s="1"/>
  <c r="W312" i="1"/>
  <c r="N312" i="1"/>
  <c r="I312" i="1"/>
  <c r="H312" i="1"/>
  <c r="G312" i="1"/>
  <c r="F312" i="1"/>
  <c r="E312" i="1"/>
  <c r="D312" i="1"/>
  <c r="C312" i="1"/>
  <c r="A312" i="1"/>
  <c r="X311" i="1"/>
  <c r="B311" i="1" s="1"/>
  <c r="W311" i="1"/>
  <c r="N311" i="1"/>
  <c r="I311" i="1"/>
  <c r="H311" i="1"/>
  <c r="G311" i="1"/>
  <c r="F311" i="1"/>
  <c r="E311" i="1"/>
  <c r="D311" i="1"/>
  <c r="C311" i="1"/>
  <c r="A311" i="1"/>
  <c r="X310" i="1"/>
  <c r="B310" i="1" s="1"/>
  <c r="W310" i="1"/>
  <c r="N310" i="1"/>
  <c r="I310" i="1"/>
  <c r="H310" i="1"/>
  <c r="G310" i="1"/>
  <c r="F310" i="1"/>
  <c r="E310" i="1"/>
  <c r="D310" i="1"/>
  <c r="C310" i="1"/>
  <c r="A310" i="1"/>
  <c r="X309" i="1"/>
  <c r="B309" i="1" s="1"/>
  <c r="W309" i="1"/>
  <c r="N309" i="1"/>
  <c r="I309" i="1"/>
  <c r="H309" i="1"/>
  <c r="G309" i="1"/>
  <c r="F309" i="1"/>
  <c r="E309" i="1"/>
  <c r="D309" i="1"/>
  <c r="C309" i="1"/>
  <c r="A309" i="1"/>
  <c r="X308" i="1"/>
  <c r="B308" i="1" s="1"/>
  <c r="W308" i="1"/>
  <c r="N308" i="1"/>
  <c r="I308" i="1"/>
  <c r="H308" i="1"/>
  <c r="G308" i="1"/>
  <c r="F308" i="1"/>
  <c r="E308" i="1"/>
  <c r="D308" i="1"/>
  <c r="C308" i="1"/>
  <c r="A308" i="1"/>
  <c r="X307" i="1"/>
  <c r="B307" i="1" s="1"/>
  <c r="W307" i="1"/>
  <c r="N307" i="1"/>
  <c r="I307" i="1"/>
  <c r="H307" i="1"/>
  <c r="G307" i="1"/>
  <c r="F307" i="1"/>
  <c r="E307" i="1"/>
  <c r="D307" i="1"/>
  <c r="C307" i="1"/>
  <c r="A307" i="1"/>
  <c r="X306" i="1"/>
  <c r="B306" i="1" s="1"/>
  <c r="W306" i="1"/>
  <c r="N306" i="1"/>
  <c r="I306" i="1"/>
  <c r="H306" i="1"/>
  <c r="G306" i="1"/>
  <c r="F306" i="1"/>
  <c r="E306" i="1"/>
  <c r="D306" i="1"/>
  <c r="C306" i="1"/>
  <c r="A306" i="1"/>
  <c r="X305" i="1"/>
  <c r="B305" i="1" s="1"/>
  <c r="W305" i="1"/>
  <c r="N305" i="1"/>
  <c r="I305" i="1"/>
  <c r="H305" i="1"/>
  <c r="G305" i="1"/>
  <c r="F305" i="1"/>
  <c r="E305" i="1"/>
  <c r="D305" i="1"/>
  <c r="C305" i="1"/>
  <c r="A305" i="1"/>
  <c r="X304" i="1"/>
  <c r="B304" i="1" s="1"/>
  <c r="W304" i="1"/>
  <c r="N304" i="1"/>
  <c r="I304" i="1"/>
  <c r="H304" i="1"/>
  <c r="G304" i="1"/>
  <c r="F304" i="1"/>
  <c r="E304" i="1"/>
  <c r="D304" i="1"/>
  <c r="C304" i="1"/>
  <c r="A304" i="1"/>
  <c r="X303" i="1"/>
  <c r="B303" i="1" s="1"/>
  <c r="W303" i="1"/>
  <c r="N303" i="1"/>
  <c r="I303" i="1"/>
  <c r="H303" i="1"/>
  <c r="G303" i="1"/>
  <c r="F303" i="1"/>
  <c r="E303" i="1"/>
  <c r="D303" i="1"/>
  <c r="C303" i="1"/>
  <c r="A303" i="1"/>
  <c r="X302" i="1"/>
  <c r="B302" i="1" s="1"/>
  <c r="W302" i="1"/>
  <c r="N302" i="1"/>
  <c r="I302" i="1"/>
  <c r="H302" i="1"/>
  <c r="G302" i="1"/>
  <c r="F302" i="1"/>
  <c r="E302" i="1"/>
  <c r="D302" i="1"/>
  <c r="C302" i="1"/>
  <c r="A302" i="1"/>
  <c r="X301" i="1"/>
  <c r="B301" i="1" s="1"/>
  <c r="W301" i="1"/>
  <c r="N301" i="1"/>
  <c r="I301" i="1"/>
  <c r="H301" i="1"/>
  <c r="G301" i="1"/>
  <c r="F301" i="1"/>
  <c r="E301" i="1"/>
  <c r="D301" i="1"/>
  <c r="C301" i="1"/>
  <c r="A301" i="1"/>
  <c r="X300" i="1"/>
  <c r="B300" i="1" s="1"/>
  <c r="W300" i="1"/>
  <c r="N300" i="1"/>
  <c r="I300" i="1"/>
  <c r="H300" i="1"/>
  <c r="G300" i="1"/>
  <c r="F300" i="1"/>
  <c r="E300" i="1"/>
  <c r="D300" i="1"/>
  <c r="C300" i="1"/>
  <c r="A300" i="1"/>
  <c r="X299" i="1"/>
  <c r="B299" i="1" s="1"/>
  <c r="W299" i="1"/>
  <c r="N299" i="1"/>
  <c r="I299" i="1"/>
  <c r="H299" i="1"/>
  <c r="G299" i="1"/>
  <c r="F299" i="1"/>
  <c r="E299" i="1"/>
  <c r="D299" i="1"/>
  <c r="C299" i="1"/>
  <c r="A299" i="1"/>
  <c r="X298" i="1"/>
  <c r="B298" i="1" s="1"/>
  <c r="W298" i="1"/>
  <c r="N298" i="1"/>
  <c r="I298" i="1"/>
  <c r="H298" i="1"/>
  <c r="G298" i="1"/>
  <c r="F298" i="1"/>
  <c r="E298" i="1"/>
  <c r="D298" i="1"/>
  <c r="C298" i="1"/>
  <c r="A298" i="1"/>
  <c r="X297" i="1"/>
  <c r="B297" i="1" s="1"/>
  <c r="W297" i="1"/>
  <c r="N297" i="1"/>
  <c r="I297" i="1"/>
  <c r="H297" i="1"/>
  <c r="G297" i="1"/>
  <c r="F297" i="1"/>
  <c r="E297" i="1"/>
  <c r="D297" i="1"/>
  <c r="C297" i="1"/>
  <c r="A297" i="1"/>
  <c r="X296" i="1"/>
  <c r="B296" i="1" s="1"/>
  <c r="W296" i="1"/>
  <c r="N296" i="1"/>
  <c r="I296" i="1"/>
  <c r="H296" i="1"/>
  <c r="G296" i="1"/>
  <c r="F296" i="1"/>
  <c r="E296" i="1"/>
  <c r="D296" i="1"/>
  <c r="C296" i="1"/>
  <c r="A296" i="1"/>
  <c r="X295" i="1"/>
  <c r="B295" i="1" s="1"/>
  <c r="W295" i="1"/>
  <c r="N295" i="1"/>
  <c r="I295" i="1"/>
  <c r="H295" i="1"/>
  <c r="G295" i="1"/>
  <c r="F295" i="1"/>
  <c r="E295" i="1"/>
  <c r="D295" i="1"/>
  <c r="C295" i="1"/>
  <c r="A295" i="1"/>
  <c r="X294" i="1"/>
  <c r="B294" i="1" s="1"/>
  <c r="W294" i="1"/>
  <c r="N294" i="1"/>
  <c r="I294" i="1"/>
  <c r="H294" i="1"/>
  <c r="G294" i="1"/>
  <c r="F294" i="1"/>
  <c r="E294" i="1"/>
  <c r="D294" i="1"/>
  <c r="C294" i="1"/>
  <c r="A294" i="1"/>
  <c r="X293" i="1"/>
  <c r="B293" i="1" s="1"/>
  <c r="W293" i="1"/>
  <c r="N293" i="1"/>
  <c r="I293" i="1"/>
  <c r="H293" i="1"/>
  <c r="G293" i="1"/>
  <c r="F293" i="1"/>
  <c r="E293" i="1"/>
  <c r="D293" i="1"/>
  <c r="C293" i="1"/>
  <c r="A293" i="1"/>
  <c r="X292" i="1"/>
  <c r="B292" i="1" s="1"/>
  <c r="W292" i="1"/>
  <c r="N292" i="1"/>
  <c r="I292" i="1"/>
  <c r="H292" i="1"/>
  <c r="G292" i="1"/>
  <c r="F292" i="1"/>
  <c r="E292" i="1"/>
  <c r="D292" i="1"/>
  <c r="C292" i="1"/>
  <c r="A292" i="1"/>
  <c r="X291" i="1"/>
  <c r="B291" i="1" s="1"/>
  <c r="W291" i="1"/>
  <c r="N291" i="1"/>
  <c r="M291" i="1"/>
  <c r="I291" i="1"/>
  <c r="H291" i="1"/>
  <c r="G291" i="1"/>
  <c r="F291" i="1"/>
  <c r="E291" i="1"/>
  <c r="D291" i="1"/>
  <c r="C291" i="1"/>
  <c r="A291" i="1"/>
  <c r="X290" i="1"/>
  <c r="B290" i="1" s="1"/>
  <c r="W290" i="1"/>
  <c r="N290" i="1"/>
  <c r="M290" i="1"/>
  <c r="I290" i="1"/>
  <c r="H290" i="1"/>
  <c r="G290" i="1"/>
  <c r="F290" i="1"/>
  <c r="E290" i="1"/>
  <c r="D290" i="1"/>
  <c r="C290" i="1"/>
  <c r="A290" i="1"/>
  <c r="X289" i="1"/>
  <c r="B289" i="1" s="1"/>
  <c r="W289" i="1"/>
  <c r="N289" i="1"/>
  <c r="M289" i="1"/>
  <c r="I289" i="1"/>
  <c r="H289" i="1"/>
  <c r="G289" i="1"/>
  <c r="F289" i="1"/>
  <c r="E289" i="1"/>
  <c r="D289" i="1"/>
  <c r="C289" i="1"/>
  <c r="A289" i="1"/>
  <c r="X288" i="1"/>
  <c r="B288" i="1" s="1"/>
  <c r="W288" i="1"/>
  <c r="N288" i="1"/>
  <c r="M288" i="1"/>
  <c r="I288" i="1"/>
  <c r="H288" i="1"/>
  <c r="G288" i="1"/>
  <c r="F288" i="1"/>
  <c r="E288" i="1"/>
  <c r="D288" i="1"/>
  <c r="C288" i="1"/>
  <c r="A288" i="1"/>
  <c r="X287" i="1"/>
  <c r="B287" i="1" s="1"/>
  <c r="W287" i="1"/>
  <c r="N287" i="1"/>
  <c r="M287" i="1"/>
  <c r="I287" i="1"/>
  <c r="H287" i="1"/>
  <c r="G287" i="1"/>
  <c r="F287" i="1"/>
  <c r="E287" i="1"/>
  <c r="D287" i="1"/>
  <c r="C287" i="1"/>
  <c r="A287" i="1"/>
  <c r="X286" i="1"/>
  <c r="B286" i="1" s="1"/>
  <c r="W286" i="1"/>
  <c r="N286" i="1"/>
  <c r="M286" i="1"/>
  <c r="I286" i="1"/>
  <c r="H286" i="1"/>
  <c r="G286" i="1"/>
  <c r="F286" i="1"/>
  <c r="E286" i="1"/>
  <c r="D286" i="1"/>
  <c r="C286" i="1"/>
  <c r="A286" i="1"/>
  <c r="X285" i="1"/>
  <c r="B285" i="1" s="1"/>
  <c r="W285" i="1"/>
  <c r="N285" i="1"/>
  <c r="M285" i="1"/>
  <c r="I285" i="1"/>
  <c r="H285" i="1"/>
  <c r="G285" i="1"/>
  <c r="F285" i="1"/>
  <c r="E285" i="1"/>
  <c r="D285" i="1"/>
  <c r="C285" i="1"/>
  <c r="A285" i="1"/>
  <c r="X284" i="1"/>
  <c r="B284" i="1" s="1"/>
  <c r="W284" i="1"/>
  <c r="N284" i="1"/>
  <c r="M284" i="1"/>
  <c r="I284" i="1"/>
  <c r="H284" i="1"/>
  <c r="G284" i="1"/>
  <c r="F284" i="1"/>
  <c r="E284" i="1"/>
  <c r="D284" i="1"/>
  <c r="C284" i="1"/>
  <c r="A284" i="1"/>
  <c r="X283" i="1"/>
  <c r="B283" i="1" s="1"/>
  <c r="W283" i="1"/>
  <c r="N283" i="1"/>
  <c r="M283" i="1"/>
  <c r="I283" i="1"/>
  <c r="H283" i="1"/>
  <c r="G283" i="1"/>
  <c r="F283" i="1"/>
  <c r="E283" i="1"/>
  <c r="D283" i="1"/>
  <c r="C283" i="1"/>
  <c r="A283" i="1"/>
  <c r="X282" i="1"/>
  <c r="B282" i="1" s="1"/>
  <c r="W282" i="1"/>
  <c r="N282" i="1"/>
  <c r="M282" i="1"/>
  <c r="I282" i="1"/>
  <c r="H282" i="1"/>
  <c r="G282" i="1"/>
  <c r="F282" i="1"/>
  <c r="E282" i="1"/>
  <c r="D282" i="1"/>
  <c r="C282" i="1"/>
  <c r="A282" i="1"/>
  <c r="X281" i="1"/>
  <c r="B281" i="1" s="1"/>
  <c r="W281" i="1"/>
  <c r="N281" i="1"/>
  <c r="M281" i="1"/>
  <c r="I281" i="1"/>
  <c r="H281" i="1"/>
  <c r="G281" i="1"/>
  <c r="F281" i="1"/>
  <c r="E281" i="1"/>
  <c r="D281" i="1"/>
  <c r="C281" i="1"/>
  <c r="A281" i="1"/>
  <c r="X280" i="1"/>
  <c r="B280" i="1" s="1"/>
  <c r="W280" i="1"/>
  <c r="N280" i="1"/>
  <c r="M280" i="1"/>
  <c r="I280" i="1"/>
  <c r="H280" i="1"/>
  <c r="G280" i="1"/>
  <c r="F280" i="1"/>
  <c r="E280" i="1"/>
  <c r="D280" i="1"/>
  <c r="C280" i="1"/>
  <c r="A280" i="1"/>
  <c r="X279" i="1"/>
  <c r="B279" i="1" s="1"/>
  <c r="W279" i="1"/>
  <c r="N279" i="1"/>
  <c r="M279" i="1"/>
  <c r="I279" i="1"/>
  <c r="H279" i="1"/>
  <c r="G279" i="1"/>
  <c r="F279" i="1"/>
  <c r="E279" i="1"/>
  <c r="D279" i="1"/>
  <c r="C279" i="1"/>
  <c r="A279" i="1"/>
  <c r="X278" i="1"/>
  <c r="B278" i="1" s="1"/>
  <c r="W278" i="1"/>
  <c r="N278" i="1"/>
  <c r="M278" i="1"/>
  <c r="I278" i="1"/>
  <c r="H278" i="1"/>
  <c r="G278" i="1"/>
  <c r="F278" i="1"/>
  <c r="E278" i="1"/>
  <c r="D278" i="1"/>
  <c r="C278" i="1"/>
  <c r="A278" i="1"/>
  <c r="X277" i="1"/>
  <c r="B277" i="1" s="1"/>
  <c r="W277" i="1"/>
  <c r="N277" i="1"/>
  <c r="M277" i="1"/>
  <c r="I277" i="1"/>
  <c r="H277" i="1"/>
  <c r="G277" i="1"/>
  <c r="F277" i="1"/>
  <c r="E277" i="1"/>
  <c r="D277" i="1"/>
  <c r="C277" i="1"/>
  <c r="A277" i="1"/>
  <c r="X276" i="1"/>
  <c r="B276" i="1" s="1"/>
  <c r="W276" i="1"/>
  <c r="N276" i="1"/>
  <c r="M276" i="1"/>
  <c r="I276" i="1"/>
  <c r="H276" i="1"/>
  <c r="G276" i="1"/>
  <c r="F276" i="1"/>
  <c r="E276" i="1"/>
  <c r="D276" i="1"/>
  <c r="C276" i="1"/>
  <c r="A276" i="1"/>
  <c r="X275" i="1"/>
  <c r="B275" i="1" s="1"/>
  <c r="W275" i="1"/>
  <c r="N275" i="1"/>
  <c r="M275" i="1"/>
  <c r="I275" i="1"/>
  <c r="H275" i="1"/>
  <c r="G275" i="1"/>
  <c r="F275" i="1"/>
  <c r="E275" i="1"/>
  <c r="D275" i="1"/>
  <c r="C275" i="1"/>
  <c r="A275" i="1"/>
  <c r="X274" i="1"/>
  <c r="B274" i="1" s="1"/>
  <c r="W274" i="1"/>
  <c r="N274" i="1"/>
  <c r="M274" i="1"/>
  <c r="I274" i="1"/>
  <c r="H274" i="1"/>
  <c r="G274" i="1"/>
  <c r="F274" i="1"/>
  <c r="E274" i="1"/>
  <c r="D274" i="1"/>
  <c r="C274" i="1"/>
  <c r="A274" i="1"/>
  <c r="X273" i="1"/>
  <c r="B273" i="1" s="1"/>
  <c r="W273" i="1"/>
  <c r="N273" i="1"/>
  <c r="M273" i="1"/>
  <c r="I273" i="1"/>
  <c r="H273" i="1"/>
  <c r="G273" i="1"/>
  <c r="F273" i="1"/>
  <c r="E273" i="1"/>
  <c r="D273" i="1"/>
  <c r="C273" i="1"/>
  <c r="A273" i="1"/>
  <c r="X272" i="1"/>
  <c r="B272" i="1" s="1"/>
  <c r="W272" i="1"/>
  <c r="N272" i="1"/>
  <c r="M272" i="1"/>
  <c r="I272" i="1"/>
  <c r="H272" i="1"/>
  <c r="G272" i="1"/>
  <c r="F272" i="1"/>
  <c r="E272" i="1"/>
  <c r="D272" i="1"/>
  <c r="C272" i="1"/>
  <c r="A272" i="1"/>
  <c r="X271" i="1"/>
  <c r="B271" i="1" s="1"/>
  <c r="W271" i="1"/>
  <c r="N271" i="1"/>
  <c r="M271" i="1"/>
  <c r="I271" i="1"/>
  <c r="H271" i="1"/>
  <c r="G271" i="1"/>
  <c r="F271" i="1"/>
  <c r="E271" i="1"/>
  <c r="D271" i="1"/>
  <c r="C271" i="1"/>
  <c r="A271" i="1"/>
  <c r="X270" i="1"/>
  <c r="B270" i="1" s="1"/>
  <c r="W270" i="1"/>
  <c r="N270" i="1"/>
  <c r="M270" i="1"/>
  <c r="I270" i="1"/>
  <c r="H270" i="1"/>
  <c r="G270" i="1"/>
  <c r="F270" i="1"/>
  <c r="E270" i="1"/>
  <c r="D270" i="1"/>
  <c r="C270" i="1"/>
  <c r="A270" i="1"/>
  <c r="X269" i="1"/>
  <c r="B269" i="1" s="1"/>
  <c r="W269" i="1"/>
  <c r="N269" i="1"/>
  <c r="M269" i="1"/>
  <c r="I269" i="1"/>
  <c r="H269" i="1"/>
  <c r="G269" i="1"/>
  <c r="F269" i="1"/>
  <c r="E269" i="1"/>
  <c r="D269" i="1"/>
  <c r="C269" i="1"/>
  <c r="A269" i="1"/>
  <c r="X268" i="1"/>
  <c r="B268" i="1" s="1"/>
  <c r="W268" i="1"/>
  <c r="N268" i="1"/>
  <c r="M268" i="1"/>
  <c r="I268" i="1"/>
  <c r="H268" i="1"/>
  <c r="G268" i="1"/>
  <c r="F268" i="1"/>
  <c r="E268" i="1"/>
  <c r="D268" i="1"/>
  <c r="C268" i="1"/>
  <c r="A268" i="1"/>
  <c r="X267" i="1"/>
  <c r="B267" i="1" s="1"/>
  <c r="W267" i="1"/>
  <c r="N267" i="1"/>
  <c r="M267" i="1"/>
  <c r="I267" i="1"/>
  <c r="H267" i="1"/>
  <c r="G267" i="1"/>
  <c r="F267" i="1"/>
  <c r="E267" i="1"/>
  <c r="D267" i="1"/>
  <c r="C267" i="1"/>
  <c r="A267" i="1"/>
  <c r="X266" i="1"/>
  <c r="B266" i="1" s="1"/>
  <c r="W266" i="1"/>
  <c r="N266" i="1"/>
  <c r="M266" i="1"/>
  <c r="I266" i="1"/>
  <c r="H266" i="1"/>
  <c r="G266" i="1"/>
  <c r="F266" i="1"/>
  <c r="E266" i="1"/>
  <c r="D266" i="1"/>
  <c r="C266" i="1"/>
  <c r="A266" i="1"/>
  <c r="X265" i="1"/>
  <c r="B265" i="1" s="1"/>
  <c r="W265" i="1"/>
  <c r="N265" i="1"/>
  <c r="M265" i="1"/>
  <c r="I265" i="1"/>
  <c r="H265" i="1"/>
  <c r="G265" i="1"/>
  <c r="F265" i="1"/>
  <c r="E265" i="1"/>
  <c r="D265" i="1"/>
  <c r="C265" i="1"/>
  <c r="A265" i="1"/>
  <c r="X264" i="1"/>
  <c r="B264" i="1" s="1"/>
  <c r="W264" i="1"/>
  <c r="N264" i="1"/>
  <c r="M264" i="1"/>
  <c r="I264" i="1"/>
  <c r="H264" i="1"/>
  <c r="G264" i="1"/>
  <c r="F264" i="1"/>
  <c r="E264" i="1"/>
  <c r="D264" i="1"/>
  <c r="C264" i="1"/>
  <c r="A264" i="1"/>
  <c r="X263" i="1"/>
  <c r="B263" i="1" s="1"/>
  <c r="W263" i="1"/>
  <c r="N263" i="1"/>
  <c r="M263" i="1"/>
  <c r="I263" i="1"/>
  <c r="H263" i="1"/>
  <c r="G263" i="1"/>
  <c r="F263" i="1"/>
  <c r="E263" i="1"/>
  <c r="D263" i="1"/>
  <c r="C263" i="1"/>
  <c r="A263" i="1"/>
  <c r="X262" i="1"/>
  <c r="B262" i="1" s="1"/>
  <c r="W262" i="1"/>
  <c r="N262" i="1"/>
  <c r="M262" i="1"/>
  <c r="I262" i="1"/>
  <c r="H262" i="1"/>
  <c r="G262" i="1"/>
  <c r="F262" i="1"/>
  <c r="E262" i="1"/>
  <c r="D262" i="1"/>
  <c r="C262" i="1"/>
  <c r="A262" i="1"/>
  <c r="X261" i="1"/>
  <c r="B261" i="1" s="1"/>
  <c r="W261" i="1"/>
  <c r="N261" i="1"/>
  <c r="L261" i="1"/>
  <c r="I261" i="1"/>
  <c r="H261" i="1"/>
  <c r="G261" i="1"/>
  <c r="F261" i="1"/>
  <c r="E261" i="1"/>
  <c r="D261" i="1"/>
  <c r="C261" i="1"/>
  <c r="A261" i="1"/>
  <c r="X260" i="1"/>
  <c r="B260" i="1" s="1"/>
  <c r="W260" i="1"/>
  <c r="N260" i="1"/>
  <c r="L260" i="1"/>
  <c r="I260" i="1"/>
  <c r="H260" i="1"/>
  <c r="G260" i="1"/>
  <c r="F260" i="1"/>
  <c r="E260" i="1"/>
  <c r="D260" i="1"/>
  <c r="C260" i="1"/>
  <c r="A260" i="1"/>
  <c r="X259" i="1"/>
  <c r="B259" i="1" s="1"/>
  <c r="W259" i="1"/>
  <c r="N259" i="1"/>
  <c r="L259" i="1"/>
  <c r="I259" i="1"/>
  <c r="H259" i="1"/>
  <c r="G259" i="1"/>
  <c r="F259" i="1"/>
  <c r="E259" i="1"/>
  <c r="D259" i="1"/>
  <c r="C259" i="1"/>
  <c r="A259" i="1"/>
  <c r="X258" i="1"/>
  <c r="B258" i="1" s="1"/>
  <c r="W258" i="1"/>
  <c r="N258" i="1"/>
  <c r="L258" i="1"/>
  <c r="I258" i="1"/>
  <c r="H258" i="1"/>
  <c r="G258" i="1"/>
  <c r="F258" i="1"/>
  <c r="E258" i="1"/>
  <c r="D258" i="1"/>
  <c r="C258" i="1"/>
  <c r="A258" i="1"/>
  <c r="X257" i="1"/>
  <c r="B257" i="1" s="1"/>
  <c r="W257" i="1"/>
  <c r="N257" i="1"/>
  <c r="L257" i="1"/>
  <c r="I257" i="1"/>
  <c r="H257" i="1"/>
  <c r="G257" i="1"/>
  <c r="F257" i="1"/>
  <c r="E257" i="1"/>
  <c r="D257" i="1"/>
  <c r="C257" i="1"/>
  <c r="A257" i="1"/>
  <c r="X256" i="1"/>
  <c r="B256" i="1" s="1"/>
  <c r="W256" i="1"/>
  <c r="N256" i="1"/>
  <c r="L256" i="1"/>
  <c r="I256" i="1"/>
  <c r="H256" i="1"/>
  <c r="G256" i="1"/>
  <c r="F256" i="1"/>
  <c r="E256" i="1"/>
  <c r="D256" i="1"/>
  <c r="C256" i="1"/>
  <c r="A256" i="1"/>
  <c r="X255" i="1"/>
  <c r="B255" i="1" s="1"/>
  <c r="W255" i="1"/>
  <c r="N255" i="1"/>
  <c r="L255" i="1"/>
  <c r="I255" i="1"/>
  <c r="H255" i="1"/>
  <c r="G255" i="1"/>
  <c r="F255" i="1"/>
  <c r="E255" i="1"/>
  <c r="D255" i="1"/>
  <c r="C255" i="1"/>
  <c r="A255" i="1"/>
  <c r="X254" i="1"/>
  <c r="B254" i="1" s="1"/>
  <c r="W254" i="1"/>
  <c r="N254" i="1"/>
  <c r="L254" i="1"/>
  <c r="I254" i="1"/>
  <c r="H254" i="1"/>
  <c r="G254" i="1"/>
  <c r="F254" i="1"/>
  <c r="E254" i="1"/>
  <c r="D254" i="1"/>
  <c r="C254" i="1"/>
  <c r="A254" i="1"/>
  <c r="X253" i="1"/>
  <c r="B253" i="1" s="1"/>
  <c r="W253" i="1"/>
  <c r="N253" i="1"/>
  <c r="L253" i="1"/>
  <c r="I253" i="1"/>
  <c r="H253" i="1"/>
  <c r="G253" i="1"/>
  <c r="F253" i="1"/>
  <c r="E253" i="1"/>
  <c r="D253" i="1"/>
  <c r="C253" i="1"/>
  <c r="A253" i="1"/>
  <c r="X252" i="1"/>
  <c r="B252" i="1" s="1"/>
  <c r="W252" i="1"/>
  <c r="N252" i="1"/>
  <c r="L252" i="1"/>
  <c r="I252" i="1"/>
  <c r="H252" i="1"/>
  <c r="G252" i="1"/>
  <c r="F252" i="1"/>
  <c r="E252" i="1"/>
  <c r="D252" i="1"/>
  <c r="C252" i="1"/>
  <c r="A252" i="1"/>
  <c r="X251" i="1"/>
  <c r="B251" i="1" s="1"/>
  <c r="W251" i="1"/>
  <c r="N251" i="1"/>
  <c r="L251" i="1"/>
  <c r="I251" i="1"/>
  <c r="H251" i="1"/>
  <c r="G251" i="1"/>
  <c r="F251" i="1"/>
  <c r="E251" i="1"/>
  <c r="D251" i="1"/>
  <c r="C251" i="1"/>
  <c r="A251" i="1"/>
  <c r="X250" i="1"/>
  <c r="B250" i="1" s="1"/>
  <c r="W250" i="1"/>
  <c r="N250" i="1"/>
  <c r="L250" i="1"/>
  <c r="I250" i="1"/>
  <c r="H250" i="1"/>
  <c r="G250" i="1"/>
  <c r="F250" i="1"/>
  <c r="E250" i="1"/>
  <c r="D250" i="1"/>
  <c r="C250" i="1"/>
  <c r="A250" i="1"/>
  <c r="X249" i="1"/>
  <c r="B249" i="1" s="1"/>
  <c r="W249" i="1"/>
  <c r="N249" i="1"/>
  <c r="L249" i="1"/>
  <c r="I249" i="1"/>
  <c r="H249" i="1"/>
  <c r="G249" i="1"/>
  <c r="F249" i="1"/>
  <c r="E249" i="1"/>
  <c r="D249" i="1"/>
  <c r="C249" i="1"/>
  <c r="A249" i="1"/>
  <c r="X248" i="1"/>
  <c r="B248" i="1" s="1"/>
  <c r="W248" i="1"/>
  <c r="N248" i="1"/>
  <c r="L248" i="1"/>
  <c r="I248" i="1"/>
  <c r="H248" i="1"/>
  <c r="G248" i="1"/>
  <c r="F248" i="1"/>
  <c r="E248" i="1"/>
  <c r="D248" i="1"/>
  <c r="C248" i="1"/>
  <c r="A248" i="1"/>
  <c r="X247" i="1"/>
  <c r="B247" i="1" s="1"/>
  <c r="W247" i="1"/>
  <c r="N247" i="1"/>
  <c r="L247" i="1"/>
  <c r="I247" i="1"/>
  <c r="H247" i="1"/>
  <c r="G247" i="1"/>
  <c r="F247" i="1"/>
  <c r="E247" i="1"/>
  <c r="D247" i="1"/>
  <c r="C247" i="1"/>
  <c r="A247" i="1"/>
  <c r="X246" i="1"/>
  <c r="B246" i="1" s="1"/>
  <c r="W246" i="1"/>
  <c r="N246" i="1"/>
  <c r="L246" i="1"/>
  <c r="I246" i="1"/>
  <c r="H246" i="1"/>
  <c r="G246" i="1"/>
  <c r="F246" i="1"/>
  <c r="E246" i="1"/>
  <c r="D246" i="1"/>
  <c r="C246" i="1"/>
  <c r="A246" i="1"/>
  <c r="X245" i="1"/>
  <c r="B245" i="1" s="1"/>
  <c r="W245" i="1"/>
  <c r="N245" i="1"/>
  <c r="L245" i="1"/>
  <c r="I245" i="1"/>
  <c r="H245" i="1"/>
  <c r="G245" i="1"/>
  <c r="F245" i="1"/>
  <c r="E245" i="1"/>
  <c r="D245" i="1"/>
  <c r="C245" i="1"/>
  <c r="A245" i="1"/>
  <c r="X244" i="1"/>
  <c r="B244" i="1" s="1"/>
  <c r="W244" i="1"/>
  <c r="N244" i="1"/>
  <c r="L244" i="1"/>
  <c r="I244" i="1"/>
  <c r="H244" i="1"/>
  <c r="G244" i="1"/>
  <c r="F244" i="1"/>
  <c r="E244" i="1"/>
  <c r="D244" i="1"/>
  <c r="C244" i="1"/>
  <c r="A244" i="1"/>
  <c r="X243" i="1"/>
  <c r="B243" i="1" s="1"/>
  <c r="W243" i="1"/>
  <c r="N243" i="1"/>
  <c r="L243" i="1"/>
  <c r="I243" i="1"/>
  <c r="H243" i="1"/>
  <c r="G243" i="1"/>
  <c r="F243" i="1"/>
  <c r="E243" i="1"/>
  <c r="D243" i="1"/>
  <c r="C243" i="1"/>
  <c r="A243" i="1"/>
  <c r="X242" i="1"/>
  <c r="B242" i="1" s="1"/>
  <c r="W242" i="1"/>
  <c r="N242" i="1"/>
  <c r="L242" i="1"/>
  <c r="I242" i="1"/>
  <c r="H242" i="1"/>
  <c r="G242" i="1"/>
  <c r="F242" i="1"/>
  <c r="E242" i="1"/>
  <c r="D242" i="1"/>
  <c r="C242" i="1"/>
  <c r="A242" i="1"/>
  <c r="X241" i="1"/>
  <c r="B241" i="1" s="1"/>
  <c r="W241" i="1"/>
  <c r="N241" i="1"/>
  <c r="L241" i="1"/>
  <c r="I241" i="1"/>
  <c r="H241" i="1"/>
  <c r="G241" i="1"/>
  <c r="F241" i="1"/>
  <c r="E241" i="1"/>
  <c r="D241" i="1"/>
  <c r="C241" i="1"/>
  <c r="A241" i="1"/>
  <c r="X240" i="1"/>
  <c r="B240" i="1" s="1"/>
  <c r="W240" i="1"/>
  <c r="N240" i="1"/>
  <c r="L240" i="1"/>
  <c r="I240" i="1"/>
  <c r="H240" i="1"/>
  <c r="G240" i="1"/>
  <c r="F240" i="1"/>
  <c r="E240" i="1"/>
  <c r="D240" i="1"/>
  <c r="C240" i="1"/>
  <c r="A240" i="1"/>
  <c r="X239" i="1"/>
  <c r="B239" i="1" s="1"/>
  <c r="W239" i="1"/>
  <c r="N239" i="1"/>
  <c r="L239" i="1"/>
  <c r="I239" i="1"/>
  <c r="H239" i="1"/>
  <c r="G239" i="1"/>
  <c r="F239" i="1"/>
  <c r="E239" i="1"/>
  <c r="D239" i="1"/>
  <c r="C239" i="1"/>
  <c r="A239" i="1"/>
  <c r="X238" i="1"/>
  <c r="B238" i="1" s="1"/>
  <c r="W238" i="1"/>
  <c r="N238" i="1"/>
  <c r="L238" i="1"/>
  <c r="I238" i="1"/>
  <c r="H238" i="1"/>
  <c r="G238" i="1"/>
  <c r="F238" i="1"/>
  <c r="E238" i="1"/>
  <c r="D238" i="1"/>
  <c r="C238" i="1"/>
  <c r="A238" i="1"/>
  <c r="X237" i="1"/>
  <c r="B237" i="1" s="1"/>
  <c r="W237" i="1"/>
  <c r="N237" i="1"/>
  <c r="L237" i="1"/>
  <c r="I237" i="1"/>
  <c r="H237" i="1"/>
  <c r="G237" i="1"/>
  <c r="F237" i="1"/>
  <c r="E237" i="1"/>
  <c r="D237" i="1"/>
  <c r="C237" i="1"/>
  <c r="A237" i="1"/>
  <c r="X236" i="1"/>
  <c r="B236" i="1" s="1"/>
  <c r="W236" i="1"/>
  <c r="N236" i="1"/>
  <c r="L236" i="1"/>
  <c r="I236" i="1"/>
  <c r="H236" i="1"/>
  <c r="G236" i="1"/>
  <c r="F236" i="1"/>
  <c r="E236" i="1"/>
  <c r="D236" i="1"/>
  <c r="C236" i="1"/>
  <c r="A236" i="1"/>
  <c r="X235" i="1"/>
  <c r="B235" i="1" s="1"/>
  <c r="W235" i="1"/>
  <c r="N235" i="1"/>
  <c r="L235" i="1"/>
  <c r="I235" i="1"/>
  <c r="H235" i="1"/>
  <c r="G235" i="1"/>
  <c r="F235" i="1"/>
  <c r="E235" i="1"/>
  <c r="D235" i="1"/>
  <c r="C235" i="1"/>
  <c r="A235" i="1"/>
  <c r="X234" i="1"/>
  <c r="B234" i="1" s="1"/>
  <c r="W234" i="1"/>
  <c r="N234" i="1"/>
  <c r="L234" i="1"/>
  <c r="I234" i="1"/>
  <c r="H234" i="1"/>
  <c r="G234" i="1"/>
  <c r="F234" i="1"/>
  <c r="E234" i="1"/>
  <c r="D234" i="1"/>
  <c r="C234" i="1"/>
  <c r="A234" i="1"/>
  <c r="X233" i="1"/>
  <c r="B233" i="1" s="1"/>
  <c r="W233" i="1"/>
  <c r="N233" i="1"/>
  <c r="L233" i="1"/>
  <c r="I233" i="1"/>
  <c r="H233" i="1"/>
  <c r="G233" i="1"/>
  <c r="F233" i="1"/>
  <c r="E233" i="1"/>
  <c r="D233" i="1"/>
  <c r="C233" i="1"/>
  <c r="A233" i="1"/>
  <c r="X232" i="1"/>
  <c r="B232" i="1" s="1"/>
  <c r="W232" i="1"/>
  <c r="N232" i="1"/>
  <c r="L232" i="1"/>
  <c r="I232" i="1"/>
  <c r="H232" i="1"/>
  <c r="G232" i="1"/>
  <c r="F232" i="1"/>
  <c r="E232" i="1"/>
  <c r="D232" i="1"/>
  <c r="C232" i="1"/>
  <c r="A232" i="1"/>
  <c r="X231" i="1"/>
  <c r="B231" i="1" s="1"/>
  <c r="W231" i="1"/>
  <c r="N231" i="1"/>
  <c r="L231" i="1"/>
  <c r="I231" i="1"/>
  <c r="H231" i="1"/>
  <c r="G231" i="1"/>
  <c r="F231" i="1"/>
  <c r="E231" i="1"/>
  <c r="D231" i="1"/>
  <c r="C231" i="1"/>
  <c r="A231" i="1"/>
  <c r="X230" i="1"/>
  <c r="B230" i="1" s="1"/>
  <c r="W230" i="1"/>
  <c r="N230" i="1"/>
  <c r="L230" i="1"/>
  <c r="I230" i="1"/>
  <c r="H230" i="1"/>
  <c r="G230" i="1"/>
  <c r="F230" i="1"/>
  <c r="E230" i="1"/>
  <c r="D230" i="1"/>
  <c r="C230" i="1"/>
  <c r="A230" i="1"/>
  <c r="X229" i="1"/>
  <c r="B229" i="1" s="1"/>
  <c r="W229" i="1"/>
  <c r="N229" i="1"/>
  <c r="L229" i="1"/>
  <c r="I229" i="1"/>
  <c r="H229" i="1"/>
  <c r="G229" i="1"/>
  <c r="F229" i="1"/>
  <c r="E229" i="1"/>
  <c r="D229" i="1"/>
  <c r="C229" i="1"/>
  <c r="A229" i="1"/>
  <c r="X228" i="1"/>
  <c r="B228" i="1" s="1"/>
  <c r="W228" i="1"/>
  <c r="N228" i="1"/>
  <c r="L228" i="1"/>
  <c r="I228" i="1"/>
  <c r="H228" i="1"/>
  <c r="G228" i="1"/>
  <c r="F228" i="1"/>
  <c r="E228" i="1"/>
  <c r="D228" i="1"/>
  <c r="C228" i="1"/>
  <c r="A228" i="1"/>
  <c r="X227" i="1"/>
  <c r="B227" i="1" s="1"/>
  <c r="W227" i="1"/>
  <c r="N227" i="1"/>
  <c r="L227" i="1"/>
  <c r="I227" i="1"/>
  <c r="H227" i="1"/>
  <c r="G227" i="1"/>
  <c r="F227" i="1"/>
  <c r="E227" i="1"/>
  <c r="D227" i="1"/>
  <c r="C227" i="1"/>
  <c r="A227" i="1"/>
  <c r="X226" i="1"/>
  <c r="B226" i="1" s="1"/>
  <c r="W226" i="1"/>
  <c r="N226" i="1"/>
  <c r="L226" i="1"/>
  <c r="I226" i="1"/>
  <c r="H226" i="1"/>
  <c r="G226" i="1"/>
  <c r="F226" i="1"/>
  <c r="E226" i="1"/>
  <c r="D226" i="1"/>
  <c r="C226" i="1"/>
  <c r="A226" i="1"/>
  <c r="X225" i="1"/>
  <c r="B225" i="1" s="1"/>
  <c r="W225" i="1"/>
  <c r="N225" i="1"/>
  <c r="L225" i="1"/>
  <c r="I225" i="1"/>
  <c r="H225" i="1"/>
  <c r="G225" i="1"/>
  <c r="F225" i="1"/>
  <c r="E225" i="1"/>
  <c r="D225" i="1"/>
  <c r="C225" i="1"/>
  <c r="A225" i="1"/>
  <c r="X224" i="1"/>
  <c r="B224" i="1" s="1"/>
  <c r="W224" i="1"/>
  <c r="N224" i="1"/>
  <c r="L224" i="1"/>
  <c r="I224" i="1"/>
  <c r="H224" i="1"/>
  <c r="G224" i="1"/>
  <c r="F224" i="1"/>
  <c r="E224" i="1"/>
  <c r="D224" i="1"/>
  <c r="C224" i="1"/>
  <c r="A224" i="1"/>
  <c r="X223" i="1"/>
  <c r="B223" i="1" s="1"/>
  <c r="W223" i="1"/>
  <c r="N223" i="1"/>
  <c r="L223" i="1"/>
  <c r="I223" i="1"/>
  <c r="H223" i="1"/>
  <c r="G223" i="1"/>
  <c r="F223" i="1"/>
  <c r="E223" i="1"/>
  <c r="D223" i="1"/>
  <c r="C223" i="1"/>
  <c r="A223" i="1"/>
  <c r="X222" i="1"/>
  <c r="B222" i="1" s="1"/>
  <c r="W222" i="1"/>
  <c r="N222" i="1"/>
  <c r="L222" i="1"/>
  <c r="I222" i="1"/>
  <c r="H222" i="1"/>
  <c r="G222" i="1"/>
  <c r="F222" i="1"/>
  <c r="E222" i="1"/>
  <c r="D222" i="1"/>
  <c r="C222" i="1"/>
  <c r="A222" i="1"/>
  <c r="X221" i="1"/>
  <c r="B221" i="1" s="1"/>
  <c r="W221" i="1"/>
  <c r="N221" i="1"/>
  <c r="L221" i="1"/>
  <c r="I221" i="1"/>
  <c r="H221" i="1"/>
  <c r="G221" i="1"/>
  <c r="F221" i="1"/>
  <c r="E221" i="1"/>
  <c r="D221" i="1"/>
  <c r="C221" i="1"/>
  <c r="A221" i="1"/>
  <c r="X220" i="1"/>
  <c r="B220" i="1" s="1"/>
  <c r="W220" i="1"/>
  <c r="N220" i="1"/>
  <c r="L220" i="1"/>
  <c r="I220" i="1"/>
  <c r="H220" i="1"/>
  <c r="G220" i="1"/>
  <c r="F220" i="1"/>
  <c r="E220" i="1"/>
  <c r="D220" i="1"/>
  <c r="C220" i="1"/>
  <c r="A220" i="1"/>
  <c r="X219" i="1"/>
  <c r="B219" i="1" s="1"/>
  <c r="W219" i="1"/>
  <c r="N219" i="1"/>
  <c r="L219" i="1"/>
  <c r="I219" i="1"/>
  <c r="H219" i="1"/>
  <c r="G219" i="1"/>
  <c r="F219" i="1"/>
  <c r="E219" i="1"/>
  <c r="D219" i="1"/>
  <c r="C219" i="1"/>
  <c r="A219" i="1"/>
  <c r="X218" i="1"/>
  <c r="B218" i="1" s="1"/>
  <c r="W218" i="1"/>
  <c r="N218" i="1"/>
  <c r="L218" i="1"/>
  <c r="I218" i="1"/>
  <c r="H218" i="1"/>
  <c r="G218" i="1"/>
  <c r="F218" i="1"/>
  <c r="E218" i="1"/>
  <c r="D218" i="1"/>
  <c r="C218" i="1"/>
  <c r="A218" i="1"/>
  <c r="X217" i="1"/>
  <c r="B217" i="1" s="1"/>
  <c r="W217" i="1"/>
  <c r="N217" i="1"/>
  <c r="L217" i="1"/>
  <c r="I217" i="1"/>
  <c r="H217" i="1"/>
  <c r="G217" i="1"/>
  <c r="F217" i="1"/>
  <c r="E217" i="1"/>
  <c r="D217" i="1"/>
  <c r="C217" i="1"/>
  <c r="A217" i="1"/>
  <c r="X216" i="1"/>
  <c r="B216" i="1" s="1"/>
  <c r="W216" i="1"/>
  <c r="N216" i="1"/>
  <c r="L216" i="1"/>
  <c r="I216" i="1"/>
  <c r="H216" i="1"/>
  <c r="G216" i="1"/>
  <c r="F216" i="1"/>
  <c r="E216" i="1"/>
  <c r="D216" i="1"/>
  <c r="C216" i="1"/>
  <c r="A216" i="1"/>
  <c r="X215" i="1"/>
  <c r="B215" i="1" s="1"/>
  <c r="W215" i="1"/>
  <c r="N215" i="1"/>
  <c r="L215" i="1"/>
  <c r="I215" i="1"/>
  <c r="H215" i="1"/>
  <c r="G215" i="1"/>
  <c r="F215" i="1"/>
  <c r="E215" i="1"/>
  <c r="D215" i="1"/>
  <c r="C215" i="1"/>
  <c r="A215" i="1"/>
  <c r="X214" i="1"/>
  <c r="B214" i="1" s="1"/>
  <c r="W214" i="1"/>
  <c r="N214" i="1"/>
  <c r="L214" i="1"/>
  <c r="I214" i="1"/>
  <c r="H214" i="1"/>
  <c r="G214" i="1"/>
  <c r="F214" i="1"/>
  <c r="E214" i="1"/>
  <c r="D214" i="1"/>
  <c r="C214" i="1"/>
  <c r="A214" i="1"/>
  <c r="X213" i="1"/>
  <c r="B213" i="1" s="1"/>
  <c r="W213" i="1"/>
  <c r="N213" i="1"/>
  <c r="L213" i="1"/>
  <c r="I213" i="1"/>
  <c r="H213" i="1"/>
  <c r="G213" i="1"/>
  <c r="F213" i="1"/>
  <c r="E213" i="1"/>
  <c r="D213" i="1"/>
  <c r="C213" i="1"/>
  <c r="A213" i="1"/>
  <c r="X212" i="1"/>
  <c r="B212" i="1" s="1"/>
  <c r="W212" i="1"/>
  <c r="N212" i="1"/>
  <c r="L212" i="1"/>
  <c r="I212" i="1"/>
  <c r="H212" i="1"/>
  <c r="G212" i="1"/>
  <c r="F212" i="1"/>
  <c r="E212" i="1"/>
  <c r="D212" i="1"/>
  <c r="C212" i="1"/>
  <c r="A212" i="1"/>
  <c r="X211" i="1"/>
  <c r="B211" i="1" s="1"/>
  <c r="W211" i="1"/>
  <c r="N211" i="1"/>
  <c r="L211" i="1"/>
  <c r="I211" i="1"/>
  <c r="H211" i="1"/>
  <c r="G211" i="1"/>
  <c r="F211" i="1"/>
  <c r="E211" i="1"/>
  <c r="D211" i="1"/>
  <c r="C211" i="1"/>
  <c r="A211" i="1"/>
  <c r="X210" i="1"/>
  <c r="B210" i="1" s="1"/>
  <c r="W210" i="1"/>
  <c r="N210" i="1"/>
  <c r="L210" i="1"/>
  <c r="I210" i="1"/>
  <c r="H210" i="1"/>
  <c r="G210" i="1"/>
  <c r="F210" i="1"/>
  <c r="E210" i="1"/>
  <c r="D210" i="1"/>
  <c r="C210" i="1"/>
  <c r="A210" i="1"/>
  <c r="X209" i="1"/>
  <c r="B209" i="1" s="1"/>
  <c r="W209" i="1"/>
  <c r="N209" i="1"/>
  <c r="L209" i="1"/>
  <c r="I209" i="1"/>
  <c r="H209" i="1"/>
  <c r="G209" i="1"/>
  <c r="F209" i="1"/>
  <c r="E209" i="1"/>
  <c r="D209" i="1"/>
  <c r="C209" i="1"/>
  <c r="A209" i="1"/>
  <c r="X208" i="1"/>
  <c r="B208" i="1" s="1"/>
  <c r="W208" i="1"/>
  <c r="N208" i="1"/>
  <c r="L208" i="1"/>
  <c r="I208" i="1"/>
  <c r="H208" i="1"/>
  <c r="G208" i="1"/>
  <c r="F208" i="1"/>
  <c r="E208" i="1"/>
  <c r="D208" i="1"/>
  <c r="C208" i="1"/>
  <c r="A208" i="1"/>
  <c r="X207" i="1"/>
  <c r="B207" i="1" s="1"/>
  <c r="W207" i="1"/>
  <c r="N207" i="1"/>
  <c r="L207" i="1"/>
  <c r="I207" i="1"/>
  <c r="H207" i="1"/>
  <c r="G207" i="1"/>
  <c r="F207" i="1"/>
  <c r="E207" i="1"/>
  <c r="D207" i="1"/>
  <c r="C207" i="1"/>
  <c r="A207" i="1"/>
  <c r="X206" i="1"/>
  <c r="B206" i="1" s="1"/>
  <c r="W206" i="1"/>
  <c r="N206" i="1"/>
  <c r="L206" i="1"/>
  <c r="I206" i="1"/>
  <c r="H206" i="1"/>
  <c r="G206" i="1"/>
  <c r="F206" i="1"/>
  <c r="E206" i="1"/>
  <c r="D206" i="1"/>
  <c r="C206" i="1"/>
  <c r="A206" i="1"/>
  <c r="X205" i="1"/>
  <c r="B205" i="1" s="1"/>
  <c r="W205" i="1"/>
  <c r="N205" i="1"/>
  <c r="L205" i="1"/>
  <c r="I205" i="1"/>
  <c r="H205" i="1"/>
  <c r="G205" i="1"/>
  <c r="F205" i="1"/>
  <c r="E205" i="1"/>
  <c r="D205" i="1"/>
  <c r="C205" i="1"/>
  <c r="A205" i="1"/>
  <c r="X204" i="1"/>
  <c r="B204" i="1" s="1"/>
  <c r="W204" i="1"/>
  <c r="N204" i="1"/>
  <c r="L204" i="1"/>
  <c r="I204" i="1"/>
  <c r="H204" i="1"/>
  <c r="G204" i="1"/>
  <c r="F204" i="1"/>
  <c r="E204" i="1"/>
  <c r="D204" i="1"/>
  <c r="C204" i="1"/>
  <c r="A204" i="1"/>
  <c r="X203" i="1"/>
  <c r="B203" i="1" s="1"/>
  <c r="W203" i="1"/>
  <c r="N203" i="1"/>
  <c r="L203" i="1"/>
  <c r="I203" i="1"/>
  <c r="H203" i="1"/>
  <c r="G203" i="1"/>
  <c r="F203" i="1"/>
  <c r="E203" i="1"/>
  <c r="D203" i="1"/>
  <c r="C203" i="1"/>
  <c r="A203" i="1"/>
  <c r="X202" i="1"/>
  <c r="B202" i="1" s="1"/>
  <c r="W202" i="1"/>
  <c r="N202" i="1"/>
  <c r="L202" i="1"/>
  <c r="I202" i="1"/>
  <c r="H202" i="1"/>
  <c r="G202" i="1"/>
  <c r="F202" i="1"/>
  <c r="E202" i="1"/>
  <c r="D202" i="1"/>
  <c r="C202" i="1"/>
  <c r="A202" i="1"/>
  <c r="X201" i="1"/>
  <c r="B201" i="1" s="1"/>
  <c r="W201" i="1"/>
  <c r="N201" i="1"/>
  <c r="L201" i="1"/>
  <c r="I201" i="1"/>
  <c r="H201" i="1"/>
  <c r="G201" i="1"/>
  <c r="F201" i="1"/>
  <c r="E201" i="1"/>
  <c r="D201" i="1"/>
  <c r="C201" i="1"/>
  <c r="A201" i="1"/>
  <c r="X200" i="1"/>
  <c r="B200" i="1" s="1"/>
  <c r="W200" i="1"/>
  <c r="N200" i="1"/>
  <c r="L200" i="1"/>
  <c r="I200" i="1"/>
  <c r="H200" i="1"/>
  <c r="G200" i="1"/>
  <c r="F200" i="1"/>
  <c r="E200" i="1"/>
  <c r="D200" i="1"/>
  <c r="C200" i="1"/>
  <c r="A200" i="1"/>
  <c r="X199" i="1"/>
  <c r="B199" i="1" s="1"/>
  <c r="W199" i="1"/>
  <c r="N199" i="1"/>
  <c r="L199" i="1"/>
  <c r="I199" i="1"/>
  <c r="H199" i="1"/>
  <c r="G199" i="1"/>
  <c r="F199" i="1"/>
  <c r="E199" i="1"/>
  <c r="D199" i="1"/>
  <c r="C199" i="1"/>
  <c r="A199" i="1"/>
  <c r="X198" i="1"/>
  <c r="B198" i="1" s="1"/>
  <c r="W198" i="1"/>
  <c r="N198" i="1"/>
  <c r="L198" i="1"/>
  <c r="I198" i="1"/>
  <c r="H198" i="1"/>
  <c r="G198" i="1"/>
  <c r="F198" i="1"/>
  <c r="E198" i="1"/>
  <c r="D198" i="1"/>
  <c r="C198" i="1"/>
  <c r="A198" i="1"/>
  <c r="X197" i="1"/>
  <c r="B197" i="1" s="1"/>
  <c r="W197" i="1"/>
  <c r="N197" i="1"/>
  <c r="L197" i="1"/>
  <c r="I197" i="1"/>
  <c r="H197" i="1"/>
  <c r="G197" i="1"/>
  <c r="F197" i="1"/>
  <c r="E197" i="1"/>
  <c r="D197" i="1"/>
  <c r="C197" i="1"/>
  <c r="A197" i="1"/>
  <c r="X196" i="1"/>
  <c r="B196" i="1" s="1"/>
  <c r="W196" i="1"/>
  <c r="N196" i="1"/>
  <c r="L196" i="1"/>
  <c r="I196" i="1"/>
  <c r="H196" i="1"/>
  <c r="G196" i="1"/>
  <c r="F196" i="1"/>
  <c r="E196" i="1"/>
  <c r="D196" i="1"/>
  <c r="C196" i="1"/>
  <c r="A196" i="1"/>
  <c r="X195" i="1"/>
  <c r="B195" i="1" s="1"/>
  <c r="W195" i="1"/>
  <c r="N195" i="1"/>
  <c r="L195" i="1"/>
  <c r="I195" i="1"/>
  <c r="H195" i="1"/>
  <c r="G195" i="1"/>
  <c r="F195" i="1"/>
  <c r="E195" i="1"/>
  <c r="D195" i="1"/>
  <c r="C195" i="1"/>
  <c r="A195" i="1"/>
  <c r="X194" i="1"/>
  <c r="B194" i="1" s="1"/>
  <c r="W194" i="1"/>
  <c r="N194" i="1"/>
  <c r="L194" i="1"/>
  <c r="I194" i="1"/>
  <c r="H194" i="1"/>
  <c r="G194" i="1"/>
  <c r="F194" i="1"/>
  <c r="E194" i="1"/>
  <c r="D194" i="1"/>
  <c r="C194" i="1"/>
  <c r="A194" i="1"/>
  <c r="X193" i="1"/>
  <c r="B193" i="1" s="1"/>
  <c r="W193" i="1"/>
  <c r="N193" i="1"/>
  <c r="L193" i="1"/>
  <c r="I193" i="1"/>
  <c r="H193" i="1"/>
  <c r="G193" i="1"/>
  <c r="F193" i="1"/>
  <c r="E193" i="1"/>
  <c r="D193" i="1"/>
  <c r="C193" i="1"/>
  <c r="A193" i="1"/>
  <c r="X192" i="1"/>
  <c r="B192" i="1" s="1"/>
  <c r="W192" i="1"/>
  <c r="N192" i="1"/>
  <c r="L192" i="1"/>
  <c r="I192" i="1"/>
  <c r="H192" i="1"/>
  <c r="G192" i="1"/>
  <c r="F192" i="1"/>
  <c r="E192" i="1"/>
  <c r="D192" i="1"/>
  <c r="C192" i="1"/>
  <c r="A192" i="1"/>
  <c r="X191" i="1"/>
  <c r="B191" i="1" s="1"/>
  <c r="W191" i="1"/>
  <c r="N191" i="1"/>
  <c r="L191" i="1"/>
  <c r="I191" i="1"/>
  <c r="H191" i="1"/>
  <c r="G191" i="1"/>
  <c r="F191" i="1"/>
  <c r="E191" i="1"/>
  <c r="D191" i="1"/>
  <c r="C191" i="1"/>
  <c r="A191" i="1"/>
  <c r="X190" i="1"/>
  <c r="B190" i="1" s="1"/>
  <c r="W190" i="1"/>
  <c r="N190" i="1"/>
  <c r="L190" i="1"/>
  <c r="I190" i="1"/>
  <c r="H190" i="1"/>
  <c r="G190" i="1"/>
  <c r="F190" i="1"/>
  <c r="E190" i="1"/>
  <c r="D190" i="1"/>
  <c r="C190" i="1"/>
  <c r="A190" i="1"/>
  <c r="X189" i="1"/>
  <c r="B189" i="1" s="1"/>
  <c r="W189" i="1"/>
  <c r="N189" i="1"/>
  <c r="L189" i="1"/>
  <c r="I189" i="1"/>
  <c r="H189" i="1"/>
  <c r="G189" i="1"/>
  <c r="F189" i="1"/>
  <c r="E189" i="1"/>
  <c r="D189" i="1"/>
  <c r="C189" i="1"/>
  <c r="A189" i="1"/>
  <c r="X188" i="1"/>
  <c r="B188" i="1" s="1"/>
  <c r="W188" i="1"/>
  <c r="N188" i="1"/>
  <c r="L188" i="1"/>
  <c r="I188" i="1"/>
  <c r="H188" i="1"/>
  <c r="G188" i="1"/>
  <c r="F188" i="1"/>
  <c r="E188" i="1"/>
  <c r="D188" i="1"/>
  <c r="C188" i="1"/>
  <c r="A188" i="1"/>
  <c r="X187" i="1"/>
  <c r="B187" i="1" s="1"/>
  <c r="W187" i="1"/>
  <c r="N187" i="1"/>
  <c r="L187" i="1"/>
  <c r="I187" i="1"/>
  <c r="H187" i="1"/>
  <c r="G187" i="1"/>
  <c r="F187" i="1"/>
  <c r="E187" i="1"/>
  <c r="D187" i="1"/>
  <c r="C187" i="1"/>
  <c r="A187" i="1"/>
  <c r="X186" i="1"/>
  <c r="B186" i="1" s="1"/>
  <c r="W186" i="1"/>
  <c r="N186" i="1"/>
  <c r="L186" i="1"/>
  <c r="I186" i="1"/>
  <c r="H186" i="1"/>
  <c r="G186" i="1"/>
  <c r="F186" i="1"/>
  <c r="E186" i="1"/>
  <c r="D186" i="1"/>
  <c r="C186" i="1"/>
  <c r="A186" i="1"/>
  <c r="X185" i="1"/>
  <c r="B185" i="1" s="1"/>
  <c r="W185" i="1"/>
  <c r="N185" i="1"/>
  <c r="L185" i="1"/>
  <c r="I185" i="1"/>
  <c r="H185" i="1"/>
  <c r="G185" i="1"/>
  <c r="F185" i="1"/>
  <c r="E185" i="1"/>
  <c r="D185" i="1"/>
  <c r="C185" i="1"/>
  <c r="A185" i="1"/>
  <c r="X184" i="1"/>
  <c r="B184" i="1" s="1"/>
  <c r="W184" i="1"/>
  <c r="N184" i="1"/>
  <c r="L184" i="1"/>
  <c r="I184" i="1"/>
  <c r="H184" i="1"/>
  <c r="G184" i="1"/>
  <c r="F184" i="1"/>
  <c r="E184" i="1"/>
  <c r="D184" i="1"/>
  <c r="C184" i="1"/>
  <c r="A184" i="1"/>
  <c r="X183" i="1"/>
  <c r="B183" i="1" s="1"/>
  <c r="W183" i="1"/>
  <c r="N183" i="1"/>
  <c r="L183" i="1"/>
  <c r="I183" i="1"/>
  <c r="H183" i="1"/>
  <c r="G183" i="1"/>
  <c r="F183" i="1"/>
  <c r="E183" i="1"/>
  <c r="D183" i="1"/>
  <c r="C183" i="1"/>
  <c r="A183" i="1"/>
  <c r="X182" i="1"/>
  <c r="B182" i="1" s="1"/>
  <c r="W182" i="1"/>
  <c r="N182" i="1"/>
  <c r="L182" i="1"/>
  <c r="I182" i="1"/>
  <c r="H182" i="1"/>
  <c r="G182" i="1"/>
  <c r="F182" i="1"/>
  <c r="E182" i="1"/>
  <c r="D182" i="1"/>
  <c r="C182" i="1"/>
  <c r="A182" i="1"/>
  <c r="X181" i="1"/>
  <c r="B181" i="1" s="1"/>
  <c r="W181" i="1"/>
  <c r="N181" i="1"/>
  <c r="L181" i="1"/>
  <c r="I181" i="1"/>
  <c r="H181" i="1"/>
  <c r="G181" i="1"/>
  <c r="F181" i="1"/>
  <c r="E181" i="1"/>
  <c r="D181" i="1"/>
  <c r="C181" i="1"/>
  <c r="A181" i="1"/>
  <c r="X180" i="1"/>
  <c r="B180" i="1" s="1"/>
  <c r="W180" i="1"/>
  <c r="N180" i="1"/>
  <c r="L180" i="1"/>
  <c r="I180" i="1"/>
  <c r="H180" i="1"/>
  <c r="G180" i="1"/>
  <c r="F180" i="1"/>
  <c r="E180" i="1"/>
  <c r="D180" i="1"/>
  <c r="C180" i="1"/>
  <c r="A180" i="1"/>
  <c r="X179" i="1"/>
  <c r="B179" i="1" s="1"/>
  <c r="W179" i="1"/>
  <c r="N179" i="1"/>
  <c r="L179" i="1"/>
  <c r="I179" i="1"/>
  <c r="H179" i="1"/>
  <c r="G179" i="1"/>
  <c r="F179" i="1"/>
  <c r="E179" i="1"/>
  <c r="D179" i="1"/>
  <c r="C179" i="1"/>
  <c r="A179" i="1"/>
  <c r="X178" i="1"/>
  <c r="B178" i="1" s="1"/>
  <c r="W178" i="1"/>
  <c r="N178" i="1"/>
  <c r="L178" i="1"/>
  <c r="I178" i="1"/>
  <c r="H178" i="1"/>
  <c r="G178" i="1"/>
  <c r="F178" i="1"/>
  <c r="E178" i="1"/>
  <c r="D178" i="1"/>
  <c r="C178" i="1"/>
  <c r="A178" i="1"/>
  <c r="X177" i="1"/>
  <c r="B177" i="1" s="1"/>
  <c r="W177" i="1"/>
  <c r="N177" i="1"/>
  <c r="L177" i="1"/>
  <c r="I177" i="1"/>
  <c r="H177" i="1"/>
  <c r="G177" i="1"/>
  <c r="F177" i="1"/>
  <c r="E177" i="1"/>
  <c r="D177" i="1"/>
  <c r="C177" i="1"/>
  <c r="A177" i="1"/>
  <c r="X176" i="1"/>
  <c r="B176" i="1" s="1"/>
  <c r="W176" i="1"/>
  <c r="N176" i="1"/>
  <c r="L176" i="1"/>
  <c r="I176" i="1"/>
  <c r="H176" i="1"/>
  <c r="G176" i="1"/>
  <c r="F176" i="1"/>
  <c r="E176" i="1"/>
  <c r="D176" i="1"/>
  <c r="C176" i="1"/>
  <c r="A176" i="1"/>
  <c r="X175" i="1"/>
  <c r="B175" i="1" s="1"/>
  <c r="W175" i="1"/>
  <c r="N175" i="1"/>
  <c r="L175" i="1"/>
  <c r="I175" i="1"/>
  <c r="H175" i="1"/>
  <c r="G175" i="1"/>
  <c r="F175" i="1"/>
  <c r="E175" i="1"/>
  <c r="D175" i="1"/>
  <c r="C175" i="1"/>
  <c r="A175" i="1"/>
  <c r="X174" i="1"/>
  <c r="B174" i="1" s="1"/>
  <c r="W174" i="1"/>
  <c r="N174" i="1"/>
  <c r="L174" i="1"/>
  <c r="I174" i="1"/>
  <c r="H174" i="1"/>
  <c r="G174" i="1"/>
  <c r="F174" i="1"/>
  <c r="E174" i="1"/>
  <c r="D174" i="1"/>
  <c r="C174" i="1"/>
  <c r="A174" i="1"/>
  <c r="X173" i="1"/>
  <c r="B173" i="1" s="1"/>
  <c r="W173" i="1"/>
  <c r="N173" i="1"/>
  <c r="L173" i="1"/>
  <c r="I173" i="1"/>
  <c r="H173" i="1"/>
  <c r="G173" i="1"/>
  <c r="F173" i="1"/>
  <c r="E173" i="1"/>
  <c r="D173" i="1"/>
  <c r="C173" i="1"/>
  <c r="A173" i="1"/>
  <c r="X172" i="1"/>
  <c r="B172" i="1" s="1"/>
  <c r="W172" i="1"/>
  <c r="N172" i="1"/>
  <c r="L172" i="1"/>
  <c r="I172" i="1"/>
  <c r="H172" i="1"/>
  <c r="G172" i="1"/>
  <c r="F172" i="1"/>
  <c r="E172" i="1"/>
  <c r="D172" i="1"/>
  <c r="C172" i="1"/>
  <c r="A172" i="1"/>
  <c r="X171" i="1"/>
  <c r="B171" i="1" s="1"/>
  <c r="W171" i="1"/>
  <c r="N171" i="1"/>
  <c r="L171" i="1"/>
  <c r="I171" i="1"/>
  <c r="H171" i="1"/>
  <c r="G171" i="1"/>
  <c r="F171" i="1"/>
  <c r="E171" i="1"/>
  <c r="D171" i="1"/>
  <c r="C171" i="1"/>
  <c r="A171" i="1"/>
  <c r="X170" i="1"/>
  <c r="B170" i="1" s="1"/>
  <c r="W170" i="1"/>
  <c r="N170" i="1"/>
  <c r="L170" i="1"/>
  <c r="I170" i="1"/>
  <c r="H170" i="1"/>
  <c r="G170" i="1"/>
  <c r="F170" i="1"/>
  <c r="E170" i="1"/>
  <c r="D170" i="1"/>
  <c r="C170" i="1"/>
  <c r="A170" i="1"/>
  <c r="X169" i="1"/>
  <c r="B169" i="1" s="1"/>
  <c r="W169" i="1"/>
  <c r="N169" i="1"/>
  <c r="L169" i="1"/>
  <c r="I169" i="1"/>
  <c r="H169" i="1"/>
  <c r="G169" i="1"/>
  <c r="F169" i="1"/>
  <c r="E169" i="1"/>
  <c r="D169" i="1"/>
  <c r="C169" i="1"/>
  <c r="A169" i="1"/>
  <c r="X168" i="1"/>
  <c r="B168" i="1" s="1"/>
  <c r="W168" i="1"/>
  <c r="N168" i="1"/>
  <c r="L168" i="1"/>
  <c r="I168" i="1"/>
  <c r="H168" i="1"/>
  <c r="G168" i="1"/>
  <c r="F168" i="1"/>
  <c r="E168" i="1"/>
  <c r="D168" i="1"/>
  <c r="C168" i="1"/>
  <c r="A168" i="1"/>
  <c r="X167" i="1"/>
  <c r="B167" i="1" s="1"/>
  <c r="W167" i="1"/>
  <c r="N167" i="1"/>
  <c r="L167" i="1"/>
  <c r="I167" i="1"/>
  <c r="H167" i="1"/>
  <c r="G167" i="1"/>
  <c r="F167" i="1"/>
  <c r="E167" i="1"/>
  <c r="D167" i="1"/>
  <c r="C167" i="1"/>
  <c r="A167" i="1"/>
  <c r="X166" i="1"/>
  <c r="B166" i="1" s="1"/>
  <c r="W166" i="1"/>
  <c r="N166" i="1"/>
  <c r="L166" i="1"/>
  <c r="I166" i="1"/>
  <c r="H166" i="1"/>
  <c r="G166" i="1"/>
  <c r="F166" i="1"/>
  <c r="E166" i="1"/>
  <c r="D166" i="1"/>
  <c r="C166" i="1"/>
  <c r="A166" i="1"/>
  <c r="X165" i="1"/>
  <c r="B165" i="1" s="1"/>
  <c r="W165" i="1"/>
  <c r="N165" i="1"/>
  <c r="L165" i="1"/>
  <c r="I165" i="1"/>
  <c r="H165" i="1"/>
  <c r="G165" i="1"/>
  <c r="F165" i="1"/>
  <c r="E165" i="1"/>
  <c r="D165" i="1"/>
  <c r="C165" i="1"/>
  <c r="A165" i="1"/>
  <c r="X164" i="1"/>
  <c r="B164" i="1" s="1"/>
  <c r="W164" i="1"/>
  <c r="N164" i="1"/>
  <c r="L164" i="1"/>
  <c r="I164" i="1"/>
  <c r="H164" i="1"/>
  <c r="G164" i="1"/>
  <c r="F164" i="1"/>
  <c r="E164" i="1"/>
  <c r="D164" i="1"/>
  <c r="C164" i="1"/>
  <c r="A164" i="1"/>
  <c r="X163" i="1"/>
  <c r="B163" i="1" s="1"/>
  <c r="W163" i="1"/>
  <c r="N163" i="1"/>
  <c r="L163" i="1"/>
  <c r="I163" i="1"/>
  <c r="H163" i="1"/>
  <c r="G163" i="1"/>
  <c r="F163" i="1"/>
  <c r="E163" i="1"/>
  <c r="D163" i="1"/>
  <c r="C163" i="1"/>
  <c r="A163" i="1"/>
  <c r="X162" i="1"/>
  <c r="B162" i="1" s="1"/>
  <c r="W162" i="1"/>
  <c r="N162" i="1"/>
  <c r="L162" i="1"/>
  <c r="I162" i="1"/>
  <c r="H162" i="1"/>
  <c r="G162" i="1"/>
  <c r="F162" i="1"/>
  <c r="E162" i="1"/>
  <c r="D162" i="1"/>
  <c r="C162" i="1"/>
  <c r="A162" i="1"/>
  <c r="X161" i="1"/>
  <c r="B161" i="1" s="1"/>
  <c r="W161" i="1"/>
  <c r="N161" i="1"/>
  <c r="L161" i="1"/>
  <c r="I161" i="1"/>
  <c r="H161" i="1"/>
  <c r="G161" i="1"/>
  <c r="F161" i="1"/>
  <c r="E161" i="1"/>
  <c r="D161" i="1"/>
  <c r="C161" i="1"/>
  <c r="A161" i="1"/>
  <c r="X160" i="1"/>
  <c r="B160" i="1" s="1"/>
  <c r="W160" i="1"/>
  <c r="N160" i="1"/>
  <c r="L160" i="1"/>
  <c r="I160" i="1"/>
  <c r="H160" i="1"/>
  <c r="G160" i="1"/>
  <c r="F160" i="1"/>
  <c r="E160" i="1"/>
  <c r="D160" i="1"/>
  <c r="C160" i="1"/>
  <c r="A160" i="1"/>
  <c r="X159" i="1"/>
  <c r="B159" i="1" s="1"/>
  <c r="W159" i="1"/>
  <c r="N159" i="1"/>
  <c r="L159" i="1"/>
  <c r="I159" i="1"/>
  <c r="H159" i="1"/>
  <c r="G159" i="1"/>
  <c r="F159" i="1"/>
  <c r="E159" i="1"/>
  <c r="D159" i="1"/>
  <c r="C159" i="1"/>
  <c r="A159" i="1"/>
  <c r="X158" i="1"/>
  <c r="B158" i="1" s="1"/>
  <c r="W158" i="1"/>
  <c r="N158" i="1"/>
  <c r="L158" i="1"/>
  <c r="I158" i="1"/>
  <c r="H158" i="1"/>
  <c r="G158" i="1"/>
  <c r="F158" i="1"/>
  <c r="E158" i="1"/>
  <c r="D158" i="1"/>
  <c r="C158" i="1"/>
  <c r="A158" i="1"/>
  <c r="X157" i="1"/>
  <c r="B157" i="1" s="1"/>
  <c r="W157" i="1"/>
  <c r="N157" i="1"/>
  <c r="L157" i="1"/>
  <c r="I157" i="1"/>
  <c r="H157" i="1"/>
  <c r="G157" i="1"/>
  <c r="F157" i="1"/>
  <c r="E157" i="1"/>
  <c r="D157" i="1"/>
  <c r="C157" i="1"/>
  <c r="A157" i="1"/>
  <c r="X156" i="1"/>
  <c r="B156" i="1" s="1"/>
  <c r="W156" i="1"/>
  <c r="N156" i="1"/>
  <c r="L156" i="1"/>
  <c r="I156" i="1"/>
  <c r="H156" i="1"/>
  <c r="G156" i="1"/>
  <c r="F156" i="1"/>
  <c r="E156" i="1"/>
  <c r="D156" i="1"/>
  <c r="C156" i="1"/>
  <c r="A156" i="1"/>
  <c r="X155" i="1"/>
  <c r="B155" i="1" s="1"/>
  <c r="W155" i="1"/>
  <c r="N155" i="1"/>
  <c r="L155" i="1"/>
  <c r="I155" i="1"/>
  <c r="H155" i="1"/>
  <c r="G155" i="1"/>
  <c r="F155" i="1"/>
  <c r="E155" i="1"/>
  <c r="D155" i="1"/>
  <c r="C155" i="1"/>
  <c r="A155" i="1"/>
  <c r="X154" i="1"/>
  <c r="B154" i="1" s="1"/>
  <c r="W154" i="1"/>
  <c r="N154" i="1"/>
  <c r="L154" i="1"/>
  <c r="I154" i="1"/>
  <c r="H154" i="1"/>
  <c r="G154" i="1"/>
  <c r="F154" i="1"/>
  <c r="E154" i="1"/>
  <c r="D154" i="1"/>
  <c r="C154" i="1"/>
  <c r="A154" i="1"/>
  <c r="X153" i="1"/>
  <c r="B153" i="1" s="1"/>
  <c r="W153" i="1"/>
  <c r="N153" i="1"/>
  <c r="L153" i="1"/>
  <c r="I153" i="1"/>
  <c r="H153" i="1"/>
  <c r="G153" i="1"/>
  <c r="F153" i="1"/>
  <c r="E153" i="1"/>
  <c r="D153" i="1"/>
  <c r="C153" i="1"/>
  <c r="A153" i="1"/>
  <c r="X152" i="1"/>
  <c r="B152" i="1" s="1"/>
  <c r="W152" i="1"/>
  <c r="N152" i="1"/>
  <c r="L152" i="1"/>
  <c r="I152" i="1"/>
  <c r="H152" i="1"/>
  <c r="G152" i="1"/>
  <c r="F152" i="1"/>
  <c r="E152" i="1"/>
  <c r="D152" i="1"/>
  <c r="C152" i="1"/>
  <c r="A152" i="1"/>
  <c r="X151" i="1"/>
  <c r="B151" i="1" s="1"/>
  <c r="W151" i="1"/>
  <c r="N151" i="1"/>
  <c r="L151" i="1"/>
  <c r="I151" i="1"/>
  <c r="H151" i="1"/>
  <c r="G151" i="1"/>
  <c r="F151" i="1"/>
  <c r="E151" i="1"/>
  <c r="D151" i="1"/>
  <c r="C151" i="1"/>
  <c r="A151" i="1"/>
  <c r="X150" i="1"/>
  <c r="B150" i="1" s="1"/>
  <c r="W150" i="1"/>
  <c r="N150" i="1"/>
  <c r="L150" i="1"/>
  <c r="I150" i="1"/>
  <c r="H150" i="1"/>
  <c r="G150" i="1"/>
  <c r="F150" i="1"/>
  <c r="E150" i="1"/>
  <c r="D150" i="1"/>
  <c r="C150" i="1"/>
  <c r="A150" i="1"/>
  <c r="X149" i="1"/>
  <c r="B149" i="1" s="1"/>
  <c r="W149" i="1"/>
  <c r="N149" i="1"/>
  <c r="L149" i="1"/>
  <c r="I149" i="1"/>
  <c r="H149" i="1"/>
  <c r="G149" i="1"/>
  <c r="F149" i="1"/>
  <c r="E149" i="1"/>
  <c r="D149" i="1"/>
  <c r="C149" i="1"/>
  <c r="A149" i="1"/>
  <c r="X148" i="1"/>
  <c r="B148" i="1" s="1"/>
  <c r="W148" i="1"/>
  <c r="N148" i="1"/>
  <c r="L148" i="1"/>
  <c r="I148" i="1"/>
  <c r="H148" i="1"/>
  <c r="G148" i="1"/>
  <c r="F148" i="1"/>
  <c r="E148" i="1"/>
  <c r="D148" i="1"/>
  <c r="C148" i="1"/>
  <c r="A148" i="1"/>
  <c r="X147" i="1"/>
  <c r="B147" i="1" s="1"/>
  <c r="W147" i="1"/>
  <c r="N147" i="1"/>
  <c r="L147" i="1"/>
  <c r="I147" i="1"/>
  <c r="H147" i="1"/>
  <c r="G147" i="1"/>
  <c r="F147" i="1"/>
  <c r="E147" i="1"/>
  <c r="D147" i="1"/>
  <c r="C147" i="1"/>
  <c r="A147" i="1"/>
  <c r="X146" i="1"/>
  <c r="B146" i="1" s="1"/>
  <c r="W146" i="1"/>
  <c r="N146" i="1"/>
  <c r="L146" i="1"/>
  <c r="I146" i="1"/>
  <c r="H146" i="1"/>
  <c r="G146" i="1"/>
  <c r="F146" i="1"/>
  <c r="E146" i="1"/>
  <c r="D146" i="1"/>
  <c r="C146" i="1"/>
  <c r="A146" i="1"/>
  <c r="X145" i="1"/>
  <c r="B145" i="1" s="1"/>
  <c r="W145" i="1"/>
  <c r="N145" i="1"/>
  <c r="L145" i="1"/>
  <c r="I145" i="1"/>
  <c r="H145" i="1"/>
  <c r="G145" i="1"/>
  <c r="F145" i="1"/>
  <c r="E145" i="1"/>
  <c r="D145" i="1"/>
  <c r="C145" i="1"/>
  <c r="A145" i="1"/>
  <c r="X144" i="1"/>
  <c r="B144" i="1" s="1"/>
  <c r="W144" i="1"/>
  <c r="N144" i="1"/>
  <c r="L144" i="1"/>
  <c r="I144" i="1"/>
  <c r="H144" i="1"/>
  <c r="G144" i="1"/>
  <c r="F144" i="1"/>
  <c r="E144" i="1"/>
  <c r="D144" i="1"/>
  <c r="C144" i="1"/>
  <c r="A144" i="1"/>
  <c r="X143" i="1"/>
  <c r="B143" i="1" s="1"/>
  <c r="W143" i="1"/>
  <c r="N143" i="1"/>
  <c r="L143" i="1"/>
  <c r="I143" i="1"/>
  <c r="H143" i="1"/>
  <c r="G143" i="1"/>
  <c r="F143" i="1"/>
  <c r="E143" i="1"/>
  <c r="D143" i="1"/>
  <c r="C143" i="1"/>
  <c r="A143" i="1"/>
  <c r="X142" i="1"/>
  <c r="B142" i="1" s="1"/>
  <c r="W142" i="1"/>
  <c r="N142" i="1"/>
  <c r="L142" i="1"/>
  <c r="I142" i="1"/>
  <c r="H142" i="1"/>
  <c r="G142" i="1"/>
  <c r="F142" i="1"/>
  <c r="E142" i="1"/>
  <c r="D142" i="1"/>
  <c r="C142" i="1"/>
  <c r="A142" i="1"/>
  <c r="X141" i="1"/>
  <c r="B141" i="1" s="1"/>
  <c r="W141" i="1"/>
  <c r="N141" i="1"/>
  <c r="L141" i="1"/>
  <c r="I141" i="1"/>
  <c r="H141" i="1"/>
  <c r="G141" i="1"/>
  <c r="F141" i="1"/>
  <c r="E141" i="1"/>
  <c r="D141" i="1"/>
  <c r="C141" i="1"/>
  <c r="A141" i="1"/>
  <c r="X140" i="1"/>
  <c r="B140" i="1" s="1"/>
  <c r="W140" i="1"/>
  <c r="N140" i="1"/>
  <c r="L140" i="1"/>
  <c r="I140" i="1"/>
  <c r="H140" i="1"/>
  <c r="G140" i="1"/>
  <c r="F140" i="1"/>
  <c r="E140" i="1"/>
  <c r="D140" i="1"/>
  <c r="C140" i="1"/>
  <c r="A140" i="1"/>
  <c r="X139" i="1"/>
  <c r="B139" i="1" s="1"/>
  <c r="W139" i="1"/>
  <c r="N139" i="1"/>
  <c r="L139" i="1"/>
  <c r="I139" i="1"/>
  <c r="H139" i="1"/>
  <c r="G139" i="1"/>
  <c r="F139" i="1"/>
  <c r="E139" i="1"/>
  <c r="D139" i="1"/>
  <c r="C139" i="1"/>
  <c r="A139" i="1"/>
  <c r="X138" i="1"/>
  <c r="B138" i="1" s="1"/>
  <c r="W138" i="1"/>
  <c r="N138" i="1"/>
  <c r="L138" i="1"/>
  <c r="I138" i="1"/>
  <c r="H138" i="1"/>
  <c r="G138" i="1"/>
  <c r="F138" i="1"/>
  <c r="E138" i="1"/>
  <c r="D138" i="1"/>
  <c r="C138" i="1"/>
  <c r="A138" i="1"/>
  <c r="X137" i="1"/>
  <c r="B137" i="1" s="1"/>
  <c r="W137" i="1"/>
  <c r="N137" i="1"/>
  <c r="L137" i="1"/>
  <c r="I137" i="1"/>
  <c r="H137" i="1"/>
  <c r="G137" i="1"/>
  <c r="F137" i="1"/>
  <c r="E137" i="1"/>
  <c r="D137" i="1"/>
  <c r="C137" i="1"/>
  <c r="A137" i="1"/>
  <c r="X136" i="1"/>
  <c r="B136" i="1" s="1"/>
  <c r="W136" i="1"/>
  <c r="N136" i="1"/>
  <c r="L136" i="1"/>
  <c r="I136" i="1"/>
  <c r="H136" i="1"/>
  <c r="G136" i="1"/>
  <c r="F136" i="1"/>
  <c r="E136" i="1"/>
  <c r="D136" i="1"/>
  <c r="C136" i="1"/>
  <c r="A136" i="1"/>
  <c r="X135" i="1"/>
  <c r="B135" i="1" s="1"/>
  <c r="W135" i="1"/>
  <c r="N135" i="1"/>
  <c r="L135" i="1"/>
  <c r="I135" i="1"/>
  <c r="H135" i="1"/>
  <c r="G135" i="1"/>
  <c r="F135" i="1"/>
  <c r="E135" i="1"/>
  <c r="D135" i="1"/>
  <c r="C135" i="1"/>
  <c r="A135" i="1"/>
  <c r="X134" i="1"/>
  <c r="B134" i="1" s="1"/>
  <c r="W134" i="1"/>
  <c r="N134" i="1"/>
  <c r="L134" i="1"/>
  <c r="I134" i="1"/>
  <c r="H134" i="1"/>
  <c r="G134" i="1"/>
  <c r="F134" i="1"/>
  <c r="E134" i="1"/>
  <c r="D134" i="1"/>
  <c r="C134" i="1"/>
  <c r="A134" i="1"/>
  <c r="X133" i="1"/>
  <c r="B133" i="1" s="1"/>
  <c r="W133" i="1"/>
  <c r="N133" i="1"/>
  <c r="L133" i="1"/>
  <c r="I133" i="1"/>
  <c r="H133" i="1"/>
  <c r="G133" i="1"/>
  <c r="F133" i="1"/>
  <c r="E133" i="1"/>
  <c r="D133" i="1"/>
  <c r="C133" i="1"/>
  <c r="A133" i="1"/>
  <c r="X132" i="1"/>
  <c r="B132" i="1" s="1"/>
  <c r="W132" i="1"/>
  <c r="N132" i="1"/>
  <c r="L132" i="1"/>
  <c r="I132" i="1"/>
  <c r="H132" i="1"/>
  <c r="G132" i="1"/>
  <c r="F132" i="1"/>
  <c r="E132" i="1"/>
  <c r="D132" i="1"/>
  <c r="C132" i="1"/>
  <c r="A132" i="1"/>
  <c r="X131" i="1"/>
  <c r="B131" i="1" s="1"/>
  <c r="W131" i="1"/>
  <c r="N131" i="1"/>
  <c r="L131" i="1"/>
  <c r="I131" i="1"/>
  <c r="H131" i="1"/>
  <c r="G131" i="1"/>
  <c r="F131" i="1"/>
  <c r="E131" i="1"/>
  <c r="D131" i="1"/>
  <c r="C131" i="1"/>
  <c r="A131" i="1"/>
  <c r="X130" i="1"/>
  <c r="B130" i="1" s="1"/>
  <c r="W130" i="1"/>
  <c r="N130" i="1"/>
  <c r="L130" i="1"/>
  <c r="I130" i="1"/>
  <c r="H130" i="1"/>
  <c r="G130" i="1"/>
  <c r="F130" i="1"/>
  <c r="E130" i="1"/>
  <c r="D130" i="1"/>
  <c r="C130" i="1"/>
  <c r="A130" i="1"/>
  <c r="X129" i="1"/>
  <c r="B129" i="1" s="1"/>
  <c r="W129" i="1"/>
  <c r="N129" i="1"/>
  <c r="L129" i="1"/>
  <c r="I129" i="1"/>
  <c r="H129" i="1"/>
  <c r="G129" i="1"/>
  <c r="F129" i="1"/>
  <c r="E129" i="1"/>
  <c r="D129" i="1"/>
  <c r="C129" i="1"/>
  <c r="A129" i="1"/>
  <c r="X128" i="1"/>
  <c r="B128" i="1" s="1"/>
  <c r="W128" i="1"/>
  <c r="N128" i="1"/>
  <c r="L128" i="1"/>
  <c r="I128" i="1"/>
  <c r="H128" i="1"/>
  <c r="G128" i="1"/>
  <c r="F128" i="1"/>
  <c r="E128" i="1"/>
  <c r="D128" i="1"/>
  <c r="C128" i="1"/>
  <c r="A128" i="1"/>
  <c r="X127" i="1"/>
  <c r="B127" i="1" s="1"/>
  <c r="W127" i="1"/>
  <c r="N127" i="1"/>
  <c r="L127" i="1"/>
  <c r="I127" i="1"/>
  <c r="H127" i="1"/>
  <c r="G127" i="1"/>
  <c r="F127" i="1"/>
  <c r="E127" i="1"/>
  <c r="D127" i="1"/>
  <c r="C127" i="1"/>
  <c r="A127" i="1"/>
  <c r="X126" i="1"/>
  <c r="B126" i="1" s="1"/>
  <c r="W126" i="1"/>
  <c r="N126" i="1"/>
  <c r="L126" i="1"/>
  <c r="I126" i="1"/>
  <c r="H126" i="1"/>
  <c r="G126" i="1"/>
  <c r="F126" i="1"/>
  <c r="E126" i="1"/>
  <c r="D126" i="1"/>
  <c r="C126" i="1"/>
  <c r="A126" i="1"/>
  <c r="X125" i="1"/>
  <c r="B125" i="1" s="1"/>
  <c r="W125" i="1"/>
  <c r="N125" i="1"/>
  <c r="K125" i="1"/>
  <c r="I125" i="1"/>
  <c r="H125" i="1"/>
  <c r="G125" i="1"/>
  <c r="F125" i="1"/>
  <c r="E125" i="1"/>
  <c r="D125" i="1"/>
  <c r="C125" i="1"/>
  <c r="A125" i="1"/>
  <c r="X124" i="1"/>
  <c r="B124" i="1" s="1"/>
  <c r="W124" i="1"/>
  <c r="N124" i="1"/>
  <c r="K124" i="1"/>
  <c r="I124" i="1"/>
  <c r="H124" i="1"/>
  <c r="G124" i="1"/>
  <c r="F124" i="1"/>
  <c r="E124" i="1"/>
  <c r="D124" i="1"/>
  <c r="C124" i="1"/>
  <c r="A124" i="1"/>
  <c r="X123" i="1"/>
  <c r="B123" i="1" s="1"/>
  <c r="W123" i="1"/>
  <c r="N123" i="1"/>
  <c r="K123" i="1"/>
  <c r="I123" i="1"/>
  <c r="H123" i="1"/>
  <c r="G123" i="1"/>
  <c r="F123" i="1"/>
  <c r="E123" i="1"/>
  <c r="D123" i="1"/>
  <c r="C123" i="1"/>
  <c r="A123" i="1"/>
  <c r="X122" i="1"/>
  <c r="B122" i="1" s="1"/>
  <c r="W122" i="1"/>
  <c r="N122" i="1"/>
  <c r="K122" i="1"/>
  <c r="I122" i="1"/>
  <c r="H122" i="1"/>
  <c r="G122" i="1"/>
  <c r="F122" i="1"/>
  <c r="E122" i="1"/>
  <c r="D122" i="1"/>
  <c r="C122" i="1"/>
  <c r="A122" i="1"/>
  <c r="X121" i="1"/>
  <c r="B121" i="1" s="1"/>
  <c r="W121" i="1"/>
  <c r="N121" i="1"/>
  <c r="K121" i="1"/>
  <c r="I121" i="1"/>
  <c r="H121" i="1"/>
  <c r="G121" i="1"/>
  <c r="F121" i="1"/>
  <c r="E121" i="1"/>
  <c r="D121" i="1"/>
  <c r="C121" i="1"/>
  <c r="A121" i="1"/>
  <c r="X120" i="1"/>
  <c r="B120" i="1" s="1"/>
  <c r="W120" i="1"/>
  <c r="N120" i="1"/>
  <c r="K120" i="1"/>
  <c r="I120" i="1"/>
  <c r="H120" i="1"/>
  <c r="G120" i="1"/>
  <c r="F120" i="1"/>
  <c r="E120" i="1"/>
  <c r="D120" i="1"/>
  <c r="C120" i="1"/>
  <c r="A120" i="1"/>
  <c r="X119" i="1"/>
  <c r="B119" i="1" s="1"/>
  <c r="W119" i="1"/>
  <c r="N119" i="1"/>
  <c r="K119" i="1"/>
  <c r="I119" i="1"/>
  <c r="H119" i="1"/>
  <c r="G119" i="1"/>
  <c r="F119" i="1"/>
  <c r="E119" i="1"/>
  <c r="D119" i="1"/>
  <c r="C119" i="1"/>
  <c r="A119" i="1"/>
  <c r="X118" i="1"/>
  <c r="B118" i="1" s="1"/>
  <c r="W118" i="1"/>
  <c r="N118" i="1"/>
  <c r="K118" i="1"/>
  <c r="I118" i="1"/>
  <c r="H118" i="1"/>
  <c r="G118" i="1"/>
  <c r="F118" i="1"/>
  <c r="E118" i="1"/>
  <c r="D118" i="1"/>
  <c r="C118" i="1"/>
  <c r="A118" i="1"/>
  <c r="X117" i="1"/>
  <c r="B117" i="1" s="1"/>
  <c r="W117" i="1"/>
  <c r="N117" i="1"/>
  <c r="K117" i="1"/>
  <c r="I117" i="1"/>
  <c r="H117" i="1"/>
  <c r="G117" i="1"/>
  <c r="F117" i="1"/>
  <c r="E117" i="1"/>
  <c r="D117" i="1"/>
  <c r="C117" i="1"/>
  <c r="A117" i="1"/>
  <c r="X116" i="1"/>
  <c r="B116" i="1" s="1"/>
  <c r="W116" i="1"/>
  <c r="N116" i="1"/>
  <c r="K116" i="1"/>
  <c r="I116" i="1"/>
  <c r="H116" i="1"/>
  <c r="G116" i="1"/>
  <c r="F116" i="1"/>
  <c r="E116" i="1"/>
  <c r="D116" i="1"/>
  <c r="C116" i="1"/>
  <c r="A116" i="1"/>
  <c r="X115" i="1"/>
  <c r="B115" i="1" s="1"/>
  <c r="W115" i="1"/>
  <c r="N115" i="1"/>
  <c r="K115" i="1"/>
  <c r="I115" i="1"/>
  <c r="H115" i="1"/>
  <c r="G115" i="1"/>
  <c r="F115" i="1"/>
  <c r="E115" i="1"/>
  <c r="D115" i="1"/>
  <c r="C115" i="1"/>
  <c r="A115" i="1"/>
  <c r="X114" i="1"/>
  <c r="B114" i="1" s="1"/>
  <c r="W114" i="1"/>
  <c r="N114" i="1"/>
  <c r="K114" i="1"/>
  <c r="I114" i="1"/>
  <c r="H114" i="1"/>
  <c r="G114" i="1"/>
  <c r="F114" i="1"/>
  <c r="E114" i="1"/>
  <c r="D114" i="1"/>
  <c r="C114" i="1"/>
  <c r="A114" i="1"/>
  <c r="X113" i="1"/>
  <c r="B113" i="1" s="1"/>
  <c r="W113" i="1"/>
  <c r="N113" i="1"/>
  <c r="K113" i="1"/>
  <c r="I113" i="1"/>
  <c r="H113" i="1"/>
  <c r="G113" i="1"/>
  <c r="F113" i="1"/>
  <c r="E113" i="1"/>
  <c r="D113" i="1"/>
  <c r="C113" i="1"/>
  <c r="A113" i="1"/>
  <c r="X112" i="1"/>
  <c r="B112" i="1" s="1"/>
  <c r="W112" i="1"/>
  <c r="N112" i="1"/>
  <c r="K112" i="1"/>
  <c r="I112" i="1"/>
  <c r="H112" i="1"/>
  <c r="G112" i="1"/>
  <c r="F112" i="1"/>
  <c r="E112" i="1"/>
  <c r="D112" i="1"/>
  <c r="C112" i="1"/>
  <c r="A112" i="1"/>
  <c r="X111" i="1"/>
  <c r="B111" i="1" s="1"/>
  <c r="W111" i="1"/>
  <c r="N111" i="1"/>
  <c r="K111" i="1"/>
  <c r="I111" i="1"/>
  <c r="H111" i="1"/>
  <c r="G111" i="1"/>
  <c r="F111" i="1"/>
  <c r="E111" i="1"/>
  <c r="D111" i="1"/>
  <c r="C111" i="1"/>
  <c r="A111" i="1"/>
  <c r="X110" i="1"/>
  <c r="B110" i="1" s="1"/>
  <c r="W110" i="1"/>
  <c r="N110" i="1"/>
  <c r="K110" i="1"/>
  <c r="I110" i="1"/>
  <c r="H110" i="1"/>
  <c r="G110" i="1"/>
  <c r="F110" i="1"/>
  <c r="E110" i="1"/>
  <c r="D110" i="1"/>
  <c r="C110" i="1"/>
  <c r="A110" i="1"/>
  <c r="X109" i="1"/>
  <c r="B109" i="1" s="1"/>
  <c r="W109" i="1"/>
  <c r="N109" i="1"/>
  <c r="K109" i="1"/>
  <c r="I109" i="1"/>
  <c r="H109" i="1"/>
  <c r="G109" i="1"/>
  <c r="F109" i="1"/>
  <c r="E109" i="1"/>
  <c r="D109" i="1"/>
  <c r="C109" i="1"/>
  <c r="A109" i="1"/>
  <c r="X108" i="1"/>
  <c r="B108" i="1" s="1"/>
  <c r="W108" i="1"/>
  <c r="N108" i="1"/>
  <c r="K108" i="1"/>
  <c r="I108" i="1"/>
  <c r="H108" i="1"/>
  <c r="G108" i="1"/>
  <c r="F108" i="1"/>
  <c r="E108" i="1"/>
  <c r="D108" i="1"/>
  <c r="C108" i="1"/>
  <c r="A108" i="1"/>
  <c r="X107" i="1"/>
  <c r="B107" i="1" s="1"/>
  <c r="W107" i="1"/>
  <c r="N107" i="1"/>
  <c r="K107" i="1"/>
  <c r="I107" i="1"/>
  <c r="H107" i="1"/>
  <c r="G107" i="1"/>
  <c r="F107" i="1"/>
  <c r="E107" i="1"/>
  <c r="D107" i="1"/>
  <c r="C107" i="1"/>
  <c r="A107" i="1"/>
  <c r="X106" i="1"/>
  <c r="B106" i="1" s="1"/>
  <c r="W106" i="1"/>
  <c r="N106" i="1"/>
  <c r="K106" i="1"/>
  <c r="I106" i="1"/>
  <c r="H106" i="1"/>
  <c r="G106" i="1"/>
  <c r="F106" i="1"/>
  <c r="E106" i="1"/>
  <c r="D106" i="1"/>
  <c r="C106" i="1"/>
  <c r="A106" i="1"/>
  <c r="X105" i="1"/>
  <c r="B105" i="1" s="1"/>
  <c r="W105" i="1"/>
  <c r="N105" i="1"/>
  <c r="K105" i="1"/>
  <c r="I105" i="1"/>
  <c r="H105" i="1"/>
  <c r="G105" i="1"/>
  <c r="F105" i="1"/>
  <c r="E105" i="1"/>
  <c r="D105" i="1"/>
  <c r="C105" i="1"/>
  <c r="A105" i="1"/>
  <c r="X104" i="1"/>
  <c r="B104" i="1" s="1"/>
  <c r="W104" i="1"/>
  <c r="N104" i="1"/>
  <c r="K104" i="1"/>
  <c r="I104" i="1"/>
  <c r="H104" i="1"/>
  <c r="G104" i="1"/>
  <c r="F104" i="1"/>
  <c r="E104" i="1"/>
  <c r="D104" i="1"/>
  <c r="C104" i="1"/>
  <c r="A104" i="1"/>
  <c r="X103" i="1"/>
  <c r="B103" i="1" s="1"/>
  <c r="W103" i="1"/>
  <c r="N103" i="1"/>
  <c r="K103" i="1"/>
  <c r="I103" i="1"/>
  <c r="H103" i="1"/>
  <c r="G103" i="1"/>
  <c r="F103" i="1"/>
  <c r="E103" i="1"/>
  <c r="D103" i="1"/>
  <c r="C103" i="1"/>
  <c r="A103" i="1"/>
  <c r="X102" i="1"/>
  <c r="B102" i="1" s="1"/>
  <c r="W102" i="1"/>
  <c r="N102" i="1"/>
  <c r="K102" i="1"/>
  <c r="I102" i="1"/>
  <c r="H102" i="1"/>
  <c r="G102" i="1"/>
  <c r="F102" i="1"/>
  <c r="E102" i="1"/>
  <c r="D102" i="1"/>
  <c r="C102" i="1"/>
  <c r="A102" i="1"/>
  <c r="X101" i="1"/>
  <c r="B101" i="1" s="1"/>
  <c r="W101" i="1"/>
  <c r="N101" i="1"/>
  <c r="K101" i="1"/>
  <c r="I101" i="1"/>
  <c r="H101" i="1"/>
  <c r="G101" i="1"/>
  <c r="F101" i="1"/>
  <c r="E101" i="1"/>
  <c r="D101" i="1"/>
  <c r="C101" i="1"/>
  <c r="A101" i="1"/>
  <c r="X100" i="1"/>
  <c r="B100" i="1" s="1"/>
  <c r="W100" i="1"/>
  <c r="N100" i="1"/>
  <c r="K100" i="1"/>
  <c r="I100" i="1"/>
  <c r="H100" i="1"/>
  <c r="G100" i="1"/>
  <c r="F100" i="1"/>
  <c r="E100" i="1"/>
  <c r="D100" i="1"/>
  <c r="C100" i="1"/>
  <c r="A100" i="1"/>
  <c r="X99" i="1"/>
  <c r="B99" i="1" s="1"/>
  <c r="W99" i="1"/>
  <c r="N99" i="1"/>
  <c r="K99" i="1"/>
  <c r="I99" i="1"/>
  <c r="H99" i="1"/>
  <c r="G99" i="1"/>
  <c r="F99" i="1"/>
  <c r="E99" i="1"/>
  <c r="D99" i="1"/>
  <c r="C99" i="1"/>
  <c r="A99" i="1"/>
  <c r="X98" i="1"/>
  <c r="B98" i="1" s="1"/>
  <c r="W98" i="1"/>
  <c r="N98" i="1"/>
  <c r="K98" i="1"/>
  <c r="I98" i="1"/>
  <c r="H98" i="1"/>
  <c r="G98" i="1"/>
  <c r="F98" i="1"/>
  <c r="E98" i="1"/>
  <c r="D98" i="1"/>
  <c r="C98" i="1"/>
  <c r="A98" i="1"/>
  <c r="X97" i="1"/>
  <c r="B97" i="1" s="1"/>
  <c r="W97" i="1"/>
  <c r="N97" i="1"/>
  <c r="K97" i="1"/>
  <c r="I97" i="1"/>
  <c r="H97" i="1"/>
  <c r="G97" i="1"/>
  <c r="F97" i="1"/>
  <c r="E97" i="1"/>
  <c r="D97" i="1"/>
  <c r="C97" i="1"/>
  <c r="A97" i="1"/>
  <c r="X96" i="1"/>
  <c r="B96" i="1" s="1"/>
  <c r="W96" i="1"/>
  <c r="N96" i="1"/>
  <c r="K96" i="1"/>
  <c r="I96" i="1"/>
  <c r="H96" i="1"/>
  <c r="G96" i="1"/>
  <c r="F96" i="1"/>
  <c r="E96" i="1"/>
  <c r="D96" i="1"/>
  <c r="C96" i="1"/>
  <c r="A96" i="1"/>
  <c r="X95" i="1"/>
  <c r="B95" i="1" s="1"/>
  <c r="W95" i="1"/>
  <c r="N95" i="1"/>
  <c r="K95" i="1"/>
  <c r="I95" i="1"/>
  <c r="H95" i="1"/>
  <c r="G95" i="1"/>
  <c r="F95" i="1"/>
  <c r="E95" i="1"/>
  <c r="D95" i="1"/>
  <c r="C95" i="1"/>
  <c r="A95" i="1"/>
  <c r="X94" i="1"/>
  <c r="B94" i="1" s="1"/>
  <c r="W94" i="1"/>
  <c r="N94" i="1"/>
  <c r="K94" i="1"/>
  <c r="I94" i="1"/>
  <c r="H94" i="1"/>
  <c r="G94" i="1"/>
  <c r="F94" i="1"/>
  <c r="E94" i="1"/>
  <c r="D94" i="1"/>
  <c r="C94" i="1"/>
  <c r="A94" i="1"/>
  <c r="X93" i="1"/>
  <c r="B93" i="1" s="1"/>
  <c r="W93" i="1"/>
  <c r="N93" i="1"/>
  <c r="K93" i="1"/>
  <c r="I93" i="1"/>
  <c r="H93" i="1"/>
  <c r="G93" i="1"/>
  <c r="F93" i="1"/>
  <c r="E93" i="1"/>
  <c r="D93" i="1"/>
  <c r="C93" i="1"/>
  <c r="A93" i="1"/>
  <c r="X92" i="1"/>
  <c r="B92" i="1" s="1"/>
  <c r="W92" i="1"/>
  <c r="N92" i="1"/>
  <c r="K92" i="1"/>
  <c r="I92" i="1"/>
  <c r="H92" i="1"/>
  <c r="G92" i="1"/>
  <c r="F92" i="1"/>
  <c r="E92" i="1"/>
  <c r="D92" i="1"/>
  <c r="C92" i="1"/>
  <c r="A92" i="1"/>
  <c r="X91" i="1"/>
  <c r="B91" i="1" s="1"/>
  <c r="W91" i="1"/>
  <c r="N91" i="1"/>
  <c r="K91" i="1"/>
  <c r="I91" i="1"/>
  <c r="H91" i="1"/>
  <c r="G91" i="1"/>
  <c r="F91" i="1"/>
  <c r="E91" i="1"/>
  <c r="D91" i="1"/>
  <c r="C91" i="1"/>
  <c r="A91" i="1"/>
  <c r="X90" i="1"/>
  <c r="B90" i="1" s="1"/>
  <c r="W90" i="1"/>
  <c r="N90" i="1"/>
  <c r="K90" i="1"/>
  <c r="I90" i="1"/>
  <c r="H90" i="1"/>
  <c r="G90" i="1"/>
  <c r="F90" i="1"/>
  <c r="E90" i="1"/>
  <c r="D90" i="1"/>
  <c r="C90" i="1"/>
  <c r="A90" i="1"/>
  <c r="X89" i="1"/>
  <c r="B89" i="1" s="1"/>
  <c r="W89" i="1"/>
  <c r="N89" i="1"/>
  <c r="K89" i="1"/>
  <c r="I89" i="1"/>
  <c r="H89" i="1"/>
  <c r="G89" i="1"/>
  <c r="F89" i="1"/>
  <c r="E89" i="1"/>
  <c r="D89" i="1"/>
  <c r="C89" i="1"/>
  <c r="A89" i="1"/>
  <c r="X88" i="1"/>
  <c r="B88" i="1" s="1"/>
  <c r="W88" i="1"/>
  <c r="N88" i="1"/>
  <c r="K88" i="1"/>
  <c r="I88" i="1"/>
  <c r="H88" i="1"/>
  <c r="G88" i="1"/>
  <c r="F88" i="1"/>
  <c r="E88" i="1"/>
  <c r="D88" i="1"/>
  <c r="C88" i="1"/>
  <c r="A88" i="1"/>
  <c r="X87" i="1"/>
  <c r="B87" i="1" s="1"/>
  <c r="W87" i="1"/>
  <c r="N87" i="1"/>
  <c r="K87" i="1"/>
  <c r="I87" i="1"/>
  <c r="H87" i="1"/>
  <c r="G87" i="1"/>
  <c r="F87" i="1"/>
  <c r="E87" i="1"/>
  <c r="D87" i="1"/>
  <c r="C87" i="1"/>
  <c r="A87" i="1"/>
  <c r="X86" i="1"/>
  <c r="B86" i="1" s="1"/>
  <c r="W86" i="1"/>
  <c r="N86" i="1"/>
  <c r="K86" i="1"/>
  <c r="I86" i="1"/>
  <c r="H86" i="1"/>
  <c r="G86" i="1"/>
  <c r="F86" i="1"/>
  <c r="E86" i="1"/>
  <c r="D86" i="1"/>
  <c r="C86" i="1"/>
  <c r="A86" i="1"/>
  <c r="X85" i="1"/>
  <c r="B85" i="1" s="1"/>
  <c r="W85" i="1"/>
  <c r="N85" i="1"/>
  <c r="K85" i="1"/>
  <c r="I85" i="1"/>
  <c r="H85" i="1"/>
  <c r="G85" i="1"/>
  <c r="F85" i="1"/>
  <c r="E85" i="1"/>
  <c r="D85" i="1"/>
  <c r="C85" i="1"/>
  <c r="A85" i="1"/>
  <c r="X84" i="1"/>
  <c r="B84" i="1" s="1"/>
  <c r="W84" i="1"/>
  <c r="N84" i="1"/>
  <c r="K84" i="1"/>
  <c r="I84" i="1"/>
  <c r="H84" i="1"/>
  <c r="G84" i="1"/>
  <c r="F84" i="1"/>
  <c r="E84" i="1"/>
  <c r="D84" i="1"/>
  <c r="C84" i="1"/>
  <c r="A84" i="1"/>
  <c r="X83" i="1"/>
  <c r="B83" i="1" s="1"/>
  <c r="W83" i="1"/>
  <c r="N83" i="1"/>
  <c r="K83" i="1"/>
  <c r="I83" i="1"/>
  <c r="H83" i="1"/>
  <c r="G83" i="1"/>
  <c r="F83" i="1"/>
  <c r="E83" i="1"/>
  <c r="D83" i="1"/>
  <c r="C83" i="1"/>
  <c r="A83" i="1"/>
  <c r="X82" i="1"/>
  <c r="B82" i="1" s="1"/>
  <c r="W82" i="1"/>
  <c r="N82" i="1"/>
  <c r="K82" i="1"/>
  <c r="I82" i="1"/>
  <c r="H82" i="1"/>
  <c r="G82" i="1"/>
  <c r="F82" i="1"/>
  <c r="E82" i="1"/>
  <c r="D82" i="1"/>
  <c r="C82" i="1"/>
  <c r="A82" i="1"/>
  <c r="X81" i="1"/>
  <c r="B81" i="1" s="1"/>
  <c r="W81" i="1"/>
  <c r="N81" i="1"/>
  <c r="K81" i="1"/>
  <c r="I81" i="1"/>
  <c r="H81" i="1"/>
  <c r="G81" i="1"/>
  <c r="F81" i="1"/>
  <c r="E81" i="1"/>
  <c r="D81" i="1"/>
  <c r="C81" i="1"/>
  <c r="A81" i="1"/>
  <c r="X80" i="1"/>
  <c r="B80" i="1" s="1"/>
  <c r="W80" i="1"/>
  <c r="N80" i="1"/>
  <c r="K80" i="1"/>
  <c r="I80" i="1"/>
  <c r="H80" i="1"/>
  <c r="G80" i="1"/>
  <c r="F80" i="1"/>
  <c r="E80" i="1"/>
  <c r="D80" i="1"/>
  <c r="C80" i="1"/>
  <c r="A80" i="1"/>
  <c r="X79" i="1"/>
  <c r="B79" i="1" s="1"/>
  <c r="W79" i="1"/>
  <c r="N79" i="1"/>
  <c r="K79" i="1"/>
  <c r="I79" i="1"/>
  <c r="H79" i="1"/>
  <c r="G79" i="1"/>
  <c r="F79" i="1"/>
  <c r="E79" i="1"/>
  <c r="D79" i="1"/>
  <c r="C79" i="1"/>
  <c r="A79" i="1"/>
  <c r="X78" i="1"/>
  <c r="B78" i="1" s="1"/>
  <c r="W78" i="1"/>
  <c r="N78" i="1"/>
  <c r="K78" i="1"/>
  <c r="I78" i="1"/>
  <c r="H78" i="1"/>
  <c r="G78" i="1"/>
  <c r="F78" i="1"/>
  <c r="E78" i="1"/>
  <c r="D78" i="1"/>
  <c r="C78" i="1"/>
  <c r="A78" i="1"/>
  <c r="X77" i="1"/>
  <c r="B77" i="1" s="1"/>
  <c r="W77" i="1"/>
  <c r="N77" i="1"/>
  <c r="K77" i="1"/>
  <c r="I77" i="1"/>
  <c r="H77" i="1"/>
  <c r="G77" i="1"/>
  <c r="F77" i="1"/>
  <c r="E77" i="1"/>
  <c r="D77" i="1"/>
  <c r="C77" i="1"/>
  <c r="A77" i="1"/>
  <c r="X76" i="1"/>
  <c r="B76" i="1" s="1"/>
  <c r="W76" i="1"/>
  <c r="N76" i="1"/>
  <c r="K76" i="1"/>
  <c r="I76" i="1"/>
  <c r="H76" i="1"/>
  <c r="G76" i="1"/>
  <c r="F76" i="1"/>
  <c r="E76" i="1"/>
  <c r="D76" i="1"/>
  <c r="C76" i="1"/>
  <c r="A76" i="1"/>
  <c r="X75" i="1"/>
  <c r="B75" i="1" s="1"/>
  <c r="W75" i="1"/>
  <c r="N75" i="1"/>
  <c r="K75" i="1"/>
  <c r="I75" i="1"/>
  <c r="H75" i="1"/>
  <c r="G75" i="1"/>
  <c r="F75" i="1"/>
  <c r="E75" i="1"/>
  <c r="D75" i="1"/>
  <c r="C75" i="1"/>
  <c r="A75" i="1"/>
  <c r="X74" i="1"/>
  <c r="B74" i="1" s="1"/>
  <c r="W74" i="1"/>
  <c r="N74" i="1"/>
  <c r="K74" i="1"/>
  <c r="I74" i="1"/>
  <c r="H74" i="1"/>
  <c r="G74" i="1"/>
  <c r="F74" i="1"/>
  <c r="E74" i="1"/>
  <c r="D74" i="1"/>
  <c r="C74" i="1"/>
  <c r="A74" i="1"/>
  <c r="X73" i="1"/>
  <c r="B73" i="1" s="1"/>
  <c r="W73" i="1"/>
  <c r="N73" i="1"/>
  <c r="K73" i="1"/>
  <c r="I73" i="1"/>
  <c r="H73" i="1"/>
  <c r="G73" i="1"/>
  <c r="F73" i="1"/>
  <c r="E73" i="1"/>
  <c r="D73" i="1"/>
  <c r="C73" i="1"/>
  <c r="A73" i="1"/>
  <c r="X72" i="1"/>
  <c r="B72" i="1" s="1"/>
  <c r="W72" i="1"/>
  <c r="N72" i="1"/>
  <c r="K72" i="1"/>
  <c r="I72" i="1"/>
  <c r="H72" i="1"/>
  <c r="G72" i="1"/>
  <c r="F72" i="1"/>
  <c r="E72" i="1"/>
  <c r="D72" i="1"/>
  <c r="C72" i="1"/>
  <c r="A72" i="1"/>
  <c r="X71" i="1"/>
  <c r="B71" i="1" s="1"/>
  <c r="W71" i="1"/>
  <c r="N71" i="1"/>
  <c r="K71" i="1"/>
  <c r="I71" i="1"/>
  <c r="H71" i="1"/>
  <c r="G71" i="1"/>
  <c r="F71" i="1"/>
  <c r="E71" i="1"/>
  <c r="D71" i="1"/>
  <c r="C71" i="1"/>
  <c r="A71" i="1"/>
  <c r="X70" i="1"/>
  <c r="B70" i="1" s="1"/>
  <c r="W70" i="1"/>
  <c r="N70" i="1"/>
  <c r="K70" i="1"/>
  <c r="I70" i="1"/>
  <c r="H70" i="1"/>
  <c r="G70" i="1"/>
  <c r="F70" i="1"/>
  <c r="E70" i="1"/>
  <c r="D70" i="1"/>
  <c r="C70" i="1"/>
  <c r="A70" i="1"/>
  <c r="X69" i="1"/>
  <c r="B69" i="1" s="1"/>
  <c r="W69" i="1"/>
  <c r="N69" i="1"/>
  <c r="K69" i="1"/>
  <c r="I69" i="1"/>
  <c r="H69" i="1"/>
  <c r="G69" i="1"/>
  <c r="F69" i="1"/>
  <c r="E69" i="1"/>
  <c r="D69" i="1"/>
  <c r="C69" i="1"/>
  <c r="A69" i="1"/>
  <c r="X68" i="1"/>
  <c r="B68" i="1" s="1"/>
  <c r="W68" i="1"/>
  <c r="N68" i="1"/>
  <c r="K68" i="1"/>
  <c r="I68" i="1"/>
  <c r="H68" i="1"/>
  <c r="G68" i="1"/>
  <c r="F68" i="1"/>
  <c r="E68" i="1"/>
  <c r="D68" i="1"/>
  <c r="C68" i="1"/>
  <c r="A68" i="1"/>
  <c r="X67" i="1"/>
  <c r="B67" i="1" s="1"/>
  <c r="W67" i="1"/>
  <c r="N67" i="1"/>
  <c r="K67" i="1"/>
  <c r="I67" i="1"/>
  <c r="H67" i="1"/>
  <c r="G67" i="1"/>
  <c r="F67" i="1"/>
  <c r="E67" i="1"/>
  <c r="D67" i="1"/>
  <c r="C67" i="1"/>
  <c r="A67" i="1"/>
  <c r="X66" i="1"/>
  <c r="B66" i="1" s="1"/>
  <c r="W66" i="1"/>
  <c r="N66" i="1"/>
  <c r="K66" i="1"/>
  <c r="I66" i="1"/>
  <c r="H66" i="1"/>
  <c r="G66" i="1"/>
  <c r="F66" i="1"/>
  <c r="E66" i="1"/>
  <c r="D66" i="1"/>
  <c r="C66" i="1"/>
  <c r="A66" i="1"/>
  <c r="X65" i="1"/>
  <c r="B65" i="1" s="1"/>
  <c r="W65" i="1"/>
  <c r="N65" i="1"/>
  <c r="K65" i="1"/>
  <c r="I65" i="1"/>
  <c r="H65" i="1"/>
  <c r="G65" i="1"/>
  <c r="F65" i="1"/>
  <c r="E65" i="1"/>
  <c r="D65" i="1"/>
  <c r="C65" i="1"/>
  <c r="A65" i="1"/>
  <c r="X64" i="1"/>
  <c r="B64" i="1" s="1"/>
  <c r="W64" i="1"/>
  <c r="N64" i="1"/>
  <c r="K64" i="1"/>
  <c r="I64" i="1"/>
  <c r="H64" i="1"/>
  <c r="G64" i="1"/>
  <c r="F64" i="1"/>
  <c r="E64" i="1"/>
  <c r="D64" i="1"/>
  <c r="C64" i="1"/>
  <c r="A64" i="1"/>
  <c r="X63" i="1"/>
  <c r="B63" i="1" s="1"/>
  <c r="W63" i="1"/>
  <c r="N63" i="1"/>
  <c r="K63" i="1"/>
  <c r="I63" i="1"/>
  <c r="H63" i="1"/>
  <c r="G63" i="1"/>
  <c r="F63" i="1"/>
  <c r="E63" i="1"/>
  <c r="D63" i="1"/>
  <c r="C63" i="1"/>
  <c r="A63" i="1"/>
  <c r="X62" i="1"/>
  <c r="B62" i="1" s="1"/>
  <c r="W62" i="1"/>
  <c r="N62" i="1"/>
  <c r="K62" i="1"/>
  <c r="I62" i="1"/>
  <c r="H62" i="1"/>
  <c r="G62" i="1"/>
  <c r="F62" i="1"/>
  <c r="E62" i="1"/>
  <c r="D62" i="1"/>
  <c r="C62" i="1"/>
  <c r="A62" i="1"/>
  <c r="X61" i="1"/>
  <c r="B61" i="1" s="1"/>
  <c r="W61" i="1"/>
  <c r="N61" i="1"/>
  <c r="K61" i="1"/>
  <c r="I61" i="1"/>
  <c r="H61" i="1"/>
  <c r="G61" i="1"/>
  <c r="F61" i="1"/>
  <c r="E61" i="1"/>
  <c r="D61" i="1"/>
  <c r="C61" i="1"/>
  <c r="A61" i="1"/>
  <c r="X60" i="1"/>
  <c r="B60" i="1" s="1"/>
  <c r="W60" i="1"/>
  <c r="N60" i="1"/>
  <c r="K60" i="1"/>
  <c r="I60" i="1"/>
  <c r="H60" i="1"/>
  <c r="G60" i="1"/>
  <c r="F60" i="1"/>
  <c r="E60" i="1"/>
  <c r="D60" i="1"/>
  <c r="C60" i="1"/>
  <c r="A60" i="1"/>
  <c r="X59" i="1"/>
  <c r="B59" i="1" s="1"/>
  <c r="W59" i="1"/>
  <c r="N59" i="1"/>
  <c r="K59" i="1"/>
  <c r="I59" i="1"/>
  <c r="H59" i="1"/>
  <c r="G59" i="1"/>
  <c r="F59" i="1"/>
  <c r="E59" i="1"/>
  <c r="D59" i="1"/>
  <c r="C59" i="1"/>
  <c r="A59" i="1"/>
  <c r="X58" i="1"/>
  <c r="B58" i="1" s="1"/>
  <c r="W58" i="1"/>
  <c r="N58" i="1"/>
  <c r="K58" i="1"/>
  <c r="I58" i="1"/>
  <c r="H58" i="1"/>
  <c r="G58" i="1"/>
  <c r="F58" i="1"/>
  <c r="E58" i="1"/>
  <c r="D58" i="1"/>
  <c r="C58" i="1"/>
  <c r="A58" i="1"/>
  <c r="X57" i="1"/>
  <c r="B57" i="1" s="1"/>
  <c r="W57" i="1"/>
  <c r="N57" i="1"/>
  <c r="K57" i="1"/>
  <c r="I57" i="1"/>
  <c r="H57" i="1"/>
  <c r="G57" i="1"/>
  <c r="F57" i="1"/>
  <c r="E57" i="1"/>
  <c r="D57" i="1"/>
  <c r="C57" i="1"/>
  <c r="A57" i="1"/>
  <c r="X56" i="1"/>
  <c r="B56" i="1" s="1"/>
  <c r="W56" i="1"/>
  <c r="N56" i="1"/>
  <c r="K56" i="1"/>
  <c r="I56" i="1"/>
  <c r="H56" i="1"/>
  <c r="G56" i="1"/>
  <c r="F56" i="1"/>
  <c r="E56" i="1"/>
  <c r="D56" i="1"/>
  <c r="C56" i="1"/>
  <c r="A56" i="1"/>
  <c r="X55" i="1"/>
  <c r="B55" i="1" s="1"/>
  <c r="W55" i="1"/>
  <c r="N55" i="1"/>
  <c r="K55" i="1"/>
  <c r="I55" i="1"/>
  <c r="H55" i="1"/>
  <c r="G55" i="1"/>
  <c r="F55" i="1"/>
  <c r="E55" i="1"/>
  <c r="D55" i="1"/>
  <c r="C55" i="1"/>
  <c r="A55" i="1"/>
  <c r="X54" i="1"/>
  <c r="B54" i="1" s="1"/>
  <c r="W54" i="1"/>
  <c r="N54" i="1"/>
  <c r="K54" i="1"/>
  <c r="I54" i="1"/>
  <c r="H54" i="1"/>
  <c r="G54" i="1"/>
  <c r="F54" i="1"/>
  <c r="E54" i="1"/>
  <c r="D54" i="1"/>
  <c r="C54" i="1"/>
  <c r="A54" i="1"/>
  <c r="X53" i="1"/>
  <c r="B53" i="1" s="1"/>
  <c r="W53" i="1"/>
  <c r="N53" i="1"/>
  <c r="K53" i="1"/>
  <c r="I53" i="1"/>
  <c r="H53" i="1"/>
  <c r="G53" i="1"/>
  <c r="F53" i="1"/>
  <c r="E53" i="1"/>
  <c r="D53" i="1"/>
  <c r="C53" i="1"/>
  <c r="A53" i="1"/>
  <c r="X52" i="1"/>
  <c r="B52" i="1" s="1"/>
  <c r="W52" i="1"/>
  <c r="N52" i="1"/>
  <c r="K52" i="1"/>
  <c r="I52" i="1"/>
  <c r="H52" i="1"/>
  <c r="G52" i="1"/>
  <c r="F52" i="1"/>
  <c r="E52" i="1"/>
  <c r="D52" i="1"/>
  <c r="C52" i="1"/>
  <c r="A52" i="1"/>
  <c r="X51" i="1"/>
  <c r="B51" i="1" s="1"/>
  <c r="W51" i="1"/>
  <c r="N51" i="1"/>
  <c r="K51" i="1"/>
  <c r="I51" i="1"/>
  <c r="H51" i="1"/>
  <c r="G51" i="1"/>
  <c r="F51" i="1"/>
  <c r="E51" i="1"/>
  <c r="D51" i="1"/>
  <c r="C51" i="1"/>
  <c r="A51" i="1"/>
  <c r="X50" i="1"/>
  <c r="B50" i="1" s="1"/>
  <c r="W50" i="1"/>
  <c r="N50" i="1"/>
  <c r="K50" i="1"/>
  <c r="I50" i="1"/>
  <c r="H50" i="1"/>
  <c r="G50" i="1"/>
  <c r="F50" i="1"/>
  <c r="E50" i="1"/>
  <c r="D50" i="1"/>
  <c r="C50" i="1"/>
  <c r="A50" i="1"/>
  <c r="X49" i="1"/>
  <c r="B49" i="1" s="1"/>
  <c r="W49" i="1"/>
  <c r="N49" i="1"/>
  <c r="K49" i="1"/>
  <c r="I49" i="1"/>
  <c r="H49" i="1"/>
  <c r="G49" i="1"/>
  <c r="F49" i="1"/>
  <c r="E49" i="1"/>
  <c r="D49" i="1"/>
  <c r="C49" i="1"/>
  <c r="A49" i="1"/>
  <c r="X48" i="1"/>
  <c r="B48" i="1" s="1"/>
  <c r="W48" i="1"/>
  <c r="N48" i="1"/>
  <c r="K48" i="1"/>
  <c r="I48" i="1"/>
  <c r="H48" i="1"/>
  <c r="G48" i="1"/>
  <c r="F48" i="1"/>
  <c r="E48" i="1"/>
  <c r="D48" i="1"/>
  <c r="C48" i="1"/>
  <c r="A48" i="1"/>
  <c r="X47" i="1"/>
  <c r="B47" i="1" s="1"/>
  <c r="W47" i="1"/>
  <c r="N47" i="1"/>
  <c r="K47" i="1"/>
  <c r="I47" i="1"/>
  <c r="H47" i="1"/>
  <c r="G47" i="1"/>
  <c r="F47" i="1"/>
  <c r="E47" i="1"/>
  <c r="D47" i="1"/>
  <c r="C47" i="1"/>
  <c r="A47" i="1"/>
  <c r="X46" i="1"/>
  <c r="B46" i="1" s="1"/>
  <c r="W46" i="1"/>
  <c r="N46" i="1"/>
  <c r="K46" i="1"/>
  <c r="I46" i="1"/>
  <c r="H46" i="1"/>
  <c r="G46" i="1"/>
  <c r="F46" i="1"/>
  <c r="E46" i="1"/>
  <c r="D46" i="1"/>
  <c r="C46" i="1"/>
  <c r="A46" i="1"/>
  <c r="X45" i="1"/>
  <c r="B45" i="1" s="1"/>
  <c r="W45" i="1"/>
  <c r="N45" i="1"/>
  <c r="K45" i="1"/>
  <c r="I45" i="1"/>
  <c r="H45" i="1"/>
  <c r="G45" i="1"/>
  <c r="F45" i="1"/>
  <c r="E45" i="1"/>
  <c r="D45" i="1"/>
  <c r="C45" i="1"/>
  <c r="A45" i="1"/>
  <c r="X44" i="1"/>
  <c r="B44" i="1" s="1"/>
  <c r="W44" i="1"/>
  <c r="N44" i="1"/>
  <c r="K44" i="1"/>
  <c r="I44" i="1"/>
  <c r="H44" i="1"/>
  <c r="G44" i="1"/>
  <c r="F44" i="1"/>
  <c r="E44" i="1"/>
  <c r="D44" i="1"/>
  <c r="C44" i="1"/>
  <c r="A44" i="1"/>
  <c r="X43" i="1"/>
  <c r="B43" i="1" s="1"/>
  <c r="W43" i="1"/>
  <c r="N43" i="1"/>
  <c r="K43" i="1"/>
  <c r="I43" i="1"/>
  <c r="H43" i="1"/>
  <c r="G43" i="1"/>
  <c r="F43" i="1"/>
  <c r="E43" i="1"/>
  <c r="D43" i="1"/>
  <c r="C43" i="1"/>
  <c r="A43" i="1"/>
  <c r="X42" i="1"/>
  <c r="B42" i="1" s="1"/>
  <c r="W42" i="1"/>
  <c r="N42" i="1"/>
  <c r="K42" i="1"/>
  <c r="I42" i="1"/>
  <c r="H42" i="1"/>
  <c r="G42" i="1"/>
  <c r="F42" i="1"/>
  <c r="E42" i="1"/>
  <c r="D42" i="1"/>
  <c r="C42" i="1"/>
  <c r="A42" i="1"/>
  <c r="X41" i="1"/>
  <c r="B41" i="1" s="1"/>
  <c r="W41" i="1"/>
  <c r="N41" i="1"/>
  <c r="K41" i="1"/>
  <c r="I41" i="1"/>
  <c r="H41" i="1"/>
  <c r="G41" i="1"/>
  <c r="F41" i="1"/>
  <c r="E41" i="1"/>
  <c r="D41" i="1"/>
  <c r="C41" i="1"/>
  <c r="A41" i="1"/>
  <c r="X40" i="1"/>
  <c r="B40" i="1" s="1"/>
  <c r="W40" i="1"/>
  <c r="N40" i="1"/>
  <c r="K40" i="1"/>
  <c r="I40" i="1"/>
  <c r="H40" i="1"/>
  <c r="G40" i="1"/>
  <c r="F40" i="1"/>
  <c r="E40" i="1"/>
  <c r="D40" i="1"/>
  <c r="C40" i="1"/>
  <c r="A40" i="1"/>
  <c r="X39" i="1"/>
  <c r="B39" i="1" s="1"/>
  <c r="W39" i="1"/>
  <c r="N39" i="1"/>
  <c r="K39" i="1"/>
  <c r="I39" i="1"/>
  <c r="H39" i="1"/>
  <c r="G39" i="1"/>
  <c r="F39" i="1"/>
  <c r="E39" i="1"/>
  <c r="D39" i="1"/>
  <c r="C39" i="1"/>
  <c r="A39" i="1"/>
  <c r="X38" i="1"/>
  <c r="B38" i="1" s="1"/>
  <c r="W38" i="1"/>
  <c r="N38" i="1"/>
  <c r="K38" i="1"/>
  <c r="I38" i="1"/>
  <c r="H38" i="1"/>
  <c r="G38" i="1"/>
  <c r="F38" i="1"/>
  <c r="E38" i="1"/>
  <c r="D38" i="1"/>
  <c r="C38" i="1"/>
  <c r="A38" i="1"/>
  <c r="X37" i="1"/>
  <c r="B37" i="1" s="1"/>
  <c r="W37" i="1"/>
  <c r="N37" i="1"/>
  <c r="K37" i="1"/>
  <c r="I37" i="1"/>
  <c r="H37" i="1"/>
  <c r="G37" i="1"/>
  <c r="F37" i="1"/>
  <c r="E37" i="1"/>
  <c r="D37" i="1"/>
  <c r="C37" i="1"/>
  <c r="A37" i="1"/>
  <c r="X36" i="1"/>
  <c r="B36" i="1" s="1"/>
  <c r="W36" i="1"/>
  <c r="N36" i="1"/>
  <c r="K36" i="1"/>
  <c r="I36" i="1"/>
  <c r="H36" i="1"/>
  <c r="G36" i="1"/>
  <c r="F36" i="1"/>
  <c r="E36" i="1"/>
  <c r="D36" i="1"/>
  <c r="C36" i="1"/>
  <c r="A36" i="1"/>
  <c r="X35" i="1"/>
  <c r="B35" i="1" s="1"/>
  <c r="W35" i="1"/>
  <c r="N35" i="1"/>
  <c r="K35" i="1"/>
  <c r="I35" i="1"/>
  <c r="H35" i="1"/>
  <c r="G35" i="1"/>
  <c r="F35" i="1"/>
  <c r="E35" i="1"/>
  <c r="D35" i="1"/>
  <c r="C35" i="1"/>
  <c r="A35" i="1"/>
  <c r="X34" i="1"/>
  <c r="B34" i="1" s="1"/>
  <c r="W34" i="1"/>
  <c r="N34" i="1"/>
  <c r="K34" i="1"/>
  <c r="I34" i="1"/>
  <c r="H34" i="1"/>
  <c r="G34" i="1"/>
  <c r="F34" i="1"/>
  <c r="E34" i="1"/>
  <c r="D34" i="1"/>
  <c r="C34" i="1"/>
  <c r="A34" i="1"/>
  <c r="X33" i="1"/>
  <c r="B33" i="1" s="1"/>
  <c r="W33" i="1"/>
  <c r="N33" i="1"/>
  <c r="K33" i="1"/>
  <c r="I33" i="1"/>
  <c r="H33" i="1"/>
  <c r="G33" i="1"/>
  <c r="F33" i="1"/>
  <c r="E33" i="1"/>
  <c r="D33" i="1"/>
  <c r="C33" i="1"/>
  <c r="A33" i="1"/>
  <c r="X32" i="1"/>
  <c r="B32" i="1" s="1"/>
  <c r="W32" i="1"/>
  <c r="N32" i="1"/>
  <c r="K32" i="1"/>
  <c r="I32" i="1"/>
  <c r="H32" i="1"/>
  <c r="G32" i="1"/>
  <c r="F32" i="1"/>
  <c r="E32" i="1"/>
  <c r="D32" i="1"/>
  <c r="C32" i="1"/>
  <c r="A32" i="1"/>
  <c r="X31" i="1"/>
  <c r="B31" i="1" s="1"/>
  <c r="W31" i="1"/>
  <c r="N31" i="1"/>
  <c r="K31" i="1"/>
  <c r="I31" i="1"/>
  <c r="H31" i="1"/>
  <c r="G31" i="1"/>
  <c r="F31" i="1"/>
  <c r="E31" i="1"/>
  <c r="D31" i="1"/>
  <c r="C31" i="1"/>
  <c r="A31" i="1"/>
  <c r="X30" i="1"/>
  <c r="B30" i="1" s="1"/>
  <c r="W30" i="1"/>
  <c r="N30" i="1"/>
  <c r="K30" i="1"/>
  <c r="I30" i="1"/>
  <c r="H30" i="1"/>
  <c r="G30" i="1"/>
  <c r="F30" i="1"/>
  <c r="E30" i="1"/>
  <c r="D30" i="1"/>
  <c r="C30" i="1"/>
  <c r="A30" i="1"/>
  <c r="X29" i="1"/>
  <c r="B29" i="1" s="1"/>
  <c r="W29" i="1"/>
  <c r="N29" i="1"/>
  <c r="K29" i="1"/>
  <c r="I29" i="1"/>
  <c r="H29" i="1"/>
  <c r="G29" i="1"/>
  <c r="F29" i="1"/>
  <c r="E29" i="1"/>
  <c r="D29" i="1"/>
  <c r="C29" i="1"/>
  <c r="A29" i="1"/>
  <c r="X28" i="1"/>
  <c r="B28" i="1" s="1"/>
  <c r="W28" i="1"/>
  <c r="N28" i="1"/>
  <c r="K28" i="1"/>
  <c r="I28" i="1"/>
  <c r="H28" i="1"/>
  <c r="G28" i="1"/>
  <c r="F28" i="1"/>
  <c r="E28" i="1"/>
  <c r="D28" i="1"/>
  <c r="C28" i="1"/>
  <c r="A28" i="1"/>
  <c r="X27" i="1"/>
  <c r="B27" i="1" s="1"/>
  <c r="W27" i="1"/>
  <c r="N27" i="1"/>
  <c r="K27" i="1"/>
  <c r="I27" i="1"/>
  <c r="H27" i="1"/>
  <c r="G27" i="1"/>
  <c r="F27" i="1"/>
  <c r="E27" i="1"/>
  <c r="D27" i="1"/>
  <c r="C27" i="1"/>
  <c r="A27" i="1"/>
  <c r="X26" i="1"/>
  <c r="B26" i="1" s="1"/>
  <c r="W26" i="1"/>
  <c r="N26" i="1"/>
  <c r="K26" i="1"/>
  <c r="I26" i="1"/>
  <c r="H26" i="1"/>
  <c r="G26" i="1"/>
  <c r="F26" i="1"/>
  <c r="E26" i="1"/>
  <c r="D26" i="1"/>
  <c r="C26" i="1"/>
  <c r="A26" i="1"/>
  <c r="X25" i="1"/>
  <c r="B25" i="1" s="1"/>
  <c r="W25" i="1"/>
  <c r="N25" i="1"/>
  <c r="K25" i="1"/>
  <c r="I25" i="1"/>
  <c r="H25" i="1"/>
  <c r="G25" i="1"/>
  <c r="F25" i="1"/>
  <c r="E25" i="1"/>
  <c r="D25" i="1"/>
  <c r="C25" i="1"/>
  <c r="A25" i="1"/>
  <c r="X24" i="1"/>
  <c r="B24" i="1" s="1"/>
  <c r="W24" i="1"/>
  <c r="N24" i="1"/>
  <c r="K24" i="1"/>
  <c r="I24" i="1"/>
  <c r="H24" i="1"/>
  <c r="G24" i="1"/>
  <c r="F24" i="1"/>
  <c r="E24" i="1"/>
  <c r="D24" i="1"/>
  <c r="C24" i="1"/>
  <c r="A24" i="1"/>
  <c r="X23" i="1"/>
  <c r="B23" i="1" s="1"/>
  <c r="W23" i="1"/>
  <c r="N23" i="1"/>
  <c r="K23" i="1"/>
  <c r="I23" i="1"/>
  <c r="H23" i="1"/>
  <c r="G23" i="1"/>
  <c r="F23" i="1"/>
  <c r="E23" i="1"/>
  <c r="D23" i="1"/>
  <c r="C23" i="1"/>
  <c r="A23" i="1"/>
  <c r="X22" i="1"/>
  <c r="B22" i="1" s="1"/>
  <c r="W22" i="1"/>
  <c r="V22" i="1"/>
  <c r="V1023" i="1" s="1"/>
  <c r="U22" i="1"/>
  <c r="U1023" i="1" s="1"/>
  <c r="T22" i="1"/>
  <c r="T1023" i="1" s="1"/>
  <c r="S22" i="1"/>
  <c r="S1023" i="1" s="1"/>
  <c r="R22" i="1"/>
  <c r="Q22" i="1"/>
  <c r="P22" i="1"/>
  <c r="O22" i="1"/>
  <c r="N22" i="1"/>
  <c r="M22" i="1"/>
  <c r="L22" i="1"/>
  <c r="K22" i="1"/>
  <c r="I22" i="1"/>
  <c r="H22" i="1"/>
  <c r="G22" i="1"/>
  <c r="F22" i="1"/>
  <c r="E22" i="1"/>
  <c r="D22" i="1"/>
  <c r="C22" i="1"/>
  <c r="A22" i="1"/>
  <c r="H1025" i="5" l="1"/>
  <c r="Q45" i="7"/>
  <c r="V56" i="6"/>
  <c r="V45" i="7"/>
  <c r="F45" i="7"/>
  <c r="H45" i="7"/>
  <c r="N56" i="6"/>
  <c r="O1025" i="5"/>
  <c r="P1025" i="5"/>
  <c r="P56" i="6"/>
  <c r="N1024" i="3"/>
  <c r="N1025" i="5"/>
  <c r="R1023" i="1"/>
  <c r="P1024" i="3"/>
  <c r="M1025" i="2"/>
  <c r="M1023" i="1"/>
  <c r="R1025" i="2"/>
  <c r="K1025" i="5"/>
  <c r="G1023" i="1"/>
  <c r="K1023" i="1"/>
  <c r="W1023" i="1"/>
  <c r="P1025" i="2"/>
  <c r="N1023" i="1"/>
  <c r="Q1023" i="1"/>
  <c r="L1025" i="2"/>
  <c r="O1024" i="3"/>
  <c r="O1023" i="1"/>
  <c r="I1025" i="2"/>
  <c r="P1023" i="1"/>
  <c r="F56" i="6"/>
  <c r="H56" i="6"/>
  <c r="N1025" i="2"/>
  <c r="G1024" i="3"/>
  <c r="L1023" i="1"/>
  <c r="O1025" i="2"/>
  <c r="W1025" i="2"/>
  <c r="I1024" i="3"/>
  <c r="M1024" i="3"/>
  <c r="F1025" i="5"/>
  <c r="Q1024" i="3"/>
  <c r="L1025" i="5"/>
  <c r="G1025" i="2"/>
  <c r="M1025" i="5"/>
  <c r="I1023" i="1"/>
  <c r="V1025" i="5"/>
  <c r="K1025" i="2"/>
  <c r="R1024" i="3"/>
  <c r="Q1025" i="2"/>
  <c r="W1024" i="3"/>
  <c r="Q1025" i="5"/>
</calcChain>
</file>

<file path=xl/sharedStrings.xml><?xml version="1.0" encoding="utf-8"?>
<sst xmlns="http://schemas.openxmlformats.org/spreadsheetml/2006/main" count="1237" uniqueCount="49">
  <si>
    <t>AGOSTO</t>
  </si>
  <si>
    <t>Año 2024</t>
  </si>
  <si>
    <t>Fondos Sectoriales</t>
  </si>
  <si>
    <t>Fondos Ley 21.288</t>
  </si>
  <si>
    <t>División de Municipalidades</t>
  </si>
  <si>
    <t>Artículo 14.15 Nómina Proyectos Inversión</t>
  </si>
  <si>
    <t>Requerimiento:</t>
  </si>
  <si>
    <t>Los Ministerios de Obras Públicas, Vivienda y Urbanismo, Salud, Educación, la Subsecretaría de Desarrollo Regional y Administrativo y los gobiernos regionales informarán, a más tardar en el mes de enero de 2024, una nómina con los proyectos de inversión identificados de acuerdo con lo establecido en el artículo 19 bis del decreto ley N° 1.263, de 1975, incluidos en esta ley. Esa nómina contendrá el nombre, localización por comuna y región, estado, fecha de ejecución e inversión estimada total y de cada una de las etapas que conforman el proyecto, y precisará, específicamente, las obras y recursos que se ejecutarán durante el año 2024. Deberán distinguirse aquellos financiados con fondos sectoriales de los financiados con cargo a los recursos contemplados en la ley N° 21.288. Asimismo, a partir de febrero de 2024, deberán enviar mensualmente un informe de actualización que contenga, respecto de cada uno de ellos, su estado de avance y la inversión materializada durante el año 2024.</t>
  </si>
  <si>
    <t>Periodicidad</t>
  </si>
  <si>
    <t>Enero y Mensual</t>
  </si>
  <si>
    <t>REGIÓN</t>
  </si>
  <si>
    <t>COMUNA</t>
  </si>
  <si>
    <t>PROYECTO</t>
  </si>
  <si>
    <t>CÓDIGO DEL PROYECTO</t>
  </si>
  <si>
    <t>ESTADO</t>
  </si>
  <si>
    <t>FECHA EJECUCIÓN</t>
  </si>
  <si>
    <t>INVERSIÓN ESTIMADA TOTAL</t>
  </si>
  <si>
    <t>ETAPAS DEL PROYECTO</t>
  </si>
  <si>
    <t>EJECUCIÓN 2024</t>
  </si>
  <si>
    <t>FINANCIAMIENTO</t>
  </si>
  <si>
    <t>TRANSFERENCIA 2024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</si>
  <si>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</si>
  <si>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</si>
  <si>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</si>
  <si>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</si>
  <si>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</si>
  <si>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</si>
  <si>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</si>
  <si>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</si>
  <si>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</si>
  <si>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</si>
  <si>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</si>
  <si>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TOTAL</t>
  </si>
  <si>
    <t>TOTALES</t>
  </si>
  <si>
    <t>NOTA:  se entiende por fecha de ejecución la fecha de aprobación de la iniciativa</t>
  </si>
  <si>
    <t>REGIÓN DE ATACAMA</t>
  </si>
  <si>
    <t>CHAÑARAL</t>
  </si>
  <si>
    <t>REPOSICION EDIFICIO CONSISTORIAL, CHAÑARAL</t>
  </si>
  <si>
    <t>Terminado</t>
  </si>
  <si>
    <t>NOTA: En el periodo consultado no se han efectuado transferencias.</t>
  </si>
  <si>
    <r>
      <rPr>
        <b/>
        <sz val="10"/>
        <color theme="1"/>
        <rFont val="Verdana"/>
      </rPr>
      <t>NOTA</t>
    </r>
    <r>
      <rPr>
        <sz val="10"/>
        <color theme="1"/>
        <rFont val="Verdana"/>
      </rPr>
      <t>: En el periodo consultado no se han efectuado transferencias.</t>
    </r>
  </si>
  <si>
    <t>05.05.03.24.03.406 - Programa de Tenencia Responsable de Animales de Compañía</t>
  </si>
  <si>
    <t>05.05.03.33.03.005 - Programa de Mejoramiento Urbano y Equipamiento Comunal</t>
  </si>
  <si>
    <t>05.05.03.33.03.006 - Programa Mejoramiento de Barrios</t>
  </si>
  <si>
    <t>05.05.03.33.03.100 - Fondo Recuperación de Ciudades</t>
  </si>
  <si>
    <t>05.05.03.33.03.111 - Programa Revitalización de Barrios e Infraestructura Patrimonial Emblemática</t>
  </si>
  <si>
    <t>05.05.03.33.03.112 - Programa Recuperación Espacios de Alto Valor Social</t>
  </si>
  <si>
    <t>05.05.03.32.04.002 - Préstamos de Fomento</t>
  </si>
  <si>
    <t>Fondos Sectoriales - Ley de Presupuestos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</si>
</sst>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d/mm/yyyy"/>
    <numFmt numFmtId="165" formatCode="d/m/yyyy"/>
    <numFmt numFmtId="166" formatCode="#,##0;\(#,##0\)"/>
  </numFmts>
  <fonts count="14" x14ac:knownFonts="1">
    <font>
      <sz val="11"/>
      <color theme="1"/>
      <name val="Calibri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color theme="0"/>
      <name val="Verdana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9"/>
      <color rgb="FF000000"/>
      <name val="&quot;Google Sans Mono&quot;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5FFFF"/>
        <bgColor rgb="FFD5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164" fontId="5" fillId="0" borderId="0" xfId="0" applyNumberFormat="1" applyFont="1"/>
    <xf numFmtId="10" fontId="6" fillId="0" borderId="0" xfId="0" applyNumberFormat="1" applyFont="1"/>
    <xf numFmtId="0" fontId="7" fillId="0" borderId="0" xfId="0" applyFont="1"/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0" fontId="2" fillId="3" borderId="13" xfId="0" applyNumberFormat="1" applyFont="1" applyFill="1" applyBorder="1" applyAlignment="1">
      <alignment horizontal="center" vertical="center" wrapText="1"/>
    </xf>
    <xf numFmtId="41" fontId="2" fillId="3" borderId="13" xfId="0" applyNumberFormat="1" applyFont="1" applyFill="1" applyBorder="1" applyAlignment="1">
      <alignment horizontal="center" vertical="center" wrapText="1"/>
    </xf>
    <xf numFmtId="41" fontId="1" fillId="2" borderId="13" xfId="0" applyNumberFormat="1" applyFont="1" applyFill="1" applyBorder="1"/>
    <xf numFmtId="164" fontId="1" fillId="2" borderId="13" xfId="0" applyNumberFormat="1" applyFont="1" applyFill="1" applyBorder="1"/>
    <xf numFmtId="3" fontId="8" fillId="4" borderId="0" xfId="0" applyNumberFormat="1" applyFont="1" applyFill="1"/>
    <xf numFmtId="0" fontId="1" fillId="2" borderId="13" xfId="0" applyFont="1" applyFill="1" applyBorder="1"/>
    <xf numFmtId="41" fontId="2" fillId="2" borderId="13" xfId="0" applyNumberFormat="1" applyFont="1" applyFill="1" applyBorder="1"/>
    <xf numFmtId="3" fontId="1" fillId="2" borderId="13" xfId="0" applyNumberFormat="1" applyFont="1" applyFill="1" applyBorder="1"/>
    <xf numFmtId="10" fontId="1" fillId="2" borderId="13" xfId="0" applyNumberFormat="1" applyFont="1" applyFill="1" applyBorder="1"/>
    <xf numFmtId="41" fontId="1" fillId="2" borderId="0" xfId="0" applyNumberFormat="1" applyFont="1" applyFill="1"/>
    <xf numFmtId="164" fontId="9" fillId="4" borderId="0" xfId="0" applyNumberFormat="1" applyFont="1" applyFill="1" applyAlignment="1">
      <alignment wrapText="1"/>
    </xf>
    <xf numFmtId="10" fontId="1" fillId="2" borderId="0" xfId="0" applyNumberFormat="1" applyFont="1" applyFill="1"/>
    <xf numFmtId="0" fontId="1" fillId="2" borderId="0" xfId="0" applyFont="1" applyFill="1"/>
    <xf numFmtId="41" fontId="2" fillId="2" borderId="0" xfId="0" applyNumberFormat="1" applyFont="1" applyFill="1"/>
    <xf numFmtId="41" fontId="2" fillId="5" borderId="0" xfId="0" applyNumberFormat="1" applyFont="1" applyFill="1" applyAlignment="1">
      <alignment vertical="center"/>
    </xf>
    <xf numFmtId="164" fontId="10" fillId="5" borderId="0" xfId="0" applyNumberFormat="1" applyFont="1" applyFill="1" applyAlignment="1">
      <alignment vertical="center" wrapText="1"/>
    </xf>
    <xf numFmtId="10" fontId="2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1" fillId="2" borderId="1" xfId="0" applyNumberFormat="1" applyFont="1" applyFill="1" applyBorder="1"/>
    <xf numFmtId="165" fontId="1" fillId="2" borderId="1" xfId="0" applyNumberFormat="1" applyFont="1" applyFill="1" applyBorder="1"/>
    <xf numFmtId="17" fontId="2" fillId="2" borderId="1" xfId="0" applyNumberFormat="1" applyFont="1" applyFill="1" applyBorder="1" applyAlignment="1">
      <alignment vertical="center"/>
    </xf>
    <xf numFmtId="165" fontId="5" fillId="0" borderId="0" xfId="0" applyNumberFormat="1" applyFont="1"/>
    <xf numFmtId="165" fontId="2" fillId="3" borderId="13" xfId="0" applyNumberFormat="1" applyFont="1" applyFill="1" applyBorder="1" applyAlignment="1">
      <alignment horizontal="center" vertical="center" wrapText="1"/>
    </xf>
    <xf numFmtId="10" fontId="2" fillId="3" borderId="14" xfId="0" applyNumberFormat="1" applyFont="1" applyFill="1" applyBorder="1" applyAlignment="1">
      <alignment horizontal="center" vertical="center" wrapText="1"/>
    </xf>
    <xf numFmtId="10" fontId="2" fillId="3" borderId="15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/>
    <xf numFmtId="165" fontId="1" fillId="2" borderId="13" xfId="0" applyNumberFormat="1" applyFont="1" applyFill="1" applyBorder="1"/>
    <xf numFmtId="0" fontId="8" fillId="4" borderId="0" xfId="0" applyFont="1" applyFill="1"/>
    <xf numFmtId="0" fontId="6" fillId="0" borderId="0" xfId="0" applyFont="1"/>
    <xf numFmtId="49" fontId="1" fillId="2" borderId="0" xfId="0" applyNumberFormat="1" applyFont="1" applyFill="1"/>
    <xf numFmtId="165" fontId="1" fillId="2" borderId="0" xfId="0" applyNumberFormat="1" applyFont="1" applyFill="1"/>
    <xf numFmtId="49" fontId="1" fillId="2" borderId="1" xfId="0" applyNumberFormat="1" applyFont="1" applyFill="1" applyBorder="1"/>
    <xf numFmtId="49" fontId="2" fillId="2" borderId="1" xfId="0" applyNumberFormat="1" applyFont="1" applyFill="1" applyBorder="1"/>
    <xf numFmtId="49" fontId="6" fillId="0" borderId="0" xfId="0" applyNumberFormat="1" applyFont="1"/>
    <xf numFmtId="0" fontId="11" fillId="0" borderId="0" xfId="0" applyFont="1"/>
    <xf numFmtId="41" fontId="5" fillId="0" borderId="13" xfId="0" applyNumberFormat="1" applyFont="1" applyBorder="1"/>
    <xf numFmtId="41" fontId="5" fillId="0" borderId="0" xfId="0" applyNumberFormat="1" applyFont="1"/>
    <xf numFmtId="3" fontId="1" fillId="2" borderId="1" xfId="0" applyNumberFormat="1" applyFont="1" applyFill="1" applyBorder="1"/>
    <xf numFmtId="3" fontId="2" fillId="2" borderId="1" xfId="0" applyNumberFormat="1" applyFont="1" applyFill="1" applyBorder="1"/>
    <xf numFmtId="164" fontId="6" fillId="0" borderId="0" xfId="0" applyNumberFormat="1" applyFont="1"/>
    <xf numFmtId="3" fontId="6" fillId="0" borderId="0" xfId="0" applyNumberFormat="1" applyFont="1"/>
    <xf numFmtId="3" fontId="11" fillId="0" borderId="0" xfId="0" applyNumberFormat="1" applyFont="1"/>
    <xf numFmtId="3" fontId="2" fillId="3" borderId="13" xfId="0" applyNumberFormat="1" applyFont="1" applyFill="1" applyBorder="1" applyAlignment="1">
      <alignment horizontal="center" vertical="center" wrapText="1"/>
    </xf>
    <xf numFmtId="41" fontId="8" fillId="4" borderId="0" xfId="0" applyNumberFormat="1" applyFont="1" applyFill="1"/>
    <xf numFmtId="3" fontId="2" fillId="2" borderId="13" xfId="0" applyNumberFormat="1" applyFont="1" applyFill="1" applyBorder="1"/>
    <xf numFmtId="164" fontId="1" fillId="2" borderId="0" xfId="0" applyNumberFormat="1" applyFont="1" applyFill="1"/>
    <xf numFmtId="3" fontId="1" fillId="2" borderId="0" xfId="0" applyNumberFormat="1" applyFont="1" applyFill="1"/>
    <xf numFmtId="3" fontId="2" fillId="2" borderId="0" xfId="0" applyNumberFormat="1" applyFont="1" applyFill="1"/>
    <xf numFmtId="166" fontId="2" fillId="5" borderId="0" xfId="0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166" fontId="11" fillId="5" borderId="0" xfId="0" applyNumberFormat="1" applyFont="1" applyFill="1" applyAlignment="1">
      <alignment vertical="center"/>
    </xf>
    <xf numFmtId="166" fontId="11" fillId="0" borderId="0" xfId="0" applyNumberFormat="1" applyFont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164" fontId="1" fillId="2" borderId="13" xfId="0" applyNumberFormat="1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41" fontId="1" fillId="2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41" fontId="2" fillId="2" borderId="13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1" fontId="1" fillId="2" borderId="13" xfId="0" applyNumberFormat="1" applyFont="1" applyFill="1" applyBorder="1" applyAlignment="1">
      <alignment vertical="center" wrapText="1"/>
    </xf>
    <xf numFmtId="1" fontId="1" fillId="2" borderId="13" xfId="0" applyNumberFormat="1" applyFont="1" applyFill="1" applyBorder="1" applyAlignment="1">
      <alignment vertical="center"/>
    </xf>
    <xf numFmtId="41" fontId="2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3" fontId="5" fillId="0" borderId="0" xfId="0" applyNumberFormat="1" applyFont="1"/>
    <xf numFmtId="0" fontId="1" fillId="0" borderId="0" xfId="0" applyFont="1" applyAlignment="1">
      <alignment horizontal="left" vertical="center"/>
    </xf>
    <xf numFmtId="166" fontId="6" fillId="0" borderId="0" xfId="0" applyNumberFormat="1" applyFont="1"/>
    <xf numFmtId="0" fontId="12" fillId="2" borderId="1" xfId="0" applyFont="1" applyFill="1" applyBorder="1"/>
    <xf numFmtId="10" fontId="13" fillId="2" borderId="13" xfId="0" applyNumberFormat="1" applyFont="1" applyFill="1" applyBorder="1"/>
    <xf numFmtId="0" fontId="2" fillId="3" borderId="16" xfId="0" applyFont="1" applyFill="1" applyBorder="1" applyAlignment="1">
      <alignment horizontal="center" vertical="center" wrapText="1"/>
    </xf>
    <xf numFmtId="0" fontId="4" fillId="0" borderId="17" xfId="0" applyFont="1" applyBorder="1"/>
    <xf numFmtId="10" fontId="2" fillId="3" borderId="16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1" xfId="0" applyFont="1" applyBorder="1"/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" fillId="3" borderId="2" xfId="0" applyFont="1" applyFill="1" applyBorder="1" applyAlignment="1">
      <alignment horizontal="left" vertical="center" wrapText="1"/>
    </xf>
    <xf numFmtId="0" fontId="4" fillId="0" borderId="4" xfId="0" applyFont="1" applyBorder="1"/>
    <xf numFmtId="0" fontId="0" fillId="0" borderId="0" xfId="0"/>
    <xf numFmtId="0" fontId="4" fillId="0" borderId="9" xfId="0" applyFont="1" applyBorder="1"/>
    <xf numFmtId="0" fontId="2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19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76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257300" cy="9144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4425" cy="1104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885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2005"/>
  <sheetViews>
    <sheetView showGridLines="0" tabSelected="1" zoomScale="70" zoomScaleNormal="70" workbookViewId="0">
      <pane ySplit="22" topLeftCell="A23" activePane="bottomLeft" state="frozen"/>
      <selection pane="bottomLeft" activeCell="A14" sqref="A14:B16"/>
    </sheetView>
  </sheetViews>
  <sheetFormatPr baseColWidth="10" defaultColWidth="14.42578125" defaultRowHeight="15" customHeight="1" x14ac:dyDescent="0.25"/>
  <cols>
    <col min="1" max="1" width="28.5703125" customWidth="1"/>
    <col min="2" max="2" width="50.42578125" customWidth="1"/>
    <col min="3" max="3" width="47" customWidth="1"/>
    <col min="4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22.85546875" customWidth="1"/>
    <col min="10" max="10" width="43" customWidth="1"/>
    <col min="11" max="11" width="17.28515625" customWidth="1"/>
    <col min="12" max="13" width="15.7109375" customWidth="1"/>
    <col min="14" max="14" width="15.5703125" customWidth="1"/>
    <col min="15" max="15" width="19.28515625" customWidth="1"/>
    <col min="16" max="16" width="17.28515625" customWidth="1"/>
    <col min="17" max="17" width="17.42578125" customWidth="1"/>
    <col min="18" max="18" width="16.42578125" customWidth="1"/>
    <col min="19" max="19" width="15.85546875" hidden="1" customWidth="1"/>
    <col min="20" max="20" width="17.28515625" hidden="1" customWidth="1"/>
    <col min="21" max="21" width="15.28515625" hidden="1" customWidth="1"/>
    <col min="22" max="22" width="14.28515625" hidden="1" customWidth="1"/>
    <col min="23" max="23" width="19.28515625" customWidth="1"/>
    <col min="24" max="24" width="10.7109375" hidden="1" customWidth="1"/>
    <col min="25" max="26" width="10.7109375" customWidth="1"/>
  </cols>
  <sheetData>
    <row r="1" spans="1:26" x14ac:dyDescent="0.25">
      <c r="A1" s="1"/>
      <c r="B1" s="1"/>
      <c r="C1" s="1"/>
      <c r="D1" s="46"/>
      <c r="E1" s="1"/>
      <c r="F1" s="1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 x14ac:dyDescent="0.25">
      <c r="A2" s="1"/>
      <c r="B2" s="1"/>
      <c r="C2" s="1"/>
      <c r="D2" s="46"/>
      <c r="E2" s="1"/>
      <c r="F2" s="1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 x14ac:dyDescent="0.25">
      <c r="A3" s="1"/>
      <c r="B3" s="1"/>
      <c r="C3" s="1"/>
      <c r="D3" s="46"/>
      <c r="E3" s="1"/>
      <c r="F3" s="1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 x14ac:dyDescent="0.25">
      <c r="A4" s="1"/>
      <c r="B4" s="1"/>
      <c r="C4" s="1"/>
      <c r="D4" s="46"/>
      <c r="E4" s="1"/>
      <c r="F4" s="1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 x14ac:dyDescent="0.25">
      <c r="A5" s="1"/>
      <c r="B5" s="1"/>
      <c r="C5" s="1"/>
      <c r="D5" s="46"/>
      <c r="E5" s="1"/>
      <c r="F5" s="1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 x14ac:dyDescent="0.25">
      <c r="A6" s="1"/>
      <c r="B6" s="1"/>
      <c r="C6" s="1"/>
      <c r="D6" s="46"/>
      <c r="E6" s="1"/>
      <c r="F6" s="1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 x14ac:dyDescent="0.25">
      <c r="A7" s="1"/>
      <c r="B7" s="1"/>
      <c r="C7" s="1"/>
      <c r="D7" s="46"/>
      <c r="E7" s="1"/>
      <c r="F7" s="1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 x14ac:dyDescent="0.25">
      <c r="A8" s="35" t="str">
        <f>'05.05.03.33.03.005 - PMU'!A7</f>
        <v>AGOSTO</v>
      </c>
      <c r="B8" s="1"/>
      <c r="C8" s="1"/>
      <c r="D8" s="46"/>
      <c r="E8" s="1"/>
      <c r="F8" s="1"/>
      <c r="G8" s="1"/>
      <c r="H8" s="3"/>
      <c r="I8" s="3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 x14ac:dyDescent="0.25">
      <c r="A9" s="6" t="s">
        <v>1</v>
      </c>
      <c r="B9" s="1"/>
      <c r="C9" s="1"/>
      <c r="D9" s="46"/>
      <c r="E9" s="1"/>
      <c r="F9" s="1"/>
      <c r="G9" s="1"/>
      <c r="H9" s="3"/>
      <c r="I9" s="3"/>
      <c r="J9" s="4"/>
      <c r="K9" s="1"/>
      <c r="L9" s="1"/>
      <c r="M9" s="1"/>
      <c r="N9" s="7" t="s">
        <v>2</v>
      </c>
      <c r="O9" s="7" t="s">
        <v>3</v>
      </c>
      <c r="P9" s="7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 x14ac:dyDescent="0.25">
      <c r="A10" s="8" t="s">
        <v>4</v>
      </c>
      <c r="B10" s="1"/>
      <c r="C10" s="1"/>
      <c r="D10" s="46"/>
      <c r="E10" s="1"/>
      <c r="F10" s="1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x14ac:dyDescent="0.25">
      <c r="A11" s="8" t="s">
        <v>5</v>
      </c>
      <c r="B11" s="1"/>
      <c r="C11" s="5"/>
      <c r="D11" s="47"/>
      <c r="E11" s="1"/>
      <c r="F11" s="1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x14ac:dyDescent="0.25">
      <c r="A12" s="82" t="s">
        <v>41</v>
      </c>
      <c r="B12" s="1"/>
      <c r="C12" s="5"/>
      <c r="D12" s="47"/>
      <c r="E12" s="1"/>
      <c r="F12" s="1"/>
      <c r="G12" s="1"/>
      <c r="H12" s="3"/>
      <c r="I12" s="3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1"/>
      <c r="Y12" s="1"/>
      <c r="Z12" s="1"/>
    </row>
    <row r="13" spans="1:26" x14ac:dyDescent="0.25">
      <c r="A13" s="1"/>
      <c r="B13" s="1"/>
      <c r="C13" s="1"/>
      <c r="D13" s="46"/>
      <c r="E13" s="1"/>
      <c r="F13" s="1"/>
      <c r="G13" s="1"/>
      <c r="H13" s="3"/>
      <c r="I13" s="3"/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5"/>
      <c r="X13" s="1"/>
      <c r="Y13" s="1"/>
      <c r="Z13" s="1"/>
    </row>
    <row r="14" spans="1:26" ht="12.75" customHeight="1" x14ac:dyDescent="0.25">
      <c r="A14" s="90" t="s">
        <v>6</v>
      </c>
      <c r="B14" s="91"/>
      <c r="C14" s="96" t="s">
        <v>7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1"/>
      <c r="X14" s="1"/>
      <c r="Y14" s="1"/>
      <c r="Z14" s="1"/>
    </row>
    <row r="15" spans="1:26" ht="12.75" customHeight="1" x14ac:dyDescent="0.25">
      <c r="A15" s="92"/>
      <c r="B15" s="93"/>
      <c r="C15" s="92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3"/>
      <c r="X15" s="1"/>
      <c r="Y15" s="1"/>
      <c r="Z15" s="1"/>
    </row>
    <row r="16" spans="1:26" ht="28.5" customHeight="1" x14ac:dyDescent="0.25">
      <c r="A16" s="94"/>
      <c r="B16" s="95"/>
      <c r="C16" s="94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5"/>
      <c r="X16" s="1"/>
      <c r="Y16" s="1"/>
      <c r="Z16" s="1"/>
    </row>
    <row r="17" spans="1:26" x14ac:dyDescent="0.25">
      <c r="A17" s="100" t="s">
        <v>8</v>
      </c>
      <c r="B17" s="89"/>
      <c r="C17" s="101" t="s">
        <v>9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9"/>
      <c r="X17" s="1"/>
      <c r="Y17" s="1"/>
      <c r="Z17" s="1"/>
    </row>
    <row r="18" spans="1:26" x14ac:dyDescent="0.25">
      <c r="D18" s="48"/>
      <c r="J18" s="10"/>
      <c r="W18" s="49"/>
    </row>
    <row r="19" spans="1:26" x14ac:dyDescent="0.25">
      <c r="D19" s="48"/>
      <c r="J19" s="10"/>
      <c r="W19" s="49"/>
    </row>
    <row r="20" spans="1:26" x14ac:dyDescent="0.25">
      <c r="D20" s="48"/>
      <c r="J20" s="10"/>
      <c r="W20" s="49"/>
    </row>
    <row r="21" spans="1:26" ht="15" customHeight="1" x14ac:dyDescent="0.25">
      <c r="A21" s="84" t="s">
        <v>10</v>
      </c>
      <c r="B21" s="84" t="s">
        <v>11</v>
      </c>
      <c r="C21" s="84" t="s">
        <v>12</v>
      </c>
      <c r="D21" s="102" t="s">
        <v>13</v>
      </c>
      <c r="E21" s="84" t="s">
        <v>14</v>
      </c>
      <c r="F21" s="84" t="s">
        <v>15</v>
      </c>
      <c r="G21" s="84" t="s">
        <v>16</v>
      </c>
      <c r="H21" s="84" t="s">
        <v>17</v>
      </c>
      <c r="I21" s="84" t="s">
        <v>18</v>
      </c>
      <c r="J21" s="86" t="s">
        <v>19</v>
      </c>
      <c r="K21" s="87" t="s">
        <v>20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9"/>
    </row>
    <row r="22" spans="1:26" ht="25.5" customHeight="1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12" t="s">
        <v>21</v>
      </c>
      <c r="L22" s="12" t="s">
        <v>22</v>
      </c>
      <c r="M22" s="12" t="s">
        <v>23</v>
      </c>
      <c r="N22" s="12" t="s">
        <v>24</v>
      </c>
      <c r="O22" s="12" t="s">
        <v>25</v>
      </c>
      <c r="P22" s="12" t="s">
        <v>26</v>
      </c>
      <c r="Q22" s="12" t="s">
        <v>27</v>
      </c>
      <c r="R22" s="12" t="s">
        <v>0</v>
      </c>
      <c r="S22" s="12" t="s">
        <v>28</v>
      </c>
      <c r="T22" s="12" t="s">
        <v>29</v>
      </c>
      <c r="U22" s="12" t="s">
        <v>30</v>
      </c>
      <c r="V22" s="12" t="s">
        <v>31</v>
      </c>
      <c r="W22" s="15" t="s">
        <v>32</v>
      </c>
    </row>
    <row r="23" spans="1:26" ht="15.75" customHeight="1" x14ac:dyDescent="0.25">
      <c r="A23" s="16" t="str">
        <f ca="1">IFERROR(__xludf.DUMMYFUNCTION("IMPORTRANGE(""https://docs.google.com/spreadsheets/d/1326rdUM6oOTA_5T6U_eA-Yqy4OMk6d_RGd_Z1bKVaC8/edit#gid=1459860096"",""'24.03.406 PTRAC'!g10:g1000"")")," REGIÓN DE VALPARAÍSO ")</f>
        <v xml:space="preserve"> REGIÓN DE VALPARAÍSO </v>
      </c>
      <c r="B23" s="16" t="str">
        <f t="shared" ref="B23:B50" ca="1" si="0">MID(X23,17,30)</f>
        <v xml:space="preserve"> QUILPUÉ</v>
      </c>
      <c r="C23" s="16" t="str">
        <f ca="1">IFERROR(__xludf.DUMMYFUNCTION("IMPORTRANGE(""https://docs.google.com/spreadsheets/d/1326rdUM6oOTA_5T6U_eA-Yqy4OMk6d_RGd_Z1bKVaC8/edit#gid=1459860096"",""'24.03.406 PTRAC'!i10:i1000"")")," PVET EMERGENCIA 2024 COMUNA DE QUILPUÉ QUILPUÉ ")</f>
        <v xml:space="preserve"> PVET EMERGENCIA 2024 COMUNA DE QUILPUÉ QUILPUÉ </v>
      </c>
      <c r="D23" s="40">
        <f ca="1">IFERROR(__xludf.DUMMYFUNCTION("IMPORTRANGE(""https://docs.google.com/spreadsheets/d/1326rdUM6oOTA_5T6U_eA-Yqy4OMk6d_RGd_Z1bKVaC8/edit#gid=1459860096"",""'24.03.406 PTRAC'!h10:h1000"")"),58010457)</f>
        <v>58010457</v>
      </c>
      <c r="E23" s="16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F23" s="41">
        <f ca="1">IFERROR(__xludf.DUMMYFUNCTION("IMPORTRANGE(""https://docs.google.com/spreadsheets/d/1326rdUM6oOTA_5T6U_eA-Yqy4OMk6d_RGd_Z1bKVaC8/edit#gid=1459860096"",""'24.03.406 PTRAC'!m10:m1000"")"),45335)</f>
        <v>45335</v>
      </c>
      <c r="G23" s="16">
        <f ca="1">IFERROR(__xludf.DUMMYFUNCTION("IMPORTRANGE(""https://docs.google.com/spreadsheets/d/1326rdUM6oOTA_5T6U_eA-Yqy4OMk6d_RGd_Z1bKVaC8/edit#gid=1459860096"",""'24.03.406 PTRAC'!P10:P1000"")"),8900000)</f>
        <v>8900000</v>
      </c>
      <c r="H23" s="16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I23" s="16">
        <f ca="1">IFERROR(__xludf.DUMMYFUNCTION("IMPORTRANGE(""https://docs.google.com/spreadsheets/d/1326rdUM6oOTA_5T6U_eA-Yqy4OMk6d_RGd_Z1bKVaC8/edit#gid=1459860096"",""'24.03.406 PTRAC'!aD10:aD1000"")"),8900000)</f>
        <v>8900000</v>
      </c>
      <c r="J23" s="83" t="s">
        <v>48</v>
      </c>
      <c r="K23" s="16" t="str">
        <f ca="1">IFERROR(__xludf.DUMMYFUNCTION("IMPORTRANGE(""https://docs.google.com/spreadsheets/d/1326rdUM6oOTA_5T6U_eA-Yqy4OMk6d_RGd_Z1bKVaC8/edit#gid=1459860096"",""'24.03.406 PTRAC'!R10:R1000"")"),"")</f>
        <v/>
      </c>
      <c r="L23" s="16">
        <f ca="1">IFERROR(__xludf.DUMMYFUNCTION("IMPORTRANGE(""https://docs.google.com/spreadsheets/d/1326rdUM6oOTA_5T6U_eA-Yqy4OMk6d_RGd_Z1bKVaC8/edit#gid=1459860096"",""'24.03.406 PTRAC'!S10:S1000"")"),8900000)</f>
        <v>8900000</v>
      </c>
      <c r="M23" s="16" t="str">
        <f ca="1">IFERROR(__xludf.DUMMYFUNCTION("IMPORTRANGE(""https://docs.google.com/spreadsheets/d/1326rdUM6oOTA_5T6U_eA-Yqy4OMk6d_RGd_Z1bKVaC8/edit#gid=1459860096"",""'24.03.406 PTRAC'!T10:T1000"")"),"")</f>
        <v/>
      </c>
      <c r="N23" s="42" t="str">
        <f ca="1">IFERROR(__xludf.DUMMYFUNCTION("IMPORTRANGE(""https://docs.google.com/spreadsheets/d/1326rdUM6oOTA_5T6U_eA-Yqy4OMk6d_RGd_Z1bKVaC8/edit#gid=1459860096"",""'24.03.406 PTRAC'!u10:u1000"")"),"")</f>
        <v/>
      </c>
      <c r="O23" s="19" t="str">
        <f ca="1">IFERROR(__xludf.DUMMYFUNCTION("IMPORTRANGE(""https://docs.google.com/spreadsheets/d/1326rdUM6oOTA_5T6U_eA-Yqy4OMk6d_RGd_Z1bKVaC8/edit#gid=1459860096"",""'24.03.406 PTRAC'!v10:v1000"")"),"")</f>
        <v/>
      </c>
      <c r="P23" s="19" t="str">
        <f ca="1">IFERROR(__xludf.DUMMYFUNCTION("IMPORTRANGE(""https://docs.google.com/spreadsheets/d/1326rdUM6oOTA_5T6U_eA-Yqy4OMk6d_RGd_Z1bKVaC8/edit#gid=1459860096"",""'24.03.406 PTRAC'!w10:w1000"")"),"")</f>
        <v/>
      </c>
      <c r="Q23" s="19" t="str">
        <f ca="1">IFERROR(__xludf.DUMMYFUNCTION("IMPORTRANGE(""https://docs.google.com/spreadsheets/d/1326rdUM6oOTA_5T6U_eA-Yqy4OMk6d_RGd_Z1bKVaC8/edit#gid=1459860096"",""'24.03.406 PTRAC'!x10:x1000"")"),"")</f>
        <v/>
      </c>
      <c r="R23" s="19" t="str">
        <f ca="1">IFERROR(__xludf.DUMMYFUNCTION("IMPORTRANGE(""https://docs.google.com/spreadsheets/d/1326rdUM6oOTA_5T6U_eA-Yqy4OMk6d_RGd_Z1bKVaC8/edit#gid=1459860096"",""'24.03.406 PTRAC'!y10:y1000"")"),"")</f>
        <v/>
      </c>
      <c r="S23" s="19" t="str">
        <f ca="1">IFERROR(__xludf.DUMMYFUNCTION("IMPORTRANGE(""https://docs.google.com/spreadsheets/d/1326rdUM6oOTA_5T6U_eA-Yqy4OMk6d_RGd_Z1bKVaC8/edit#gid=1459860096"",""'24.03.406 PTRAC'!z10:z1000"")"),"")</f>
        <v/>
      </c>
      <c r="T23" s="19" t="str">
        <f ca="1">IFERROR(__xludf.DUMMYFUNCTION("IMPORTRANGE(""https://docs.google.com/spreadsheets/d/1326rdUM6oOTA_5T6U_eA-Yqy4OMk6d_RGd_Z1bKVaC8/edit#gid=1459860096"",""'24.03.406 PTRAC'!aa10:aa1000"")"),"")</f>
        <v/>
      </c>
      <c r="U23" s="19" t="str">
        <f ca="1">IFERROR(__xludf.DUMMYFUNCTION("IMPORTRANGE(""https://docs.google.com/spreadsheets/d/1326rdUM6oOTA_5T6U_eA-Yqy4OMk6d_RGd_Z1bKVaC8/edit#gid=1459860096"",""'24.03.406 PTRAC'!ab10:ab1000"")"),"")</f>
        <v/>
      </c>
      <c r="V23" s="19" t="str">
        <f ca="1">IFERROR(__xludf.DUMMYFUNCTION("IMPORTRANGE(""https://docs.google.com/spreadsheets/d/1326rdUM6oOTA_5T6U_eA-Yqy4OMk6d_RGd_Z1bKVaC8/edit#gid=1459860096"",""'24.03.406 PTRAC'!ac10:ac1000"")"),"")</f>
        <v/>
      </c>
      <c r="W23" s="20">
        <f ca="1">IFERROR(__xludf.DUMMYFUNCTION("IMPORTRANGE(""https://docs.google.com/spreadsheets/d/1326rdUM6oOTA_5T6U_eA-Yqy4OMk6d_RGd_Z1bKVaC8/edit#gid=1459860096"",""'24.03.406 PTRAC'!aD10:aD1000"")"),8900000)</f>
        <v>8900000</v>
      </c>
      <c r="X23" s="43" t="str">
        <f ca="1">IFERROR(__xludf.DUMMYFUNCTION("IMPORTRANGE(""https://docs.google.com/spreadsheets/d/1326rdUM6oOTA_5T6U_eA-Yqy4OMk6d_RGd_Z1bKVaC8/edit#gid=1459860096"",""'24.03.406 PTRAC'!F10:F1000"")"),"MUNICIPALIDAD DE QUILPUÉ")</f>
        <v>MUNICIPALIDAD DE QUILPUÉ</v>
      </c>
    </row>
    <row r="24" spans="1:26" ht="15.75" customHeight="1" x14ac:dyDescent="0.25">
      <c r="A24" s="16" t="str">
        <f ca="1">IFERROR(__xludf.DUMMYFUNCTION("""COMPUTED_VALUE""")," REGIÓN DE VALPARAÍSO ")</f>
        <v xml:space="preserve"> REGIÓN DE VALPARAÍSO </v>
      </c>
      <c r="B24" s="16" t="str">
        <f t="shared" ca="1" si="0"/>
        <v xml:space="preserve"> VIÑA DEL MAR</v>
      </c>
      <c r="C24" s="16" t="str">
        <f ca="1">IFERROR(__xludf.DUMMYFUNCTION("""COMPUTED_VALUE""")," BOTIQUÍN DE EMERGENCIA 2024 COMUNA DE VIÑA DEL MAR ")</f>
        <v xml:space="preserve"> BOTIQUÍN DE EMERGENCIA 2024 COMUNA DE VIÑA DEL MAR </v>
      </c>
      <c r="D24" s="40">
        <f ca="1">IFERROR(__xludf.DUMMYFUNCTION("""COMPUTED_VALUE"""),51090458)</f>
        <v>51090458</v>
      </c>
      <c r="E24" s="16" t="str">
        <f ca="1">IFERROR(__xludf.DUMMYFUNCTION("""COMPUTED_VALUE""")," EN EJECUCIÓN ")</f>
        <v xml:space="preserve"> EN EJECUCIÓN </v>
      </c>
      <c r="F24" s="41">
        <f ca="1">IFERROR(__xludf.DUMMYFUNCTION("""COMPUTED_VALUE"""),45350)</f>
        <v>45350</v>
      </c>
      <c r="G24" s="16">
        <f ca="1">IFERROR(__xludf.DUMMYFUNCTION("""COMPUTED_VALUE"""),20000000)</f>
        <v>20000000</v>
      </c>
      <c r="H24" s="16" t="str">
        <f ca="1">IFERROR(__xludf.DUMMYFUNCTION("""COMPUTED_VALUE""")," EN EJECUCIÓN ")</f>
        <v xml:space="preserve"> EN EJECUCIÓN </v>
      </c>
      <c r="I24" s="16">
        <f ca="1">IFERROR(__xludf.DUMMYFUNCTION("""COMPUTED_VALUE"""),20000000)</f>
        <v>20000000</v>
      </c>
      <c r="J24" s="83" t="s">
        <v>48</v>
      </c>
      <c r="K24" s="16"/>
      <c r="L24" s="50"/>
      <c r="M24" s="16">
        <f ca="1">IFERROR(__xludf.DUMMYFUNCTION("""COMPUTED_VALUE"""),20000000)</f>
        <v>20000000</v>
      </c>
      <c r="N24" s="19"/>
      <c r="O24" s="19"/>
      <c r="P24" s="19"/>
      <c r="Q24" s="19"/>
      <c r="R24" s="19"/>
      <c r="S24" s="19"/>
      <c r="T24" s="19"/>
      <c r="U24" s="19"/>
      <c r="V24" s="19"/>
      <c r="W24" s="20">
        <f ca="1">IFERROR(__xludf.DUMMYFUNCTION("""COMPUTED_VALUE"""),20000000)</f>
        <v>20000000</v>
      </c>
      <c r="X24" s="43" t="str">
        <f ca="1">IFERROR(__xludf.DUMMYFUNCTION("""COMPUTED_VALUE"""),"MUNICIPALIDAD DE VIÑA DEL MAR")</f>
        <v>MUNICIPALIDAD DE VIÑA DEL MAR</v>
      </c>
    </row>
    <row r="25" spans="1:26" ht="15.75" customHeight="1" x14ac:dyDescent="0.25">
      <c r="A25" s="16" t="str">
        <f ca="1">IFERROR(__xludf.DUMMYFUNCTION("""COMPUTED_VALUE""")," REGIÓN DE VALPARAÍSO ")</f>
        <v xml:space="preserve"> REGIÓN DE VALPARAÍSO </v>
      </c>
      <c r="B25" s="16" t="str">
        <f t="shared" ca="1" si="0"/>
        <v xml:space="preserve"> VILLA ALEMANA</v>
      </c>
      <c r="C25" s="16" t="str">
        <f ca="1">IFERROR(__xludf.DUMMYFUNCTION("""COMPUTED_VALUE""")," BOTIQUIN EMERGENCIA 2024 COMUNA DE VILLA ALEMANA ")</f>
        <v xml:space="preserve"> BOTIQUIN EMERGENCIA 2024 COMUNA DE VILLA ALEMANA </v>
      </c>
      <c r="D25" s="40">
        <f ca="1">IFERROR(__xludf.DUMMYFUNCTION("""COMPUTED_VALUE"""),58040459)</f>
        <v>58040459</v>
      </c>
      <c r="E25" s="16" t="str">
        <f ca="1">IFERROR(__xludf.DUMMYFUNCTION("""COMPUTED_VALUE""")," EN EJECUCIÓN ")</f>
        <v xml:space="preserve"> EN EJECUCIÓN </v>
      </c>
      <c r="F25" s="41">
        <f ca="1">IFERROR(__xludf.DUMMYFUNCTION("""COMPUTED_VALUE"""),45350)</f>
        <v>45350</v>
      </c>
      <c r="G25" s="16">
        <f ca="1">IFERROR(__xludf.DUMMYFUNCTION("""COMPUTED_VALUE"""),6000000)</f>
        <v>6000000</v>
      </c>
      <c r="H25" s="16" t="str">
        <f ca="1">IFERROR(__xludf.DUMMYFUNCTION("""COMPUTED_VALUE""")," EN EJECUCIÓN ")</f>
        <v xml:space="preserve"> EN EJECUCIÓN </v>
      </c>
      <c r="I25" s="16">
        <f ca="1">IFERROR(__xludf.DUMMYFUNCTION("""COMPUTED_VALUE"""),6000000)</f>
        <v>6000000</v>
      </c>
      <c r="J25" s="83" t="s">
        <v>48</v>
      </c>
      <c r="K25" s="16"/>
      <c r="L25" s="50"/>
      <c r="M25" s="16">
        <f ca="1">IFERROR(__xludf.DUMMYFUNCTION("""COMPUTED_VALUE"""),6000000)</f>
        <v>6000000</v>
      </c>
      <c r="N25" s="19"/>
      <c r="O25" s="19"/>
      <c r="P25" s="19"/>
      <c r="Q25" s="19"/>
      <c r="R25" s="19"/>
      <c r="S25" s="19"/>
      <c r="T25" s="19"/>
      <c r="U25" s="19"/>
      <c r="V25" s="19"/>
      <c r="W25" s="20">
        <f ca="1">IFERROR(__xludf.DUMMYFUNCTION("""COMPUTED_VALUE"""),6000000)</f>
        <v>6000000</v>
      </c>
      <c r="X25" s="43" t="str">
        <f ca="1">IFERROR(__xludf.DUMMYFUNCTION("""COMPUTED_VALUE"""),"MUNICIPALIDAD DE VILLA ALEMANA")</f>
        <v>MUNICIPALIDAD DE VILLA ALEMANA</v>
      </c>
    </row>
    <row r="26" spans="1:26" ht="15.75" customHeight="1" x14ac:dyDescent="0.25">
      <c r="A26" s="16" t="str">
        <f ca="1">IFERROR(__xludf.DUMMYFUNCTION("""COMPUTED_VALUE""")," REGIÓN DE VALPARAÍSO ")</f>
        <v xml:space="preserve"> REGIÓN DE VALPARAÍSO </v>
      </c>
      <c r="B26" s="16" t="str">
        <f t="shared" ca="1" si="0"/>
        <v xml:space="preserve"> VIÑA DEL MAR</v>
      </c>
      <c r="C26" s="16" t="str">
        <f ca="1">IFERROR(__xludf.DUMMYFUNCTION("""COMPUTED_VALUE""")," PVET EMERGENCIA 2024 COMUNA DE VIÑA DEL MAR ")</f>
        <v xml:space="preserve"> PVET EMERGENCIA 2024 COMUNA DE VIÑA DEL MAR </v>
      </c>
      <c r="D26" s="40">
        <f ca="1">IFERROR(__xludf.DUMMYFUNCTION("""COMPUTED_VALUE"""),51090460)</f>
        <v>51090460</v>
      </c>
      <c r="E26" s="16" t="str">
        <f ca="1">IFERROR(__xludf.DUMMYFUNCTION("""COMPUTED_VALUE""")," EN EJECUCIÓN ")</f>
        <v xml:space="preserve"> EN EJECUCIÓN </v>
      </c>
      <c r="F26" s="41">
        <f ca="1">IFERROR(__xludf.DUMMYFUNCTION("""COMPUTED_VALUE"""),45355)</f>
        <v>45355</v>
      </c>
      <c r="G26" s="16">
        <f ca="1">IFERROR(__xludf.DUMMYFUNCTION("""COMPUTED_VALUE"""),4857000)</f>
        <v>4857000</v>
      </c>
      <c r="H26" s="16" t="str">
        <f ca="1">IFERROR(__xludf.DUMMYFUNCTION("""COMPUTED_VALUE""")," EN EJECUCIÓN ")</f>
        <v xml:space="preserve"> EN EJECUCIÓN </v>
      </c>
      <c r="I26" s="16">
        <f ca="1">IFERROR(__xludf.DUMMYFUNCTION("""COMPUTED_VALUE"""),4857000)</f>
        <v>4857000</v>
      </c>
      <c r="J26" s="83" t="s">
        <v>48</v>
      </c>
      <c r="K26" s="16"/>
      <c r="L26" s="50"/>
      <c r="M26" s="16">
        <f ca="1">IFERROR(__xludf.DUMMYFUNCTION("""COMPUTED_VALUE"""),4857000)</f>
        <v>4857000</v>
      </c>
      <c r="N26" s="19"/>
      <c r="O26" s="19"/>
      <c r="P26" s="19"/>
      <c r="Q26" s="19"/>
      <c r="R26" s="19"/>
      <c r="S26" s="19"/>
      <c r="T26" s="19"/>
      <c r="U26" s="19"/>
      <c r="V26" s="19"/>
      <c r="W26" s="20">
        <f ca="1">IFERROR(__xludf.DUMMYFUNCTION("""COMPUTED_VALUE"""),4857000)</f>
        <v>4857000</v>
      </c>
      <c r="X26" s="43" t="str">
        <f ca="1">IFERROR(__xludf.DUMMYFUNCTION("""COMPUTED_VALUE"""),"MUNICIPALIDAD DE VIÑA DEL MAR")</f>
        <v>MUNICIPALIDAD DE VIÑA DEL MAR</v>
      </c>
    </row>
    <row r="27" spans="1:26" ht="15.75" customHeight="1" x14ac:dyDescent="0.25">
      <c r="A27" s="16" t="str">
        <f ca="1">IFERROR(__xludf.DUMMYFUNCTION("""COMPUTED_VALUE""")," REGIÓN DEL MAULE ")</f>
        <v xml:space="preserve"> REGIÓN DEL MAULE </v>
      </c>
      <c r="B27" s="16" t="str">
        <f t="shared" ca="1" si="0"/>
        <v xml:space="preserve"> SAN CLEMENTE</v>
      </c>
      <c r="C27" s="16" t="str">
        <f ca="1">IFERROR(__xludf.DUMMYFUNCTION("""COMPUTED_VALUE""")," PLAN NACIONAL DE ESTERILIZACIONES RESPONSABILIDAD COMPARTIDA 2023 COMUNA DE SAN CLEMENTE ")</f>
        <v xml:space="preserve"> PLAN NACIONAL DE ESTERILIZACIONES RESPONSABILIDAD COMPARTIDA 2023 COMUNA DE SAN CLEMENTE </v>
      </c>
      <c r="D27" s="40">
        <f ca="1">IFERROR(__xludf.DUMMYFUNCTION("""COMPUTED_VALUE"""),71090302)</f>
        <v>71090302</v>
      </c>
      <c r="E27" s="16" t="str">
        <f ca="1">IFERROR(__xludf.DUMMYFUNCTION("""COMPUTED_VALUE""")," EN EJECUCIÓN ")</f>
        <v xml:space="preserve"> EN EJECUCIÓN </v>
      </c>
      <c r="F27" s="41">
        <f ca="1">IFERROR(__xludf.DUMMYFUNCTION("""COMPUTED_VALUE"""),45369)</f>
        <v>45369</v>
      </c>
      <c r="G27" s="16">
        <f ca="1">IFERROR(__xludf.DUMMYFUNCTION("""COMPUTED_VALUE"""),29200000)</f>
        <v>29200000</v>
      </c>
      <c r="H27" s="16" t="str">
        <f ca="1">IFERROR(__xludf.DUMMYFUNCTION("""COMPUTED_VALUE""")," EN EJECUCIÓN ")</f>
        <v xml:space="preserve"> EN EJECUCIÓN </v>
      </c>
      <c r="I27" s="16">
        <f ca="1">IFERROR(__xludf.DUMMYFUNCTION("""COMPUTED_VALUE"""),29200000)</f>
        <v>29200000</v>
      </c>
      <c r="J27" s="83" t="s">
        <v>48</v>
      </c>
      <c r="K27" s="16"/>
      <c r="L27" s="50"/>
      <c r="M27" s="16"/>
      <c r="N27" s="21">
        <f ca="1">IFERROR(__xludf.DUMMYFUNCTION("""COMPUTED_VALUE"""),29200000)</f>
        <v>29200000</v>
      </c>
      <c r="O27" s="19"/>
      <c r="P27" s="19"/>
      <c r="Q27" s="19"/>
      <c r="R27" s="19"/>
      <c r="S27" s="19"/>
      <c r="T27" s="19"/>
      <c r="U27" s="19"/>
      <c r="V27" s="19"/>
      <c r="W27" s="20">
        <f ca="1">IFERROR(__xludf.DUMMYFUNCTION("""COMPUTED_VALUE"""),29200000)</f>
        <v>29200000</v>
      </c>
      <c r="X27" s="43" t="str">
        <f ca="1">IFERROR(__xludf.DUMMYFUNCTION("""COMPUTED_VALUE"""),"MUNICIPALIDAD DE SAN CLEMENTE")</f>
        <v>MUNICIPALIDAD DE SAN CLEMENTE</v>
      </c>
    </row>
    <row r="28" spans="1:26" ht="15.75" customHeight="1" x14ac:dyDescent="0.25">
      <c r="A28" s="16" t="str">
        <f ca="1">IFERROR(__xludf.DUMMYFUNCTION("""COMPUTED_VALUE""")," REGIÓN METROPOLITANA ")</f>
        <v xml:space="preserve"> REGIÓN METROPOLITANA </v>
      </c>
      <c r="B28" s="16" t="str">
        <f t="shared" ca="1" si="0"/>
        <v xml:space="preserve"> RENCA</v>
      </c>
      <c r="C28" s="16" t="str">
        <f ca="1">IFERROR(__xludf.DUMMYFUNCTION("""COMPUTED_VALUE""")," PLAN NACIONAL DE ESTERILIZACIONES RESPONSABILIDAD COMPARTIDA AÑO 2023 COMUNA DE RENCA ")</f>
        <v xml:space="preserve"> PLAN NACIONAL DE ESTERILIZACIONES RESPONSABILIDAD COMPARTIDA AÑO 2023 COMUNA DE RENCA </v>
      </c>
      <c r="D28" s="40">
        <f ca="1">IFERROR(__xludf.DUMMYFUNCTION("""COMPUTED_VALUE"""),131280378)</f>
        <v>131280378</v>
      </c>
      <c r="E28" s="16" t="str">
        <f ca="1">IFERROR(__xludf.DUMMYFUNCTION("""COMPUTED_VALUE""")," EN EJECUCIÓN ")</f>
        <v xml:space="preserve"> EN EJECUCIÓN </v>
      </c>
      <c r="F28" s="41">
        <f ca="1">IFERROR(__xludf.DUMMYFUNCTION("""COMPUTED_VALUE"""),45364)</f>
        <v>45364</v>
      </c>
      <c r="G28" s="16">
        <f ca="1">IFERROR(__xludf.DUMMYFUNCTION("""COMPUTED_VALUE"""),54800000)</f>
        <v>54800000</v>
      </c>
      <c r="H28" s="16" t="str">
        <f ca="1">IFERROR(__xludf.DUMMYFUNCTION("""COMPUTED_VALUE""")," EN EJECUCIÓN ")</f>
        <v xml:space="preserve"> EN EJECUCIÓN </v>
      </c>
      <c r="I28" s="16">
        <f ca="1">IFERROR(__xludf.DUMMYFUNCTION("""COMPUTED_VALUE"""),54800000)</f>
        <v>54800000</v>
      </c>
      <c r="J28" s="83" t="s">
        <v>48</v>
      </c>
      <c r="K28" s="16"/>
      <c r="L28" s="50"/>
      <c r="M28" s="16"/>
      <c r="N28" s="21">
        <f ca="1">IFERROR(__xludf.DUMMYFUNCTION("""COMPUTED_VALUE"""),54800000)</f>
        <v>54800000</v>
      </c>
      <c r="O28" s="19"/>
      <c r="P28" s="19"/>
      <c r="Q28" s="19"/>
      <c r="R28" s="19"/>
      <c r="S28" s="19"/>
      <c r="T28" s="19"/>
      <c r="U28" s="19"/>
      <c r="V28" s="19"/>
      <c r="W28" s="20">
        <f ca="1">IFERROR(__xludf.DUMMYFUNCTION("""COMPUTED_VALUE"""),54800000)</f>
        <v>54800000</v>
      </c>
      <c r="X28" s="43" t="str">
        <f ca="1">IFERROR(__xludf.DUMMYFUNCTION("""COMPUTED_VALUE"""),"MUNICIPALIDAD DE RENCA")</f>
        <v>MUNICIPALIDAD DE RENCA</v>
      </c>
    </row>
    <row r="29" spans="1:26" ht="15.75" customHeight="1" x14ac:dyDescent="0.25">
      <c r="A29" s="16" t="str">
        <f ca="1">IFERROR(__xludf.DUMMYFUNCTION("""COMPUTED_VALUE""")," REGIÓN DE ANTOFAGASTA ")</f>
        <v xml:space="preserve"> REGIÓN DE ANTOFAGASTA </v>
      </c>
      <c r="B29" s="16" t="str">
        <f t="shared" ca="1" si="0"/>
        <v xml:space="preserve"> SIERRA GORDA</v>
      </c>
      <c r="C29" s="16" t="str">
        <f ca="1">IFERROR(__xludf.DUMMYFUNCTION("""COMPUTED_VALUE""")," PLAN NACIONAL DE ESTERILIZACIONES RESPONSABILIDAD COMPARTIDA 2023, COMUNA DE SIERRA GORDA ")</f>
        <v xml:space="preserve"> PLAN NACIONAL DE ESTERILIZACIONES RESPONSABILIDAD COMPARTIDA 2023, COMUNA DE SIERRA GORDA </v>
      </c>
      <c r="D29" s="40">
        <f ca="1">IFERROR(__xludf.DUMMYFUNCTION("""COMPUTED_VALUE"""),21030099)</f>
        <v>21030099</v>
      </c>
      <c r="E29" s="16" t="str">
        <f ca="1">IFERROR(__xludf.DUMMYFUNCTION("""COMPUTED_VALUE""")," EN EJECUCIÓN ")</f>
        <v xml:space="preserve"> EN EJECUCIÓN </v>
      </c>
      <c r="F29" s="41">
        <f ca="1">IFERROR(__xludf.DUMMYFUNCTION("""COMPUTED_VALUE"""),45416)</f>
        <v>45416</v>
      </c>
      <c r="G29" s="16">
        <f ca="1">IFERROR(__xludf.DUMMYFUNCTION("""COMPUTED_VALUE"""),4480000)</f>
        <v>4480000</v>
      </c>
      <c r="H29" s="16" t="str">
        <f ca="1">IFERROR(__xludf.DUMMYFUNCTION("""COMPUTED_VALUE""")," EN EJECUCIÓN ")</f>
        <v xml:space="preserve"> EN EJECUCIÓN </v>
      </c>
      <c r="I29" s="16">
        <f ca="1">IFERROR(__xludf.DUMMYFUNCTION("""COMPUTED_VALUE"""),4480000)</f>
        <v>4480000</v>
      </c>
      <c r="J29" s="83" t="s">
        <v>48</v>
      </c>
      <c r="K29" s="16"/>
      <c r="L29" s="50"/>
      <c r="M29" s="16"/>
      <c r="N29" s="19"/>
      <c r="O29" s="21">
        <f ca="1">IFERROR(__xludf.DUMMYFUNCTION("""COMPUTED_VALUE"""),4480000)</f>
        <v>4480000</v>
      </c>
      <c r="P29" s="19"/>
      <c r="Q29" s="19"/>
      <c r="R29" s="19"/>
      <c r="S29" s="19"/>
      <c r="T29" s="19"/>
      <c r="U29" s="19"/>
      <c r="V29" s="19"/>
      <c r="W29" s="20">
        <f ca="1">IFERROR(__xludf.DUMMYFUNCTION("""COMPUTED_VALUE"""),4480000)</f>
        <v>4480000</v>
      </c>
      <c r="X29" s="43" t="str">
        <f ca="1">IFERROR(__xludf.DUMMYFUNCTION("""COMPUTED_VALUE"""),"MUNICIPALIDAD DE SIERRA GORDA")</f>
        <v>MUNICIPALIDAD DE SIERRA GORDA</v>
      </c>
    </row>
    <row r="30" spans="1:26" ht="15.75" customHeight="1" x14ac:dyDescent="0.25">
      <c r="A30" s="16" t="str">
        <f ca="1">IFERROR(__xludf.DUMMYFUNCTION("""COMPUTED_VALUE""")," REGIÓN DE ANTOFAGASTA ")</f>
        <v xml:space="preserve"> REGIÓN DE ANTOFAGASTA </v>
      </c>
      <c r="B30" s="16" t="str">
        <f t="shared" ca="1" si="0"/>
        <v xml:space="preserve"> MARÍA ELENA</v>
      </c>
      <c r="C30" s="16" t="str">
        <f ca="1">IFERROR(__xludf.DUMMYFUNCTION("""COMPUTED_VALUE""")," PLAN NACIONAL DE ESTERILIZACIONES RESPONSABILIDAD COMPARTIDA 2023 COMUNA DE MARIA ELENA ")</f>
        <v xml:space="preserve"> PLAN NACIONAL DE ESTERILIZACIONES RESPONSABILIDAD COMPARTIDA 2023 COMUNA DE MARIA ELENA </v>
      </c>
      <c r="D30" s="40">
        <f ca="1">IFERROR(__xludf.DUMMYFUNCTION("""COMPUTED_VALUE"""),23020102)</f>
        <v>23020102</v>
      </c>
      <c r="E30" s="16" t="str">
        <f ca="1">IFERROR(__xludf.DUMMYFUNCTION("""COMPUTED_VALUE""")," EN EJECUCIÓN ")</f>
        <v xml:space="preserve"> EN EJECUCIÓN </v>
      </c>
      <c r="F30" s="41">
        <f ca="1">IFERROR(__xludf.DUMMYFUNCTION("""COMPUTED_VALUE"""),45416)</f>
        <v>45416</v>
      </c>
      <c r="G30" s="16">
        <f ca="1">IFERROR(__xludf.DUMMYFUNCTION("""COMPUTED_VALUE"""),8700000)</f>
        <v>8700000</v>
      </c>
      <c r="H30" s="16" t="str">
        <f ca="1">IFERROR(__xludf.DUMMYFUNCTION("""COMPUTED_VALUE""")," EN EJECUCIÓN ")</f>
        <v xml:space="preserve"> EN EJECUCIÓN </v>
      </c>
      <c r="I30" s="16">
        <f ca="1">IFERROR(__xludf.DUMMYFUNCTION("""COMPUTED_VALUE"""),8700000)</f>
        <v>8700000</v>
      </c>
      <c r="J30" s="83" t="s">
        <v>48</v>
      </c>
      <c r="K30" s="16"/>
      <c r="L30" s="50"/>
      <c r="M30" s="16"/>
      <c r="N30" s="19"/>
      <c r="O30" s="21">
        <f ca="1">IFERROR(__xludf.DUMMYFUNCTION("""COMPUTED_VALUE"""),8700000)</f>
        <v>8700000</v>
      </c>
      <c r="P30" s="19"/>
      <c r="Q30" s="19"/>
      <c r="R30" s="19"/>
      <c r="S30" s="19"/>
      <c r="T30" s="19"/>
      <c r="U30" s="19"/>
      <c r="V30" s="19"/>
      <c r="W30" s="20">
        <f ca="1">IFERROR(__xludf.DUMMYFUNCTION("""COMPUTED_VALUE"""),8700000)</f>
        <v>8700000</v>
      </c>
      <c r="X30" s="43" t="str">
        <f ca="1">IFERROR(__xludf.DUMMYFUNCTION("""COMPUTED_VALUE"""),"MUNICIPALIDAD DE MARÍA ELENA")</f>
        <v>MUNICIPALIDAD DE MARÍA ELENA</v>
      </c>
    </row>
    <row r="31" spans="1:26" ht="15.75" customHeight="1" x14ac:dyDescent="0.25">
      <c r="A31" s="16" t="str">
        <f ca="1">IFERROR(__xludf.DUMMYFUNCTION("""COMPUTED_VALUE""")," REGIÓN DE ATACAMA ")</f>
        <v xml:space="preserve"> REGIÓN DE ATACAMA </v>
      </c>
      <c r="B31" s="16" t="str">
        <f t="shared" ca="1" si="0"/>
        <v xml:space="preserve"> HUASCO</v>
      </c>
      <c r="C31" s="16" t="str">
        <f ca="1">IFERROR(__xludf.DUMMYFUNCTION("""COMPUTED_VALUE""")," PLAN NACIONAL DE ESTERILIZACIONES RESPONSABILIDAD COMPARTIDA 2023 COMUNA DE HUASCO ")</f>
        <v xml:space="preserve"> PLAN NACIONAL DE ESTERILIZACIONES RESPONSABILIDAD COMPARTIDA 2023 COMUNA DE HUASCO </v>
      </c>
      <c r="D31" s="40">
        <f ca="1">IFERROR(__xludf.DUMMYFUNCTION("""COMPUTED_VALUE"""),33040099)</f>
        <v>33040099</v>
      </c>
      <c r="E31" s="16" t="str">
        <f ca="1">IFERROR(__xludf.DUMMYFUNCTION("""COMPUTED_VALUE""")," EN EJECUCIÓN ")</f>
        <v xml:space="preserve"> EN EJECUCIÓN </v>
      </c>
      <c r="F31" s="41">
        <f ca="1">IFERROR(__xludf.DUMMYFUNCTION("""COMPUTED_VALUE"""),45416)</f>
        <v>45416</v>
      </c>
      <c r="G31" s="16">
        <f ca="1">IFERROR(__xludf.DUMMYFUNCTION("""COMPUTED_VALUE"""),23300000)</f>
        <v>23300000</v>
      </c>
      <c r="H31" s="16" t="str">
        <f ca="1">IFERROR(__xludf.DUMMYFUNCTION("""COMPUTED_VALUE""")," EN EJECUCIÓN ")</f>
        <v xml:space="preserve"> EN EJECUCIÓN </v>
      </c>
      <c r="I31" s="16">
        <f ca="1">IFERROR(__xludf.DUMMYFUNCTION("""COMPUTED_VALUE"""),23300000)</f>
        <v>23300000</v>
      </c>
      <c r="J31" s="83" t="s">
        <v>48</v>
      </c>
      <c r="K31" s="16"/>
      <c r="L31" s="50"/>
      <c r="M31" s="16"/>
      <c r="N31" s="19"/>
      <c r="O31" s="21">
        <f ca="1">IFERROR(__xludf.DUMMYFUNCTION("""COMPUTED_VALUE"""),23300000)</f>
        <v>23300000</v>
      </c>
      <c r="P31" s="19"/>
      <c r="Q31" s="19"/>
      <c r="R31" s="19"/>
      <c r="S31" s="19"/>
      <c r="T31" s="19"/>
      <c r="U31" s="19"/>
      <c r="V31" s="19"/>
      <c r="W31" s="20">
        <f ca="1">IFERROR(__xludf.DUMMYFUNCTION("""COMPUTED_VALUE"""),23300000)</f>
        <v>23300000</v>
      </c>
      <c r="X31" s="43" t="str">
        <f ca="1">IFERROR(__xludf.DUMMYFUNCTION("""COMPUTED_VALUE"""),"MUNICIPALIDAD DE HUASCO")</f>
        <v>MUNICIPALIDAD DE HUASCO</v>
      </c>
    </row>
    <row r="32" spans="1:26" ht="15.75" customHeight="1" x14ac:dyDescent="0.25">
      <c r="A32" s="16" t="str">
        <f ca="1">IFERROR(__xludf.DUMMYFUNCTION("""COMPUTED_VALUE""")," REGIÓN DE ATACAMA ")</f>
        <v xml:space="preserve"> REGIÓN DE ATACAMA </v>
      </c>
      <c r="B32" s="16" t="str">
        <f t="shared" ca="1" si="0"/>
        <v xml:space="preserve"> CALDERA</v>
      </c>
      <c r="C32" s="16" t="str">
        <f ca="1">IFERROR(__xludf.DUMMYFUNCTION("""COMPUTED_VALUE""")," PLAN NACIONAL DE ESTERILIZACIONES RESPONSABILIDAD COMPARTIDA AÑO 2023, COMUNA DE CALDERA ")</f>
        <v xml:space="preserve"> PLAN NACIONAL DE ESTERILIZACIONES RESPONSABILIDAD COMPARTIDA AÑO 2023, COMUNA DE CALDERA </v>
      </c>
      <c r="D32" s="40">
        <f ca="1">IFERROR(__xludf.DUMMYFUNCTION("""COMPUTED_VALUE"""),31020100)</f>
        <v>31020100</v>
      </c>
      <c r="E32" s="16" t="str">
        <f ca="1">IFERROR(__xludf.DUMMYFUNCTION("""COMPUTED_VALUE""")," EN EJECUCIÓN ")</f>
        <v xml:space="preserve"> EN EJECUCIÓN </v>
      </c>
      <c r="F32" s="41">
        <f ca="1">IFERROR(__xludf.DUMMYFUNCTION("""COMPUTED_VALUE"""),45416)</f>
        <v>45416</v>
      </c>
      <c r="G32" s="16">
        <f ca="1">IFERROR(__xludf.DUMMYFUNCTION("""COMPUTED_VALUE"""),29200000)</f>
        <v>29200000</v>
      </c>
      <c r="H32" s="16" t="str">
        <f ca="1">IFERROR(__xludf.DUMMYFUNCTION("""COMPUTED_VALUE""")," EN EJECUCIÓN ")</f>
        <v xml:space="preserve"> EN EJECUCIÓN </v>
      </c>
      <c r="I32" s="16">
        <f ca="1">IFERROR(__xludf.DUMMYFUNCTION("""COMPUTED_VALUE"""),29200000)</f>
        <v>29200000</v>
      </c>
      <c r="J32" s="83" t="s">
        <v>48</v>
      </c>
      <c r="K32" s="16"/>
      <c r="L32" s="50"/>
      <c r="M32" s="16"/>
      <c r="N32" s="19"/>
      <c r="O32" s="21">
        <f ca="1">IFERROR(__xludf.DUMMYFUNCTION("""COMPUTED_VALUE"""),29200000)</f>
        <v>29200000</v>
      </c>
      <c r="P32" s="19"/>
      <c r="Q32" s="19"/>
      <c r="R32" s="19"/>
      <c r="S32" s="19"/>
      <c r="T32" s="19"/>
      <c r="U32" s="19"/>
      <c r="V32" s="19"/>
      <c r="W32" s="20">
        <f ca="1">IFERROR(__xludf.DUMMYFUNCTION("""COMPUTED_VALUE"""),29200000)</f>
        <v>29200000</v>
      </c>
      <c r="X32" s="43" t="str">
        <f ca="1">IFERROR(__xludf.DUMMYFUNCTION("""COMPUTED_VALUE"""),"MUNICIPALIDAD DE CALDERA")</f>
        <v>MUNICIPALIDAD DE CALDERA</v>
      </c>
    </row>
    <row r="33" spans="1:24" ht="15.75" customHeight="1" x14ac:dyDescent="0.25">
      <c r="A33" s="16" t="str">
        <f ca="1">IFERROR(__xludf.DUMMYFUNCTION("""COMPUTED_VALUE""")," REGIÓN DE ATACAMA ")</f>
        <v xml:space="preserve"> REGIÓN DE ATACAMA </v>
      </c>
      <c r="B33" s="16" t="str">
        <f t="shared" ca="1" si="0"/>
        <v xml:space="preserve"> COPIAPÓ</v>
      </c>
      <c r="C33" s="16" t="str">
        <f ca="1">IFERROR(__xludf.DUMMYFUNCTION("""COMPUTED_VALUE""")," PLAN NACIONAL DE ESTERILIZACIONES RESPONSABILIDAD COMPARTIDA 2023 COMUNA DE COPIAPÓ. ")</f>
        <v xml:space="preserve"> PLAN NACIONAL DE ESTERILIZACIONES RESPONSABILIDAD COMPARTIDA 2023 COMUNA DE COPIAPÓ. </v>
      </c>
      <c r="D33" s="40">
        <f ca="1">IFERROR(__xludf.DUMMYFUNCTION("""COMPUTED_VALUE"""),31010101)</f>
        <v>31010101</v>
      </c>
      <c r="E33" s="16" t="str">
        <f ca="1">IFERROR(__xludf.DUMMYFUNCTION("""COMPUTED_VALUE""")," EN EJECUCIÓN ")</f>
        <v xml:space="preserve"> EN EJECUCIÓN </v>
      </c>
      <c r="F33" s="41">
        <f ca="1">IFERROR(__xludf.DUMMYFUNCTION("""COMPUTED_VALUE"""),45416)</f>
        <v>45416</v>
      </c>
      <c r="G33" s="16">
        <f ca="1">IFERROR(__xludf.DUMMYFUNCTION("""COMPUTED_VALUE"""),85800000)</f>
        <v>85800000</v>
      </c>
      <c r="H33" s="16" t="str">
        <f ca="1">IFERROR(__xludf.DUMMYFUNCTION("""COMPUTED_VALUE""")," EN EJECUCIÓN ")</f>
        <v xml:space="preserve"> EN EJECUCIÓN </v>
      </c>
      <c r="I33" s="16">
        <f ca="1">IFERROR(__xludf.DUMMYFUNCTION("""COMPUTED_VALUE"""),85800000)</f>
        <v>85800000</v>
      </c>
      <c r="J33" s="83" t="s">
        <v>48</v>
      </c>
      <c r="K33" s="16"/>
      <c r="L33" s="50"/>
      <c r="M33" s="16"/>
      <c r="N33" s="19"/>
      <c r="O33" s="21">
        <f ca="1">IFERROR(__xludf.DUMMYFUNCTION("""COMPUTED_VALUE"""),85800000)</f>
        <v>85800000</v>
      </c>
      <c r="P33" s="19"/>
      <c r="Q33" s="19"/>
      <c r="R33" s="19"/>
      <c r="S33" s="19"/>
      <c r="T33" s="19"/>
      <c r="U33" s="19"/>
      <c r="V33" s="19"/>
      <c r="W33" s="20">
        <f ca="1">IFERROR(__xludf.DUMMYFUNCTION("""COMPUTED_VALUE"""),85800000)</f>
        <v>85800000</v>
      </c>
      <c r="X33" s="43" t="str">
        <f ca="1">IFERROR(__xludf.DUMMYFUNCTION("""COMPUTED_VALUE"""),"MUNICIPALIDAD DE COPIAPÓ")</f>
        <v>MUNICIPALIDAD DE COPIAPÓ</v>
      </c>
    </row>
    <row r="34" spans="1:24" ht="15.75" customHeight="1" x14ac:dyDescent="0.25">
      <c r="A34" s="16" t="str">
        <f ca="1">IFERROR(__xludf.DUMMYFUNCTION("""COMPUTED_VALUE""")," REGIÓN DE VALPARAÍSO ")</f>
        <v xml:space="preserve"> REGIÓN DE VALPARAÍSO </v>
      </c>
      <c r="B34" s="16" t="str">
        <f t="shared" ca="1" si="0"/>
        <v xml:space="preserve"> JUAN FERNÁNDEZ</v>
      </c>
      <c r="C34" s="16" t="str">
        <f ca="1">IFERROR(__xludf.DUMMYFUNCTION("""COMPUTED_VALUE""")," PLAN NACIONAL DE ESTERILIZACIONES RESPONSABILIDAD COMPARTIDA 2023 COMUNA DE JUAN FERNÁNDEZ ")</f>
        <v xml:space="preserve"> PLAN NACIONAL DE ESTERILIZACIONES RESPONSABILIDAD COMPARTIDA 2023 COMUNA DE JUAN FERNÁNDEZ </v>
      </c>
      <c r="D34" s="40">
        <f ca="1">IFERROR(__xludf.DUMMYFUNCTION("""COMPUTED_VALUE"""),51040432)</f>
        <v>51040432</v>
      </c>
      <c r="E34" s="16" t="str">
        <f ca="1">IFERROR(__xludf.DUMMYFUNCTION("""COMPUTED_VALUE""")," EN EJECUCIÓN ")</f>
        <v xml:space="preserve"> EN EJECUCIÓN </v>
      </c>
      <c r="F34" s="41">
        <f ca="1">IFERROR(__xludf.DUMMYFUNCTION("""COMPUTED_VALUE"""),45415)</f>
        <v>45415</v>
      </c>
      <c r="G34" s="16">
        <f ca="1">IFERROR(__xludf.DUMMYFUNCTION("""COMPUTED_VALUE"""),4500000)</f>
        <v>4500000</v>
      </c>
      <c r="H34" s="16" t="str">
        <f ca="1">IFERROR(__xludf.DUMMYFUNCTION("""COMPUTED_VALUE""")," EN EJECUCIÓN ")</f>
        <v xml:space="preserve"> EN EJECUCIÓN </v>
      </c>
      <c r="I34" s="16">
        <f ca="1">IFERROR(__xludf.DUMMYFUNCTION("""COMPUTED_VALUE"""),4500000)</f>
        <v>4500000</v>
      </c>
      <c r="J34" s="83" t="s">
        <v>48</v>
      </c>
      <c r="K34" s="16"/>
      <c r="L34" s="50"/>
      <c r="M34" s="16"/>
      <c r="N34" s="19"/>
      <c r="O34" s="21">
        <f ca="1">IFERROR(__xludf.DUMMYFUNCTION("""COMPUTED_VALUE"""),4500000)</f>
        <v>4500000</v>
      </c>
      <c r="P34" s="19"/>
      <c r="Q34" s="19"/>
      <c r="R34" s="19"/>
      <c r="S34" s="19"/>
      <c r="T34" s="19"/>
      <c r="U34" s="19"/>
      <c r="V34" s="19"/>
      <c r="W34" s="20">
        <f ca="1">IFERROR(__xludf.DUMMYFUNCTION("""COMPUTED_VALUE"""),4500000)</f>
        <v>4500000</v>
      </c>
      <c r="X34" s="43" t="str">
        <f ca="1">IFERROR(__xludf.DUMMYFUNCTION("""COMPUTED_VALUE"""),"MUNICIPALIDAD DE JUAN FERNÁNDEZ")</f>
        <v>MUNICIPALIDAD DE JUAN FERNÁNDEZ</v>
      </c>
    </row>
    <row r="35" spans="1:24" ht="15.75" customHeight="1" x14ac:dyDescent="0.25">
      <c r="A35" s="16" t="str">
        <f ca="1">IFERROR(__xludf.DUMMYFUNCTION("""COMPUTED_VALUE""")," REGIÓN DEL BIOBÍO ")</f>
        <v xml:space="preserve"> REGIÓN DEL BIOBÍO </v>
      </c>
      <c r="B35" s="16" t="str">
        <f t="shared" ca="1" si="0"/>
        <v xml:space="preserve"> YUMBEL</v>
      </c>
      <c r="C35" s="16" t="str">
        <f ca="1">IFERROR(__xludf.DUMMYFUNCTION("""COMPUTED_VALUE""")," PLAN NACIONAL DE ESTERILIZACIÓN DE RESPONSABILIDAD COMPARTIDA 2023 COMUNA DE YUMBEL ")</f>
        <v xml:space="preserve"> PLAN NACIONAL DE ESTERILIZACIÓN DE RESPONSABILIDAD COMPARTIDA 2023 COMUNA DE YUMBEL </v>
      </c>
      <c r="D35" s="40">
        <f ca="1">IFERROR(__xludf.DUMMYFUNCTION("""COMPUTED_VALUE"""),83130419)</f>
        <v>83130419</v>
      </c>
      <c r="E35" s="16" t="str">
        <f ca="1">IFERROR(__xludf.DUMMYFUNCTION("""COMPUTED_VALUE""")," EN EJECUCIÓN ")</f>
        <v xml:space="preserve"> EN EJECUCIÓN </v>
      </c>
      <c r="F35" s="41">
        <f ca="1">IFERROR(__xludf.DUMMYFUNCTION("""COMPUTED_VALUE"""),45428)</f>
        <v>45428</v>
      </c>
      <c r="G35" s="16">
        <f ca="1">IFERROR(__xludf.DUMMYFUNCTION("""COMPUTED_VALUE"""),19348000)</f>
        <v>19348000</v>
      </c>
      <c r="H35" s="16" t="str">
        <f ca="1">IFERROR(__xludf.DUMMYFUNCTION("""COMPUTED_VALUE""")," EN EJECUCIÓN ")</f>
        <v xml:space="preserve"> EN EJECUCIÓN </v>
      </c>
      <c r="I35" s="16">
        <f ca="1">IFERROR(__xludf.DUMMYFUNCTION("""COMPUTED_VALUE"""),19348000)</f>
        <v>19348000</v>
      </c>
      <c r="J35" s="83" t="s">
        <v>48</v>
      </c>
      <c r="K35" s="16"/>
      <c r="L35" s="50"/>
      <c r="M35" s="16"/>
      <c r="N35" s="19"/>
      <c r="O35" s="21">
        <f ca="1">IFERROR(__xludf.DUMMYFUNCTION("""COMPUTED_VALUE"""),19348000)</f>
        <v>19348000</v>
      </c>
      <c r="P35" s="19"/>
      <c r="Q35" s="19"/>
      <c r="R35" s="19"/>
      <c r="S35" s="19"/>
      <c r="T35" s="19"/>
      <c r="U35" s="19"/>
      <c r="V35" s="19"/>
      <c r="W35" s="20">
        <f ca="1">IFERROR(__xludf.DUMMYFUNCTION("""COMPUTED_VALUE"""),19348000)</f>
        <v>19348000</v>
      </c>
      <c r="X35" s="43" t="str">
        <f ca="1">IFERROR(__xludf.DUMMYFUNCTION("""COMPUTED_VALUE"""),"MUNICIPALIDAD DE YUMBEL")</f>
        <v>MUNICIPALIDAD DE YUMBEL</v>
      </c>
    </row>
    <row r="36" spans="1:24" ht="15.75" customHeight="1" x14ac:dyDescent="0.25">
      <c r="A36" s="16" t="str">
        <f ca="1">IFERROR(__xludf.DUMMYFUNCTION("""COMPUTED_VALUE""")," REGIÓN DEL BIOBÍO ")</f>
        <v xml:space="preserve"> REGIÓN DEL BIOBÍO </v>
      </c>
      <c r="B36" s="16" t="str">
        <f t="shared" ca="1" si="0"/>
        <v xml:space="preserve"> ARAUCO</v>
      </c>
      <c r="C36" s="16" t="str">
        <f ca="1">IFERROR(__xludf.DUMMYFUNCTION("""COMPUTED_VALUE""")," PLAN NACIONAL DE ESTERILIZACIONES RESPONSABILIDAD COMPARTIDA 2023 COMUNA DE ARAUCO ")</f>
        <v xml:space="preserve"> PLAN NACIONAL DE ESTERILIZACIONES RESPONSABILIDAD COMPARTIDA 2023 COMUNA DE ARAUCO </v>
      </c>
      <c r="D36" s="40">
        <f ca="1">IFERROR(__xludf.DUMMYFUNCTION("""COMPUTED_VALUE"""),82020455)</f>
        <v>82020455</v>
      </c>
      <c r="E36" s="16" t="str">
        <f ca="1">IFERROR(__xludf.DUMMYFUNCTION("""COMPUTED_VALUE""")," EN EJECUCIÓN ")</f>
        <v xml:space="preserve"> EN EJECUCIÓN </v>
      </c>
      <c r="F36" s="41">
        <f ca="1">IFERROR(__xludf.DUMMYFUNCTION("""COMPUTED_VALUE"""),45415)</f>
        <v>45415</v>
      </c>
      <c r="G36" s="16">
        <f ca="1">IFERROR(__xludf.DUMMYFUNCTION("""COMPUTED_VALUE"""),16800000)</f>
        <v>16800000</v>
      </c>
      <c r="H36" s="16" t="str">
        <f ca="1">IFERROR(__xludf.DUMMYFUNCTION("""COMPUTED_VALUE""")," EN EJECUCIÓN ")</f>
        <v xml:space="preserve"> EN EJECUCIÓN </v>
      </c>
      <c r="I36" s="16">
        <f ca="1">IFERROR(__xludf.DUMMYFUNCTION("""COMPUTED_VALUE"""),16800000)</f>
        <v>16800000</v>
      </c>
      <c r="J36" s="83" t="s">
        <v>48</v>
      </c>
      <c r="K36" s="16"/>
      <c r="L36" s="50"/>
      <c r="M36" s="16"/>
      <c r="N36" s="19"/>
      <c r="O36" s="21">
        <f ca="1">IFERROR(__xludf.DUMMYFUNCTION("""COMPUTED_VALUE"""),16800000)</f>
        <v>16800000</v>
      </c>
      <c r="P36" s="19"/>
      <c r="Q36" s="19"/>
      <c r="R36" s="19"/>
      <c r="S36" s="19"/>
      <c r="T36" s="19"/>
      <c r="U36" s="19"/>
      <c r="V36" s="19"/>
      <c r="W36" s="20">
        <f ca="1">IFERROR(__xludf.DUMMYFUNCTION("""COMPUTED_VALUE"""),16800000)</f>
        <v>16800000</v>
      </c>
      <c r="X36" s="43" t="str">
        <f ca="1">IFERROR(__xludf.DUMMYFUNCTION("""COMPUTED_VALUE"""),"MUNICIPALIDAD DE ARAUCO")</f>
        <v>MUNICIPALIDAD DE ARAUCO</v>
      </c>
    </row>
    <row r="37" spans="1:24" ht="15.75" customHeight="1" x14ac:dyDescent="0.25">
      <c r="A37" s="16" t="str">
        <f ca="1">IFERROR(__xludf.DUMMYFUNCTION("""COMPUTED_VALUE""")," REGIÓN DEL BIOBÍO ")</f>
        <v xml:space="preserve"> REGIÓN DEL BIOBÍO </v>
      </c>
      <c r="B37" s="16" t="str">
        <f t="shared" ca="1" si="0"/>
        <v xml:space="preserve"> CAÑETE</v>
      </c>
      <c r="C37" s="16" t="str">
        <f ca="1">IFERROR(__xludf.DUMMYFUNCTION("""COMPUTED_VALUE""")," PLAN NACIONAL DE ESTERILIZACIONES RESPONSABILIDAD COMPARTIDA 2023 COMUNA DE CAÑETE ")</f>
        <v xml:space="preserve"> PLAN NACIONAL DE ESTERILIZACIONES RESPONSABILIDAD COMPARTIDA 2023 COMUNA DE CAÑETE </v>
      </c>
      <c r="D37" s="40">
        <f ca="1">IFERROR(__xludf.DUMMYFUNCTION("""COMPUTED_VALUE"""),82030458)</f>
        <v>82030458</v>
      </c>
      <c r="E37" s="16" t="str">
        <f ca="1">IFERROR(__xludf.DUMMYFUNCTION("""COMPUTED_VALUE""")," EN EJECUCIÓN ")</f>
        <v xml:space="preserve"> EN EJECUCIÓN </v>
      </c>
      <c r="F37" s="41">
        <f ca="1">IFERROR(__xludf.DUMMYFUNCTION("""COMPUTED_VALUE"""),45415)</f>
        <v>45415</v>
      </c>
      <c r="G37" s="16">
        <f ca="1">IFERROR(__xludf.DUMMYFUNCTION("""COMPUTED_VALUE"""),43800000)</f>
        <v>43800000</v>
      </c>
      <c r="H37" s="16" t="str">
        <f ca="1">IFERROR(__xludf.DUMMYFUNCTION("""COMPUTED_VALUE""")," EN EJECUCIÓN ")</f>
        <v xml:space="preserve"> EN EJECUCIÓN </v>
      </c>
      <c r="I37" s="16">
        <f ca="1">IFERROR(__xludf.DUMMYFUNCTION("""COMPUTED_VALUE"""),43800000)</f>
        <v>43800000</v>
      </c>
      <c r="J37" s="83" t="s">
        <v>48</v>
      </c>
      <c r="K37" s="16"/>
      <c r="L37" s="50"/>
      <c r="M37" s="16"/>
      <c r="N37" s="19"/>
      <c r="O37" s="21">
        <f ca="1">IFERROR(__xludf.DUMMYFUNCTION("""COMPUTED_VALUE"""),43800000)</f>
        <v>43800000</v>
      </c>
      <c r="P37" s="19"/>
      <c r="Q37" s="19"/>
      <c r="R37" s="19"/>
      <c r="S37" s="19"/>
      <c r="T37" s="19"/>
      <c r="U37" s="19"/>
      <c r="V37" s="19"/>
      <c r="W37" s="20">
        <f ca="1">IFERROR(__xludf.DUMMYFUNCTION("""COMPUTED_VALUE"""),43800000)</f>
        <v>43800000</v>
      </c>
      <c r="X37" s="43" t="str">
        <f ca="1">IFERROR(__xludf.DUMMYFUNCTION("""COMPUTED_VALUE"""),"MUNICIPALIDAD DE CAÑETE")</f>
        <v>MUNICIPALIDAD DE CAÑETE</v>
      </c>
    </row>
    <row r="38" spans="1:24" ht="15.75" customHeight="1" x14ac:dyDescent="0.25">
      <c r="A38" s="16" t="str">
        <f ca="1">IFERROR(__xludf.DUMMYFUNCTION("""COMPUTED_VALUE""")," REGIÓN DEL BIOBÍO ")</f>
        <v xml:space="preserve"> REGIÓN DEL BIOBÍO </v>
      </c>
      <c r="B38" s="16" t="str">
        <f t="shared" ca="1" si="0"/>
        <v xml:space="preserve"> LOS ÁLAMOS</v>
      </c>
      <c r="C38" s="16" t="str">
        <f ca="1">IFERROR(__xludf.DUMMYFUNCTION("""COMPUTED_VALUE""")," PLAN NACIONAL DE ESTERILIZACIONES RESPONSABILIDAD COMPARTIDA AÑO 2023, COMUNA DE LOS ALAMOS. ")</f>
        <v xml:space="preserve"> PLAN NACIONAL DE ESTERILIZACIONES RESPONSABILIDAD COMPARTIDA AÑO 2023, COMUNA DE LOS ALAMOS. </v>
      </c>
      <c r="D38" s="40">
        <f ca="1">IFERROR(__xludf.DUMMYFUNCTION("""COMPUTED_VALUE"""),82060461)</f>
        <v>82060461</v>
      </c>
      <c r="E38" s="16" t="str">
        <f ca="1">IFERROR(__xludf.DUMMYFUNCTION("""COMPUTED_VALUE""")," EN EJECUCIÓN ")</f>
        <v xml:space="preserve"> EN EJECUCIÓN </v>
      </c>
      <c r="F38" s="41">
        <f ca="1">IFERROR(__xludf.DUMMYFUNCTION("""COMPUTED_VALUE"""),45415)</f>
        <v>45415</v>
      </c>
      <c r="G38" s="16">
        <f ca="1">IFERROR(__xludf.DUMMYFUNCTION("""COMPUTED_VALUE"""),23000000)</f>
        <v>23000000</v>
      </c>
      <c r="H38" s="16" t="str">
        <f ca="1">IFERROR(__xludf.DUMMYFUNCTION("""COMPUTED_VALUE""")," EN EJECUCIÓN ")</f>
        <v xml:space="preserve"> EN EJECUCIÓN </v>
      </c>
      <c r="I38" s="16">
        <f ca="1">IFERROR(__xludf.DUMMYFUNCTION("""COMPUTED_VALUE"""),23000000)</f>
        <v>23000000</v>
      </c>
      <c r="J38" s="83" t="s">
        <v>48</v>
      </c>
      <c r="K38" s="16"/>
      <c r="L38" s="50"/>
      <c r="M38" s="16"/>
      <c r="N38" s="19"/>
      <c r="O38" s="21">
        <f ca="1">IFERROR(__xludf.DUMMYFUNCTION("""COMPUTED_VALUE"""),23000000)</f>
        <v>23000000</v>
      </c>
      <c r="P38" s="19"/>
      <c r="Q38" s="19"/>
      <c r="R38" s="19"/>
      <c r="S38" s="19"/>
      <c r="T38" s="19"/>
      <c r="U38" s="19"/>
      <c r="V38" s="19"/>
      <c r="W38" s="20">
        <f ca="1">IFERROR(__xludf.DUMMYFUNCTION("""COMPUTED_VALUE"""),23000000)</f>
        <v>23000000</v>
      </c>
      <c r="X38" s="43" t="str">
        <f ca="1">IFERROR(__xludf.DUMMYFUNCTION("""COMPUTED_VALUE"""),"MUNICIPALIDAD DE LOS ÁLAMOS")</f>
        <v>MUNICIPALIDAD DE LOS ÁLAMOS</v>
      </c>
    </row>
    <row r="39" spans="1:24" ht="15.75" customHeight="1" x14ac:dyDescent="0.25">
      <c r="A39" s="16" t="str">
        <f ca="1">IFERROR(__xludf.DUMMYFUNCTION("""COMPUTED_VALUE""")," REGIÓN DE LA ARAUCANÍA ")</f>
        <v xml:space="preserve"> REGIÓN DE LA ARAUCANÍA </v>
      </c>
      <c r="B39" s="16" t="str">
        <f t="shared" ca="1" si="0"/>
        <v xml:space="preserve"> VILLARRICA</v>
      </c>
      <c r="C39" s="16" t="str">
        <f ca="1">IFERROR(__xludf.DUMMYFUNCTION("""COMPUTED_VALUE""")," PLAN NACIONAL DE ESTERILIZACIONES RESPONSABILIDAD COMPARTIDA 2023 COMUNA DE VILLARRICA ")</f>
        <v xml:space="preserve"> PLAN NACIONAL DE ESTERILIZACIONES RESPONSABILIDAD COMPARTIDA 2023 COMUNA DE VILLARRICA </v>
      </c>
      <c r="D39" s="40">
        <f ca="1">IFERROR(__xludf.DUMMYFUNCTION("""COMPUTED_VALUE"""),91200305)</f>
        <v>91200305</v>
      </c>
      <c r="E39" s="16" t="str">
        <f ca="1">IFERROR(__xludf.DUMMYFUNCTION("""COMPUTED_VALUE""")," EN EJECUCIÓN ")</f>
        <v xml:space="preserve"> EN EJECUCIÓN </v>
      </c>
      <c r="F39" s="41">
        <f ca="1">IFERROR(__xludf.DUMMYFUNCTION("""COMPUTED_VALUE"""),45420)</f>
        <v>45420</v>
      </c>
      <c r="G39" s="16">
        <f ca="1">IFERROR(__xludf.DUMMYFUNCTION("""COMPUTED_VALUE"""),29200000)</f>
        <v>29200000</v>
      </c>
      <c r="H39" s="16" t="str">
        <f ca="1">IFERROR(__xludf.DUMMYFUNCTION("""COMPUTED_VALUE""")," EN EJECUCIÓN ")</f>
        <v xml:space="preserve"> EN EJECUCIÓN </v>
      </c>
      <c r="I39" s="16">
        <f ca="1">IFERROR(__xludf.DUMMYFUNCTION("""COMPUTED_VALUE"""),29200000)</f>
        <v>29200000</v>
      </c>
      <c r="J39" s="83" t="s">
        <v>48</v>
      </c>
      <c r="K39" s="16"/>
      <c r="L39" s="50"/>
      <c r="M39" s="16"/>
      <c r="N39" s="19"/>
      <c r="O39" s="21">
        <f ca="1">IFERROR(__xludf.DUMMYFUNCTION("""COMPUTED_VALUE"""),29200000)</f>
        <v>29200000</v>
      </c>
      <c r="P39" s="19"/>
      <c r="Q39" s="19"/>
      <c r="R39" s="19"/>
      <c r="S39" s="19"/>
      <c r="T39" s="19"/>
      <c r="U39" s="19"/>
      <c r="V39" s="19"/>
      <c r="W39" s="20">
        <f ca="1">IFERROR(__xludf.DUMMYFUNCTION("""COMPUTED_VALUE"""),29200000)</f>
        <v>29200000</v>
      </c>
      <c r="X39" s="43" t="str">
        <f ca="1">IFERROR(__xludf.DUMMYFUNCTION("""COMPUTED_VALUE"""),"MUNICIPALIDAD DE VILLARRICA")</f>
        <v>MUNICIPALIDAD DE VILLARRICA</v>
      </c>
    </row>
    <row r="40" spans="1:24" ht="15.75" customHeight="1" x14ac:dyDescent="0.25">
      <c r="A40" s="16" t="str">
        <f ca="1">IFERROR(__xludf.DUMMYFUNCTION("""COMPUTED_VALUE""")," REGIÓN DE LOS LAGOS ")</f>
        <v xml:space="preserve"> REGIÓN DE LOS LAGOS </v>
      </c>
      <c r="B40" s="16" t="str">
        <f t="shared" ca="1" si="0"/>
        <v xml:space="preserve"> LOS MUERMOS</v>
      </c>
      <c r="C40" s="16" t="str">
        <f ca="1">IFERROR(__xludf.DUMMYFUNCTION("""COMPUTED_VALUE""")," PLAN NACIONAL DE ESTERILIZACIONES RESPONSABILIDAD COMPARTIDA 2023 COMUNA DE LOS MUERMOS ")</f>
        <v xml:space="preserve"> PLAN NACIONAL DE ESTERILIZACIONES RESPONSABILIDAD COMPARTIDA 2023 COMUNA DE LOS MUERMOS </v>
      </c>
      <c r="D40" s="40">
        <f ca="1">IFERROR(__xludf.DUMMYFUNCTION("""COMPUTED_VALUE"""),101060340)</f>
        <v>101060340</v>
      </c>
      <c r="E40" s="16" t="str">
        <f ca="1">IFERROR(__xludf.DUMMYFUNCTION("""COMPUTED_VALUE""")," EN EJECUCIÓN ")</f>
        <v xml:space="preserve"> EN EJECUCIÓN </v>
      </c>
      <c r="F40" s="41">
        <f ca="1">IFERROR(__xludf.DUMMYFUNCTION("""COMPUTED_VALUE"""),45415)</f>
        <v>45415</v>
      </c>
      <c r="G40" s="16">
        <f ca="1">IFERROR(__xludf.DUMMYFUNCTION("""COMPUTED_VALUE"""),23300000)</f>
        <v>23300000</v>
      </c>
      <c r="H40" s="16" t="str">
        <f ca="1">IFERROR(__xludf.DUMMYFUNCTION("""COMPUTED_VALUE""")," EN EJECUCIÓN ")</f>
        <v xml:space="preserve"> EN EJECUCIÓN </v>
      </c>
      <c r="I40" s="16">
        <f ca="1">IFERROR(__xludf.DUMMYFUNCTION("""COMPUTED_VALUE"""),23300000)</f>
        <v>23300000</v>
      </c>
      <c r="J40" s="83" t="s">
        <v>48</v>
      </c>
      <c r="K40" s="16"/>
      <c r="L40" s="50"/>
      <c r="M40" s="16"/>
      <c r="N40" s="19"/>
      <c r="O40" s="21">
        <f ca="1">IFERROR(__xludf.DUMMYFUNCTION("""COMPUTED_VALUE"""),23300000)</f>
        <v>23300000</v>
      </c>
      <c r="P40" s="19"/>
      <c r="Q40" s="19"/>
      <c r="R40" s="19"/>
      <c r="S40" s="19"/>
      <c r="T40" s="19"/>
      <c r="U40" s="19"/>
      <c r="V40" s="19"/>
      <c r="W40" s="20">
        <f ca="1">IFERROR(__xludf.DUMMYFUNCTION("""COMPUTED_VALUE"""),23300000)</f>
        <v>23300000</v>
      </c>
      <c r="X40" s="43" t="str">
        <f ca="1">IFERROR(__xludf.DUMMYFUNCTION("""COMPUTED_VALUE"""),"MUNICIPALIDAD DE LOS MUERMOS")</f>
        <v>MUNICIPALIDAD DE LOS MUERMOS</v>
      </c>
    </row>
    <row r="41" spans="1:24" ht="15.75" customHeight="1" x14ac:dyDescent="0.25">
      <c r="A41" s="16" t="str">
        <f ca="1">IFERROR(__xludf.DUMMYFUNCTION("""COMPUTED_VALUE""")," REGIÓN DE LOS LAGOS ")</f>
        <v xml:space="preserve"> REGIÓN DE LOS LAGOS </v>
      </c>
      <c r="B41" s="16" t="str">
        <f t="shared" ca="1" si="0"/>
        <v xml:space="preserve"> FRUTILLAR</v>
      </c>
      <c r="C41" s="16" t="str">
        <f ca="1">IFERROR(__xludf.DUMMYFUNCTION("""COMPUTED_VALUE""")," PLAN NACIONAL DE ESTERILIZACIONES RESPONSABILIDAD COMPARTIDA AÑO 2023 COMUNA DE FRUTILLAR ")</f>
        <v xml:space="preserve"> PLAN NACIONAL DE ESTERILIZACIONES RESPONSABILIDAD COMPARTIDA AÑO 2023 COMUNA DE FRUTILLAR </v>
      </c>
      <c r="D41" s="40">
        <f ca="1">IFERROR(__xludf.DUMMYFUNCTION("""COMPUTED_VALUE"""),101050347)</f>
        <v>101050347</v>
      </c>
      <c r="E41" s="16" t="str">
        <f ca="1">IFERROR(__xludf.DUMMYFUNCTION("""COMPUTED_VALUE""")," EN EJECUCIÓN ")</f>
        <v xml:space="preserve"> EN EJECUCIÓN </v>
      </c>
      <c r="F41" s="41">
        <f ca="1">IFERROR(__xludf.DUMMYFUNCTION("""COMPUTED_VALUE"""),45415)</f>
        <v>45415</v>
      </c>
      <c r="G41" s="16">
        <f ca="1">IFERROR(__xludf.DUMMYFUNCTION("""COMPUTED_VALUE"""),28600000)</f>
        <v>28600000</v>
      </c>
      <c r="H41" s="16" t="str">
        <f ca="1">IFERROR(__xludf.DUMMYFUNCTION("""COMPUTED_VALUE""")," EN EJECUCIÓN ")</f>
        <v xml:space="preserve"> EN EJECUCIÓN </v>
      </c>
      <c r="I41" s="16">
        <f ca="1">IFERROR(__xludf.DUMMYFUNCTION("""COMPUTED_VALUE"""),28600000)</f>
        <v>28600000</v>
      </c>
      <c r="J41" s="83" t="s">
        <v>48</v>
      </c>
      <c r="K41" s="16"/>
      <c r="L41" s="50"/>
      <c r="M41" s="16"/>
      <c r="N41" s="19"/>
      <c r="O41" s="21">
        <f ca="1">IFERROR(__xludf.DUMMYFUNCTION("""COMPUTED_VALUE"""),28600000)</f>
        <v>28600000</v>
      </c>
      <c r="P41" s="19"/>
      <c r="Q41" s="19"/>
      <c r="R41" s="19"/>
      <c r="S41" s="19"/>
      <c r="T41" s="19"/>
      <c r="U41" s="19"/>
      <c r="V41" s="19"/>
      <c r="W41" s="20">
        <f ca="1">IFERROR(__xludf.DUMMYFUNCTION("""COMPUTED_VALUE"""),28600000)</f>
        <v>28600000</v>
      </c>
      <c r="X41" s="43" t="str">
        <f ca="1">IFERROR(__xludf.DUMMYFUNCTION("""COMPUTED_VALUE"""),"MUNICIPALIDAD DE FRUTILLAR")</f>
        <v>MUNICIPALIDAD DE FRUTILLAR</v>
      </c>
    </row>
    <row r="42" spans="1:24" ht="15.75" customHeight="1" x14ac:dyDescent="0.25">
      <c r="A42" s="16" t="str">
        <f ca="1">IFERROR(__xludf.DUMMYFUNCTION("""COMPUTED_VALUE""")," REGIÓN METROPOLITANA ")</f>
        <v xml:space="preserve"> REGIÓN METROPOLITANA </v>
      </c>
      <c r="B42" s="16" t="str">
        <f t="shared" ca="1" si="0"/>
        <v xml:space="preserve"> ÑUÑOA</v>
      </c>
      <c r="C42" s="16" t="str">
        <f ca="1">IFERROR(__xludf.DUMMYFUNCTION("""COMPUTED_VALUE""")," PLAN NACIONAL DE ESTERILIZACIONES RESPONSABILIDAD COMPARTIDA 2023 COMUNA DE ÑUÑOA ")</f>
        <v xml:space="preserve"> PLAN NACIONAL DE ESTERILIZACIONES RESPONSABILIDAD COMPARTIDA 2023 COMUNA DE ÑUÑOA </v>
      </c>
      <c r="D42" s="40">
        <f ca="1">IFERROR(__xludf.DUMMYFUNCTION("""COMPUTED_VALUE"""),131200379)</f>
        <v>131200379</v>
      </c>
      <c r="E42" s="16" t="str">
        <f ca="1">IFERROR(__xludf.DUMMYFUNCTION("""COMPUTED_VALUE""")," EN EJECUCIÓN ")</f>
        <v xml:space="preserve"> EN EJECUCIÓN </v>
      </c>
      <c r="F42" s="41">
        <f ca="1">IFERROR(__xludf.DUMMYFUNCTION("""COMPUTED_VALUE"""),45415)</f>
        <v>45415</v>
      </c>
      <c r="G42" s="16">
        <f ca="1">IFERROR(__xludf.DUMMYFUNCTION("""COMPUTED_VALUE"""),67300000)</f>
        <v>67300000</v>
      </c>
      <c r="H42" s="16" t="str">
        <f ca="1">IFERROR(__xludf.DUMMYFUNCTION("""COMPUTED_VALUE""")," EN EJECUCIÓN ")</f>
        <v xml:space="preserve"> EN EJECUCIÓN </v>
      </c>
      <c r="I42" s="16">
        <f ca="1">IFERROR(__xludf.DUMMYFUNCTION("""COMPUTED_VALUE"""),67300000)</f>
        <v>67300000</v>
      </c>
      <c r="J42" s="83" t="s">
        <v>48</v>
      </c>
      <c r="K42" s="16"/>
      <c r="L42" s="50"/>
      <c r="M42" s="16"/>
      <c r="N42" s="19"/>
      <c r="O42" s="21">
        <f ca="1">IFERROR(__xludf.DUMMYFUNCTION("""COMPUTED_VALUE"""),67300000)</f>
        <v>67300000</v>
      </c>
      <c r="P42" s="19"/>
      <c r="Q42" s="19"/>
      <c r="R42" s="19"/>
      <c r="S42" s="19"/>
      <c r="T42" s="19"/>
      <c r="U42" s="19"/>
      <c r="V42" s="19"/>
      <c r="W42" s="20">
        <f ca="1">IFERROR(__xludf.DUMMYFUNCTION("""COMPUTED_VALUE"""),67300000)</f>
        <v>67300000</v>
      </c>
      <c r="X42" s="43" t="str">
        <f ca="1">IFERROR(__xludf.DUMMYFUNCTION("""COMPUTED_VALUE"""),"MUNICIPALIDAD DE ÑUÑOA")</f>
        <v>MUNICIPALIDAD DE ÑUÑOA</v>
      </c>
    </row>
    <row r="43" spans="1:24" ht="15.75" customHeight="1" x14ac:dyDescent="0.25">
      <c r="A43" s="16" t="str">
        <f ca="1">IFERROR(__xludf.DUMMYFUNCTION("""COMPUTED_VALUE""")," REGIÓN METROPOLITANA ")</f>
        <v xml:space="preserve"> REGIÓN METROPOLITANA </v>
      </c>
      <c r="B43" s="16" t="str">
        <f t="shared" ca="1" si="0"/>
        <v xml:space="preserve"> LAMPA</v>
      </c>
      <c r="C43" s="16" t="str">
        <f ca="1">IFERROR(__xludf.DUMMYFUNCTION("""COMPUTED_VALUE""")," PLAN NACIONAL DE ESTERILIZACION RESPONSABILIDAD COMPARTIDA AÑO 2023, COMUNA DE LAMPA ")</f>
        <v xml:space="preserve"> PLAN NACIONAL DE ESTERILIZACION RESPONSABILIDAD COMPARTIDA AÑO 2023, COMUNA DE LAMPA </v>
      </c>
      <c r="D43" s="40">
        <f ca="1">IFERROR(__xludf.DUMMYFUNCTION("""COMPUTED_VALUE"""),133020383)</f>
        <v>133020383</v>
      </c>
      <c r="E43" s="16" t="str">
        <f ca="1">IFERROR(__xludf.DUMMYFUNCTION("""COMPUTED_VALUE""")," EN EJECUCIÓN ")</f>
        <v xml:space="preserve"> EN EJECUCIÓN </v>
      </c>
      <c r="F43" s="41">
        <f ca="1">IFERROR(__xludf.DUMMYFUNCTION("""COMPUTED_VALUE"""),45415)</f>
        <v>45415</v>
      </c>
      <c r="G43" s="16">
        <f ca="1">IFERROR(__xludf.DUMMYFUNCTION("""COMPUTED_VALUE"""),56000000)</f>
        <v>56000000</v>
      </c>
      <c r="H43" s="16" t="str">
        <f ca="1">IFERROR(__xludf.DUMMYFUNCTION("""COMPUTED_VALUE""")," EN EJECUCIÓN ")</f>
        <v xml:space="preserve"> EN EJECUCIÓN </v>
      </c>
      <c r="I43" s="16">
        <f ca="1">IFERROR(__xludf.DUMMYFUNCTION("""COMPUTED_VALUE"""),56000000)</f>
        <v>56000000</v>
      </c>
      <c r="J43" s="83" t="s">
        <v>48</v>
      </c>
      <c r="K43" s="16"/>
      <c r="L43" s="50"/>
      <c r="M43" s="16"/>
      <c r="N43" s="19"/>
      <c r="O43" s="21">
        <f ca="1">IFERROR(__xludf.DUMMYFUNCTION("""COMPUTED_VALUE"""),56000000)</f>
        <v>56000000</v>
      </c>
      <c r="P43" s="19"/>
      <c r="Q43" s="19"/>
      <c r="R43" s="19"/>
      <c r="S43" s="19"/>
      <c r="T43" s="19"/>
      <c r="U43" s="19"/>
      <c r="V43" s="19"/>
      <c r="W43" s="20">
        <f ca="1">IFERROR(__xludf.DUMMYFUNCTION("""COMPUTED_VALUE"""),56000000)</f>
        <v>56000000</v>
      </c>
      <c r="X43" s="43" t="str">
        <f ca="1">IFERROR(__xludf.DUMMYFUNCTION("""COMPUTED_VALUE"""),"MUNICIPALIDAD DE LAMPA")</f>
        <v>MUNICIPALIDAD DE LAMPA</v>
      </c>
    </row>
    <row r="44" spans="1:24" ht="15.75" customHeight="1" x14ac:dyDescent="0.25">
      <c r="A44" s="16" t="str">
        <f ca="1">IFERROR(__xludf.DUMMYFUNCTION("""COMPUTED_VALUE""")," REGIÓN METROPOLITANA ")</f>
        <v xml:space="preserve"> REGIÓN METROPOLITANA </v>
      </c>
      <c r="B44" s="16" t="str">
        <f t="shared" ca="1" si="0"/>
        <v xml:space="preserve"> ALHUÉ</v>
      </c>
      <c r="C44" s="16" t="str">
        <f ca="1">IFERROR(__xludf.DUMMYFUNCTION("""COMPUTED_VALUE""")," PLAN NACIONAL DE ESTERILIZACIONES RESPONSABILIDAD COMPARTIDA 2023 COMUNA DE ALHUÉ ")</f>
        <v xml:space="preserve"> PLAN NACIONAL DE ESTERILIZACIONES RESPONSABILIDAD COMPARTIDA 2023 COMUNA DE ALHUÉ </v>
      </c>
      <c r="D44" s="40">
        <f ca="1">IFERROR(__xludf.DUMMYFUNCTION("""COMPUTED_VALUE"""),135020388)</f>
        <v>135020388</v>
      </c>
      <c r="E44" s="16" t="str">
        <f ca="1">IFERROR(__xludf.DUMMYFUNCTION("""COMPUTED_VALUE""")," EN EJECUCIÓN ")</f>
        <v xml:space="preserve"> EN EJECUCIÓN </v>
      </c>
      <c r="F44" s="41">
        <f ca="1">IFERROR(__xludf.DUMMYFUNCTION("""COMPUTED_VALUE"""),45415)</f>
        <v>45415</v>
      </c>
      <c r="G44" s="16">
        <f ca="1">IFERROR(__xludf.DUMMYFUNCTION("""COMPUTED_VALUE"""),14300000)</f>
        <v>14300000</v>
      </c>
      <c r="H44" s="16" t="str">
        <f ca="1">IFERROR(__xludf.DUMMYFUNCTION("""COMPUTED_VALUE""")," EN EJECUCIÓN ")</f>
        <v xml:space="preserve"> EN EJECUCIÓN </v>
      </c>
      <c r="I44" s="16">
        <f ca="1">IFERROR(__xludf.DUMMYFUNCTION("""COMPUTED_VALUE"""),14300000)</f>
        <v>14300000</v>
      </c>
      <c r="J44" s="83" t="s">
        <v>48</v>
      </c>
      <c r="K44" s="16"/>
      <c r="L44" s="50"/>
      <c r="M44" s="16"/>
      <c r="N44" s="19"/>
      <c r="O44" s="21">
        <f ca="1">IFERROR(__xludf.DUMMYFUNCTION("""COMPUTED_VALUE"""),14300000)</f>
        <v>14300000</v>
      </c>
      <c r="P44" s="19"/>
      <c r="Q44" s="19"/>
      <c r="R44" s="19"/>
      <c r="S44" s="19"/>
      <c r="T44" s="19"/>
      <c r="U44" s="19"/>
      <c r="V44" s="19"/>
      <c r="W44" s="20">
        <f ca="1">IFERROR(__xludf.DUMMYFUNCTION("""COMPUTED_VALUE"""),14300000)</f>
        <v>14300000</v>
      </c>
      <c r="X44" s="43" t="str">
        <f ca="1">IFERROR(__xludf.DUMMYFUNCTION("""COMPUTED_VALUE"""),"MUNICIPALIDAD DE ALHUÉ")</f>
        <v>MUNICIPALIDAD DE ALHUÉ</v>
      </c>
    </row>
    <row r="45" spans="1:24" ht="15.75" customHeight="1" x14ac:dyDescent="0.25">
      <c r="A45" s="16" t="str">
        <f ca="1">IFERROR(__xludf.DUMMYFUNCTION("""COMPUTED_VALUE""")," REGIÓN METROPOLITANA ")</f>
        <v xml:space="preserve"> REGIÓN METROPOLITANA </v>
      </c>
      <c r="B45" s="16" t="str">
        <f t="shared" ca="1" si="0"/>
        <v xml:space="preserve"> LA PINTANA</v>
      </c>
      <c r="C45" s="16" t="str">
        <f ca="1">IFERROR(__xludf.DUMMYFUNCTION("""COMPUTED_VALUE""")," PLAN NACIONAL DE ESTERILIZACIONES RESPONSABILIDAD COMPARTIDA AÑO 2023 COMUNA DE LA PINTANA ")</f>
        <v xml:space="preserve"> PLAN NACIONAL DE ESTERILIZACIONES RESPONSABILIDAD COMPARTIDA AÑO 2023 COMUNA DE LA PINTANA </v>
      </c>
      <c r="D45" s="40">
        <f ca="1">IFERROR(__xludf.DUMMYFUNCTION("""COMPUTED_VALUE"""),131120389)</f>
        <v>131120389</v>
      </c>
      <c r="E45" s="16" t="str">
        <f ca="1">IFERROR(__xludf.DUMMYFUNCTION("""COMPUTED_VALUE""")," EN EJECUCIÓN ")</f>
        <v xml:space="preserve"> EN EJECUCIÓN </v>
      </c>
      <c r="F45" s="41">
        <f ca="1">IFERROR(__xludf.DUMMYFUNCTION("""COMPUTED_VALUE"""),45415)</f>
        <v>45415</v>
      </c>
      <c r="G45" s="16">
        <f ca="1">IFERROR(__xludf.DUMMYFUNCTION("""COMPUTED_VALUE"""),82200000)</f>
        <v>82200000</v>
      </c>
      <c r="H45" s="16" t="str">
        <f ca="1">IFERROR(__xludf.DUMMYFUNCTION("""COMPUTED_VALUE""")," EN EJECUCIÓN ")</f>
        <v xml:space="preserve"> EN EJECUCIÓN </v>
      </c>
      <c r="I45" s="16">
        <f ca="1">IFERROR(__xludf.DUMMYFUNCTION("""COMPUTED_VALUE"""),82200000)</f>
        <v>82200000</v>
      </c>
      <c r="J45" s="83" t="s">
        <v>48</v>
      </c>
      <c r="K45" s="16"/>
      <c r="L45" s="50"/>
      <c r="M45" s="16"/>
      <c r="N45" s="19"/>
      <c r="O45" s="21">
        <f ca="1">IFERROR(__xludf.DUMMYFUNCTION("""COMPUTED_VALUE"""),82200000)</f>
        <v>82200000</v>
      </c>
      <c r="P45" s="19"/>
      <c r="Q45" s="19"/>
      <c r="R45" s="19"/>
      <c r="S45" s="19"/>
      <c r="T45" s="19"/>
      <c r="U45" s="19"/>
      <c r="V45" s="19"/>
      <c r="W45" s="20">
        <f ca="1">IFERROR(__xludf.DUMMYFUNCTION("""COMPUTED_VALUE"""),82200000)</f>
        <v>82200000</v>
      </c>
      <c r="X45" s="43" t="str">
        <f ca="1">IFERROR(__xludf.DUMMYFUNCTION("""COMPUTED_VALUE"""),"MUNICIPALIDAD DE LA PINTANA")</f>
        <v>MUNICIPALIDAD DE LA PINTANA</v>
      </c>
    </row>
    <row r="46" spans="1:24" ht="15.75" customHeight="1" x14ac:dyDescent="0.25">
      <c r="A46" s="16" t="str">
        <f ca="1">IFERROR(__xludf.DUMMYFUNCTION("""COMPUTED_VALUE""")," REGIÓN METROPOLITANA ")</f>
        <v xml:space="preserve"> REGIÓN METROPOLITANA </v>
      </c>
      <c r="B46" s="16" t="str">
        <f t="shared" ca="1" si="0"/>
        <v xml:space="preserve"> TALAGANTE</v>
      </c>
      <c r="C46" s="16" t="str">
        <f ca="1">IFERROR(__xludf.DUMMYFUNCTION("""COMPUTED_VALUE""")," PLAN NACIONAL DE ESTERILIZACIONES RESPONSABILIDAD COMPARTIDA 2023 COMUNA DE TALAGANTE ")</f>
        <v xml:space="preserve"> PLAN NACIONAL DE ESTERILIZACIONES RESPONSABILIDAD COMPARTIDA 2023 COMUNA DE TALAGANTE </v>
      </c>
      <c r="D46" s="40">
        <f ca="1">IFERROR(__xludf.DUMMYFUNCTION("""COMPUTED_VALUE"""),136010390)</f>
        <v>136010390</v>
      </c>
      <c r="E46" s="16" t="str">
        <f ca="1">IFERROR(__xludf.DUMMYFUNCTION("""COMPUTED_VALUE""")," EN EJECUCIÓN ")</f>
        <v xml:space="preserve"> EN EJECUCIÓN </v>
      </c>
      <c r="F46" s="41">
        <f ca="1">IFERROR(__xludf.DUMMYFUNCTION("""COMPUTED_VALUE"""),45429)</f>
        <v>45429</v>
      </c>
      <c r="G46" s="16">
        <f ca="1">IFERROR(__xludf.DUMMYFUNCTION("""COMPUTED_VALUE"""),28000000)</f>
        <v>28000000</v>
      </c>
      <c r="H46" s="16" t="str">
        <f ca="1">IFERROR(__xludf.DUMMYFUNCTION("""COMPUTED_VALUE""")," EN EJECUCIÓN ")</f>
        <v xml:space="preserve"> EN EJECUCIÓN </v>
      </c>
      <c r="I46" s="16">
        <f ca="1">IFERROR(__xludf.DUMMYFUNCTION("""COMPUTED_VALUE"""),28000000)</f>
        <v>28000000</v>
      </c>
      <c r="J46" s="83" t="s">
        <v>48</v>
      </c>
      <c r="K46" s="16"/>
      <c r="L46" s="50"/>
      <c r="M46" s="16"/>
      <c r="N46" s="19"/>
      <c r="O46" s="21">
        <f ca="1">IFERROR(__xludf.DUMMYFUNCTION("""COMPUTED_VALUE"""),28000000)</f>
        <v>28000000</v>
      </c>
      <c r="P46" s="19"/>
      <c r="Q46" s="19"/>
      <c r="R46" s="19"/>
      <c r="S46" s="19"/>
      <c r="T46" s="19"/>
      <c r="U46" s="19"/>
      <c r="V46" s="19"/>
      <c r="W46" s="20">
        <f ca="1">IFERROR(__xludf.DUMMYFUNCTION("""COMPUTED_VALUE"""),28000000)</f>
        <v>28000000</v>
      </c>
      <c r="X46" s="43" t="str">
        <f ca="1">IFERROR(__xludf.DUMMYFUNCTION("""COMPUTED_VALUE"""),"MUNICIPALIDAD DE TALAGANTE")</f>
        <v>MUNICIPALIDAD DE TALAGANTE</v>
      </c>
    </row>
    <row r="47" spans="1:24" ht="15.75" customHeight="1" x14ac:dyDescent="0.25">
      <c r="A47" s="16" t="str">
        <f ca="1">IFERROR(__xludf.DUMMYFUNCTION("""COMPUTED_VALUE""")," REGIÓN DE LOS RÍOS ")</f>
        <v xml:space="preserve"> REGIÓN DE LOS RÍOS </v>
      </c>
      <c r="B47" s="16" t="str">
        <f t="shared" ca="1" si="0"/>
        <v xml:space="preserve"> LA UNIÓN</v>
      </c>
      <c r="C47" s="16" t="str">
        <f ca="1">IFERROR(__xludf.DUMMYFUNCTION("""COMPUTED_VALUE""")," PLAN NACIONAL DE ESTERILIZACIONES RESPONSABILIDAD COMPARTIDA 2023 COMUNA DE LA UNIÓN ")</f>
        <v xml:space="preserve"> PLAN NACIONAL DE ESTERILIZACIONES RESPONSABILIDAD COMPARTIDA 2023 COMUNA DE LA UNIÓN </v>
      </c>
      <c r="D47" s="40">
        <f ca="1">IFERROR(__xludf.DUMMYFUNCTION("""COMPUTED_VALUE"""),142010173)</f>
        <v>142010173</v>
      </c>
      <c r="E47" s="16" t="str">
        <f ca="1">IFERROR(__xludf.DUMMYFUNCTION("""COMPUTED_VALUE""")," EN EJECUCIÓN ")</f>
        <v xml:space="preserve"> EN EJECUCIÓN </v>
      </c>
      <c r="F47" s="41">
        <f ca="1">IFERROR(__xludf.DUMMYFUNCTION("""COMPUTED_VALUE"""),45428)</f>
        <v>45428</v>
      </c>
      <c r="G47" s="16">
        <f ca="1">IFERROR(__xludf.DUMMYFUNCTION("""COMPUTED_VALUE"""),28900000)</f>
        <v>28900000</v>
      </c>
      <c r="H47" s="16" t="str">
        <f ca="1">IFERROR(__xludf.DUMMYFUNCTION("""COMPUTED_VALUE""")," EN EJECUCIÓN ")</f>
        <v xml:space="preserve"> EN EJECUCIÓN </v>
      </c>
      <c r="I47" s="16">
        <f ca="1">IFERROR(__xludf.DUMMYFUNCTION("""COMPUTED_VALUE"""),28900000)</f>
        <v>28900000</v>
      </c>
      <c r="J47" s="83" t="s">
        <v>48</v>
      </c>
      <c r="K47" s="16"/>
      <c r="L47" s="50"/>
      <c r="M47" s="16"/>
      <c r="N47" s="19"/>
      <c r="O47" s="21">
        <f ca="1">IFERROR(__xludf.DUMMYFUNCTION("""COMPUTED_VALUE"""),28900000)</f>
        <v>28900000</v>
      </c>
      <c r="P47" s="19"/>
      <c r="Q47" s="19"/>
      <c r="R47" s="19"/>
      <c r="S47" s="19"/>
      <c r="T47" s="19"/>
      <c r="U47" s="19"/>
      <c r="V47" s="19"/>
      <c r="W47" s="20">
        <f ca="1">IFERROR(__xludf.DUMMYFUNCTION("""COMPUTED_VALUE"""),28900000)</f>
        <v>28900000</v>
      </c>
      <c r="X47" s="43" t="str">
        <f ca="1">IFERROR(__xludf.DUMMYFUNCTION("""COMPUTED_VALUE"""),"MUNICIPALIDAD DE LA UNIÓN")</f>
        <v>MUNICIPALIDAD DE LA UNIÓN</v>
      </c>
    </row>
    <row r="48" spans="1:24" ht="15.75" customHeight="1" x14ac:dyDescent="0.25">
      <c r="A48" s="16" t="str">
        <f ca="1">IFERROR(__xludf.DUMMYFUNCTION("""COMPUTED_VALUE""")," REGIÓN DE ARICA Y PARINACOTA ")</f>
        <v xml:space="preserve"> REGIÓN DE ARICA Y PARINACOTA </v>
      </c>
      <c r="B48" s="16" t="str">
        <f t="shared" ca="1" si="0"/>
        <v xml:space="preserve"> ARICA</v>
      </c>
      <c r="C48" s="16" t="str">
        <f ca="1">IFERROR(__xludf.DUMMYFUNCTION("""COMPUTED_VALUE""")," PLAN NACIONAL DE ESTERILIZACIONES RESPONSABILIDAD COMPARTIDA 2023 COMUNA DE ARICA ")</f>
        <v xml:space="preserve"> PLAN NACIONAL DE ESTERILIZACIONES RESPONSABILIDAD COMPARTIDA 2023 COMUNA DE ARICA </v>
      </c>
      <c r="D48" s="40">
        <f ca="1">IFERROR(__xludf.DUMMYFUNCTION("""COMPUTED_VALUE"""),151010042)</f>
        <v>151010042</v>
      </c>
      <c r="E48" s="16" t="str">
        <f ca="1">IFERROR(__xludf.DUMMYFUNCTION("""COMPUTED_VALUE""")," EN EJECUCIÓN ")</f>
        <v xml:space="preserve"> EN EJECUCIÓN </v>
      </c>
      <c r="F48" s="41">
        <f ca="1">IFERROR(__xludf.DUMMYFUNCTION("""COMPUTED_VALUE"""),45420)</f>
        <v>45420</v>
      </c>
      <c r="G48" s="16">
        <f ca="1">IFERROR(__xludf.DUMMYFUNCTION("""COMPUTED_VALUE"""),53000000)</f>
        <v>53000000</v>
      </c>
      <c r="H48" s="16" t="str">
        <f ca="1">IFERROR(__xludf.DUMMYFUNCTION("""COMPUTED_VALUE""")," EN EJECUCIÓN ")</f>
        <v xml:space="preserve"> EN EJECUCIÓN </v>
      </c>
      <c r="I48" s="16">
        <f ca="1">IFERROR(__xludf.DUMMYFUNCTION("""COMPUTED_VALUE"""),53000000)</f>
        <v>53000000</v>
      </c>
      <c r="J48" s="83" t="s">
        <v>48</v>
      </c>
      <c r="K48" s="16"/>
      <c r="L48" s="50"/>
      <c r="M48" s="16"/>
      <c r="N48" s="19"/>
      <c r="O48" s="21">
        <f ca="1">IFERROR(__xludf.DUMMYFUNCTION("""COMPUTED_VALUE"""),53000000)</f>
        <v>53000000</v>
      </c>
      <c r="P48" s="19"/>
      <c r="Q48" s="19"/>
      <c r="R48" s="19"/>
      <c r="S48" s="19"/>
      <c r="T48" s="19"/>
      <c r="U48" s="19"/>
      <c r="V48" s="19"/>
      <c r="W48" s="20">
        <f ca="1">IFERROR(__xludf.DUMMYFUNCTION("""COMPUTED_VALUE"""),53000000)</f>
        <v>53000000</v>
      </c>
      <c r="X48" s="43" t="str">
        <f ca="1">IFERROR(__xludf.DUMMYFUNCTION("""COMPUTED_VALUE"""),"MUNICIPALIDAD DE ARICA")</f>
        <v>MUNICIPALIDAD DE ARICA</v>
      </c>
    </row>
    <row r="49" spans="1:24" ht="15.75" customHeight="1" x14ac:dyDescent="0.25">
      <c r="A49" s="16" t="str">
        <f ca="1">IFERROR(__xludf.DUMMYFUNCTION("""COMPUTED_VALUE""")," REGIÓN DE LA ARAUCANÍA ")</f>
        <v xml:space="preserve"> REGIÓN DE LA ARAUCANÍA </v>
      </c>
      <c r="B49" s="16" t="str">
        <f t="shared" ca="1" si="0"/>
        <v xml:space="preserve"> TRAIGUÉN</v>
      </c>
      <c r="C49" s="16" t="str">
        <f ca="1">IFERROR(__xludf.DUMMYFUNCTION("""COMPUTED_VALUE""")," PLAN NACIONAL DE ESTERILIZACIONES RESPONSABILIDAD COMPARTIDA AÑO 2023, COMUNA DE TRAIGUÉN ")</f>
        <v xml:space="preserve"> PLAN NACIONAL DE ESTERILIZACIONES RESPONSABILIDAD COMPARTIDA AÑO 2023, COMUNA DE TRAIGUÉN </v>
      </c>
      <c r="D49" s="40">
        <f ca="1">IFERROR(__xludf.DUMMYFUNCTION("""COMPUTED_VALUE"""),92100304)</f>
        <v>92100304</v>
      </c>
      <c r="E49" s="16" t="str">
        <f ca="1">IFERROR(__xludf.DUMMYFUNCTION("""COMPUTED_VALUE""")," EN EJECUCIÓN ")</f>
        <v xml:space="preserve"> EN EJECUCIÓN </v>
      </c>
      <c r="F49" s="41">
        <f ca="1">IFERROR(__xludf.DUMMYFUNCTION("""COMPUTED_VALUE"""),45420)</f>
        <v>45420</v>
      </c>
      <c r="G49" s="16">
        <f ca="1">IFERROR(__xludf.DUMMYFUNCTION("""COMPUTED_VALUE"""),29800000)</f>
        <v>29800000</v>
      </c>
      <c r="H49" s="16" t="str">
        <f ca="1">IFERROR(__xludf.DUMMYFUNCTION("""COMPUTED_VALUE""")," EN EJECUCIÓN ")</f>
        <v xml:space="preserve"> EN EJECUCIÓN </v>
      </c>
      <c r="I49" s="16">
        <f ca="1">IFERROR(__xludf.DUMMYFUNCTION("""COMPUTED_VALUE"""),29800000)</f>
        <v>29800000</v>
      </c>
      <c r="J49" s="83" t="s">
        <v>48</v>
      </c>
      <c r="K49" s="16"/>
      <c r="L49" s="50"/>
      <c r="M49" s="16"/>
      <c r="N49" s="19"/>
      <c r="O49" s="21">
        <f ca="1">IFERROR(__xludf.DUMMYFUNCTION("""COMPUTED_VALUE"""),29800000)</f>
        <v>29800000</v>
      </c>
      <c r="P49" s="19"/>
      <c r="Q49" s="19"/>
      <c r="R49" s="19"/>
      <c r="S49" s="19"/>
      <c r="T49" s="19"/>
      <c r="U49" s="19"/>
      <c r="V49" s="19"/>
      <c r="W49" s="20">
        <f ca="1">IFERROR(__xludf.DUMMYFUNCTION("""COMPUTED_VALUE"""),29800000)</f>
        <v>29800000</v>
      </c>
      <c r="X49" s="43" t="str">
        <f ca="1">IFERROR(__xludf.DUMMYFUNCTION("""COMPUTED_VALUE"""),"MUNICIPALIDAD DE TRAIGUÉN")</f>
        <v>MUNICIPALIDAD DE TRAIGUÉN</v>
      </c>
    </row>
    <row r="50" spans="1:24" ht="15.75" customHeight="1" x14ac:dyDescent="0.25">
      <c r="A50" s="16" t="str">
        <f ca="1">IFERROR(__xludf.DUMMYFUNCTION("""COMPUTED_VALUE""")," REGIÓN METROPOLITANA ")</f>
        <v xml:space="preserve"> REGIÓN METROPOLITANA </v>
      </c>
      <c r="B50" s="16" t="str">
        <f t="shared" ca="1" si="0"/>
        <v xml:space="preserve"> LO ESPEJO</v>
      </c>
      <c r="C50" s="16" t="str">
        <f ca="1">IFERROR(__xludf.DUMMYFUNCTION("""COMPUTED_VALUE""")," PLAN NACIONAL DE ESTERILIZACIÓN RESPONSABILIDAD COMPARTIDA 2023 COMUNA DE LO ESPEJO ")</f>
        <v xml:space="preserve"> PLAN NACIONAL DE ESTERILIZACIÓN RESPONSABILIDAD COMPARTIDA 2023 COMUNA DE LO ESPEJO </v>
      </c>
      <c r="D50" s="40">
        <f ca="1">IFERROR(__xludf.DUMMYFUNCTION("""COMPUTED_VALUE"""),131160376)</f>
        <v>131160376</v>
      </c>
      <c r="E50" s="16" t="str">
        <f ca="1">IFERROR(__xludf.DUMMYFUNCTION("""COMPUTED_VALUE""")," EN EJECUCIÓN ")</f>
        <v xml:space="preserve"> EN EJECUCIÓN </v>
      </c>
      <c r="F50" s="41">
        <f ca="1">IFERROR(__xludf.DUMMYFUNCTION("""COMPUTED_VALUE"""),45418)</f>
        <v>45418</v>
      </c>
      <c r="G50" s="16">
        <f ca="1">IFERROR(__xludf.DUMMYFUNCTION("""COMPUTED_VALUE"""),27400000)</f>
        <v>27400000</v>
      </c>
      <c r="H50" s="16" t="str">
        <f ca="1">IFERROR(__xludf.DUMMYFUNCTION("""COMPUTED_VALUE""")," EN EJECUCIÓN ")</f>
        <v xml:space="preserve"> EN EJECUCIÓN </v>
      </c>
      <c r="I50" s="16">
        <f ca="1">IFERROR(__xludf.DUMMYFUNCTION("""COMPUTED_VALUE"""),27400000)</f>
        <v>27400000</v>
      </c>
      <c r="J50" s="83" t="s">
        <v>48</v>
      </c>
      <c r="K50" s="16"/>
      <c r="L50" s="50"/>
      <c r="M50" s="16"/>
      <c r="N50" s="19"/>
      <c r="O50" s="21">
        <f ca="1">IFERROR(__xludf.DUMMYFUNCTION("""COMPUTED_VALUE"""),27400000)</f>
        <v>27400000</v>
      </c>
      <c r="P50" s="19"/>
      <c r="Q50" s="19"/>
      <c r="R50" s="19"/>
      <c r="S50" s="19"/>
      <c r="T50" s="19"/>
      <c r="U50" s="19"/>
      <c r="V50" s="19"/>
      <c r="W50" s="20">
        <f ca="1">IFERROR(__xludf.DUMMYFUNCTION("""COMPUTED_VALUE"""),27400000)</f>
        <v>27400000</v>
      </c>
      <c r="X50" s="43" t="str">
        <f ca="1">IFERROR(__xludf.DUMMYFUNCTION("""COMPUTED_VALUE"""),"MUNICIPALIDAD DE LO ESPEJO")</f>
        <v>MUNICIPALIDAD DE LO ESPEJO</v>
      </c>
    </row>
    <row r="51" spans="1:24" ht="15.75" customHeight="1" x14ac:dyDescent="0.25">
      <c r="A51" s="16" t="str">
        <f ca="1">IFERROR(__xludf.DUMMYFUNCTION("""COMPUTED_VALUE""")," REGIÓN DE LOS LAGOS ")</f>
        <v xml:space="preserve"> REGIÓN DE LOS LAGOS </v>
      </c>
      <c r="B51" s="16" t="str">
        <f ca="1">X51</f>
        <v>DELEGACIÓN PRESIDENCIAL PROVINCIAL DE PALENA</v>
      </c>
      <c r="C51" s="16" t="str">
        <f ca="1">IFERROR(__xludf.DUMMYFUNCTION("""COMPUTED_VALUE""")," ESTERILIZACIÓN EN DELEGACIÓN 2024 DELEGACIÓN DE PROVINCIA DE PALENA ")</f>
        <v xml:space="preserve"> ESTERILIZACIÓN EN DELEGACIÓN 2024 DELEGACIÓN DE PROVINCIA DE PALENA </v>
      </c>
      <c r="D51" s="40">
        <f ca="1">IFERROR(__xludf.DUMMYFUNCTION("""COMPUTED_VALUE"""),104990352)</f>
        <v>104990352</v>
      </c>
      <c r="E51" s="16" t="str">
        <f ca="1">IFERROR(__xludf.DUMMYFUNCTION("""COMPUTED_VALUE""")," EN EJECUCIÓN ")</f>
        <v xml:space="preserve"> EN EJECUCIÓN </v>
      </c>
      <c r="F51" s="41">
        <f ca="1">IFERROR(__xludf.DUMMYFUNCTION("""COMPUTED_VALUE"""),45420)</f>
        <v>45420</v>
      </c>
      <c r="G51" s="16">
        <f ca="1">IFERROR(__xludf.DUMMYFUNCTION("""COMPUTED_VALUE"""),28500000)</f>
        <v>28500000</v>
      </c>
      <c r="H51" s="16" t="str">
        <f ca="1">IFERROR(__xludf.DUMMYFUNCTION("""COMPUTED_VALUE""")," EN EJECUCIÓN ")</f>
        <v xml:space="preserve"> EN EJECUCIÓN </v>
      </c>
      <c r="I51" s="16">
        <f ca="1">IFERROR(__xludf.DUMMYFUNCTION("""COMPUTED_VALUE"""),28500000)</f>
        <v>28500000</v>
      </c>
      <c r="J51" s="83" t="s">
        <v>48</v>
      </c>
      <c r="K51" s="16"/>
      <c r="L51" s="50"/>
      <c r="M51" s="16"/>
      <c r="N51" s="19"/>
      <c r="O51" s="21">
        <f ca="1">IFERROR(__xludf.DUMMYFUNCTION("""COMPUTED_VALUE"""),28500000)</f>
        <v>28500000</v>
      </c>
      <c r="P51" s="19"/>
      <c r="Q51" s="19"/>
      <c r="R51" s="19"/>
      <c r="S51" s="19"/>
      <c r="T51" s="19"/>
      <c r="U51" s="19"/>
      <c r="V51" s="19"/>
      <c r="W51" s="20">
        <f ca="1">IFERROR(__xludf.DUMMYFUNCTION("""COMPUTED_VALUE"""),28500000)</f>
        <v>28500000</v>
      </c>
      <c r="X51" s="43" t="str">
        <f ca="1">IFERROR(__xludf.DUMMYFUNCTION("""COMPUTED_VALUE"""),"DELEGACIÓN PRESIDENCIAL PROVINCIAL DE PALENA")</f>
        <v>DELEGACIÓN PRESIDENCIAL PROVINCIAL DE PALENA</v>
      </c>
    </row>
    <row r="52" spans="1:24" ht="15.75" customHeight="1" x14ac:dyDescent="0.25">
      <c r="A52" s="16" t="str">
        <f ca="1">IFERROR(__xludf.DUMMYFUNCTION("""COMPUTED_VALUE""")," REGIÓN DE COQUIMBO ")</f>
        <v xml:space="preserve"> REGIÓN DE COQUIMBO </v>
      </c>
      <c r="B52" s="16" t="str">
        <f t="shared" ref="B52:B304" ca="1" si="1">MID(X52,17,30)</f>
        <v xml:space="preserve"> COQUIMBO</v>
      </c>
      <c r="C52" s="16" t="str">
        <f ca="1">IFERROR(__xludf.DUMMYFUNCTION("""COMPUTED_VALUE""")," PLAN NACIONAL DE ESTERILIZACIONES RESPONSABILIDAD COMPARTIDA 2023 COMUNA DE COQUIMBO ")</f>
        <v xml:space="preserve"> PLAN NACIONAL DE ESTERILIZACIONES RESPONSABILIDAD COMPARTIDA 2023 COMUNA DE COQUIMBO </v>
      </c>
      <c r="D52" s="40">
        <f ca="1">IFERROR(__xludf.DUMMYFUNCTION("""COMPUTED_VALUE"""),41020201)</f>
        <v>41020201</v>
      </c>
      <c r="E52" s="16" t="str">
        <f ca="1">IFERROR(__xludf.DUMMYFUNCTION("""COMPUTED_VALUE""")," EN EJECUCIÓN ")</f>
        <v xml:space="preserve"> EN EJECUCIÓN </v>
      </c>
      <c r="F52" s="41">
        <f ca="1">IFERROR(__xludf.DUMMYFUNCTION("""COMPUTED_VALUE"""),45420)</f>
        <v>45420</v>
      </c>
      <c r="G52" s="16">
        <f ca="1">IFERROR(__xludf.DUMMYFUNCTION("""COMPUTED_VALUE"""),58004000)</f>
        <v>58004000</v>
      </c>
      <c r="H52" s="16" t="str">
        <f ca="1">IFERROR(__xludf.DUMMYFUNCTION("""COMPUTED_VALUE""")," EN EJECUCIÓN ")</f>
        <v xml:space="preserve"> EN EJECUCIÓN </v>
      </c>
      <c r="I52" s="16">
        <f ca="1">IFERROR(__xludf.DUMMYFUNCTION("""COMPUTED_VALUE"""),58004000)</f>
        <v>58004000</v>
      </c>
      <c r="J52" s="83" t="s">
        <v>48</v>
      </c>
      <c r="K52" s="16"/>
      <c r="L52" s="50"/>
      <c r="M52" s="16"/>
      <c r="N52" s="19"/>
      <c r="O52" s="21">
        <f ca="1">IFERROR(__xludf.DUMMYFUNCTION("""COMPUTED_VALUE"""),58004000)</f>
        <v>58004000</v>
      </c>
      <c r="P52" s="19"/>
      <c r="Q52" s="19"/>
      <c r="R52" s="19"/>
      <c r="S52" s="19"/>
      <c r="T52" s="19"/>
      <c r="U52" s="19"/>
      <c r="V52" s="19"/>
      <c r="W52" s="20">
        <f ca="1">IFERROR(__xludf.DUMMYFUNCTION("""COMPUTED_VALUE"""),58004000)</f>
        <v>58004000</v>
      </c>
      <c r="X52" s="43" t="str">
        <f ca="1">IFERROR(__xludf.DUMMYFUNCTION("""COMPUTED_VALUE"""),"MUNICIPALIDAD DE COQUIMBO")</f>
        <v>MUNICIPALIDAD DE COQUIMBO</v>
      </c>
    </row>
    <row r="53" spans="1:24" ht="15.75" customHeight="1" x14ac:dyDescent="0.25">
      <c r="A53" s="16" t="str">
        <f ca="1">IFERROR(__xludf.DUMMYFUNCTION("""COMPUTED_VALUE""")," REGIÓN DE COQUIMBO ")</f>
        <v xml:space="preserve"> REGIÓN DE COQUIMBO </v>
      </c>
      <c r="B53" s="16" t="str">
        <f t="shared" ca="1" si="1"/>
        <v xml:space="preserve"> LA HIGUERA</v>
      </c>
      <c r="C53" s="16" t="str">
        <f ca="1">IFERROR(__xludf.DUMMYFUNCTION("""COMPUTED_VALUE""")," PLAN NACIONAL DE ESTERILIZACIONES Y RESPONSABILIDAD COMPARTIDA AÑO 2023, COMUNA DE LA HIGUERA ")</f>
        <v xml:space="preserve"> PLAN NACIONAL DE ESTERILIZACIONES Y RESPONSABILIDAD COMPARTIDA AÑO 2023, COMUNA DE LA HIGUERA </v>
      </c>
      <c r="D53" s="40">
        <f ca="1">IFERROR(__xludf.DUMMYFUNCTION("""COMPUTED_VALUE"""),41040189)</f>
        <v>41040189</v>
      </c>
      <c r="E53" s="16" t="str">
        <f ca="1">IFERROR(__xludf.DUMMYFUNCTION("""COMPUTED_VALUE""")," EN EJECUCIÓN ")</f>
        <v xml:space="preserve"> EN EJECUCIÓN </v>
      </c>
      <c r="F53" s="41">
        <f ca="1">IFERROR(__xludf.DUMMYFUNCTION("""COMPUTED_VALUE"""),45420)</f>
        <v>45420</v>
      </c>
      <c r="G53" s="16">
        <f ca="1">IFERROR(__xludf.DUMMYFUNCTION("""COMPUTED_VALUE"""),17400000)</f>
        <v>17400000</v>
      </c>
      <c r="H53" s="16" t="str">
        <f ca="1">IFERROR(__xludf.DUMMYFUNCTION("""COMPUTED_VALUE""")," EN EJECUCIÓN ")</f>
        <v xml:space="preserve"> EN EJECUCIÓN </v>
      </c>
      <c r="I53" s="16">
        <f ca="1">IFERROR(__xludf.DUMMYFUNCTION("""COMPUTED_VALUE"""),17400000)</f>
        <v>17400000</v>
      </c>
      <c r="J53" s="83" t="s">
        <v>48</v>
      </c>
      <c r="K53" s="16"/>
      <c r="L53" s="50"/>
      <c r="M53" s="16"/>
      <c r="N53" s="19"/>
      <c r="O53" s="21">
        <f ca="1">IFERROR(__xludf.DUMMYFUNCTION("""COMPUTED_VALUE"""),17400000)</f>
        <v>17400000</v>
      </c>
      <c r="P53" s="19"/>
      <c r="Q53" s="19"/>
      <c r="R53" s="19"/>
      <c r="S53" s="19"/>
      <c r="T53" s="19"/>
      <c r="U53" s="19"/>
      <c r="V53" s="19"/>
      <c r="W53" s="20">
        <f ca="1">IFERROR(__xludf.DUMMYFUNCTION("""COMPUTED_VALUE"""),17400000)</f>
        <v>17400000</v>
      </c>
      <c r="X53" s="43" t="str">
        <f ca="1">IFERROR(__xludf.DUMMYFUNCTION("""COMPUTED_VALUE"""),"MUNICIPALIDAD DE LA HIGUERA")</f>
        <v>MUNICIPALIDAD DE LA HIGUERA</v>
      </c>
    </row>
    <row r="54" spans="1:24" ht="15.75" customHeight="1" x14ac:dyDescent="0.25">
      <c r="A54" s="16" t="str">
        <f ca="1">IFERROR(__xludf.DUMMYFUNCTION("""COMPUTED_VALUE""")," REGIÓN DE COQUIMBO ")</f>
        <v xml:space="preserve"> REGIÓN DE COQUIMBO </v>
      </c>
      <c r="B54" s="16" t="str">
        <f t="shared" ca="1" si="1"/>
        <v xml:space="preserve"> OVALLE</v>
      </c>
      <c r="C54" s="16" t="str">
        <f ca="1">IFERROR(__xludf.DUMMYFUNCTION("""COMPUTED_VALUE""")," PLAN NACIONAL DE ESTERILIZACIONES RESPONSABILIDAD COMPARTIDA 2023 COMUNA DE OVALLE ")</f>
        <v xml:space="preserve"> PLAN NACIONAL DE ESTERILIZACIONES RESPONSABILIDAD COMPARTIDA 2023 COMUNA DE OVALLE </v>
      </c>
      <c r="D54" s="40">
        <f ca="1">IFERROR(__xludf.DUMMYFUNCTION("""COMPUTED_VALUE"""),43010199)</f>
        <v>43010199</v>
      </c>
      <c r="E54" s="16" t="str">
        <f ca="1">IFERROR(__xludf.DUMMYFUNCTION("""COMPUTED_VALUE""")," EN EJECUCIÓN ")</f>
        <v xml:space="preserve"> EN EJECUCIÓN </v>
      </c>
      <c r="F54" s="41">
        <f ca="1">IFERROR(__xludf.DUMMYFUNCTION("""COMPUTED_VALUE"""),45420)</f>
        <v>45420</v>
      </c>
      <c r="G54" s="16">
        <f ca="1">IFERROR(__xludf.DUMMYFUNCTION("""COMPUTED_VALUE"""),29800000)</f>
        <v>29800000</v>
      </c>
      <c r="H54" s="16" t="str">
        <f ca="1">IFERROR(__xludf.DUMMYFUNCTION("""COMPUTED_VALUE""")," EN EJECUCIÓN ")</f>
        <v xml:space="preserve"> EN EJECUCIÓN </v>
      </c>
      <c r="I54" s="16">
        <f ca="1">IFERROR(__xludf.DUMMYFUNCTION("""COMPUTED_VALUE"""),29800000)</f>
        <v>29800000</v>
      </c>
      <c r="J54" s="83" t="s">
        <v>48</v>
      </c>
      <c r="K54" s="16"/>
      <c r="L54" s="50"/>
      <c r="M54" s="16"/>
      <c r="N54" s="19"/>
      <c r="O54" s="21">
        <f ca="1">IFERROR(__xludf.DUMMYFUNCTION("""COMPUTED_VALUE"""),29800000)</f>
        <v>29800000</v>
      </c>
      <c r="P54" s="19"/>
      <c r="Q54" s="19"/>
      <c r="R54" s="19"/>
      <c r="S54" s="19"/>
      <c r="T54" s="19"/>
      <c r="U54" s="19"/>
      <c r="V54" s="19"/>
      <c r="W54" s="20">
        <f ca="1">IFERROR(__xludf.DUMMYFUNCTION("""COMPUTED_VALUE"""),29800000)</f>
        <v>29800000</v>
      </c>
      <c r="X54" s="43" t="str">
        <f ca="1">IFERROR(__xludf.DUMMYFUNCTION("""COMPUTED_VALUE"""),"MUNICIPALIDAD DE OVALLE")</f>
        <v>MUNICIPALIDAD DE OVALLE</v>
      </c>
    </row>
    <row r="55" spans="1:24" ht="15.75" customHeight="1" x14ac:dyDescent="0.25">
      <c r="A55" s="16" t="str">
        <f ca="1">IFERROR(__xludf.DUMMYFUNCTION("""COMPUTED_VALUE""")," REGIÓN DE COQUIMBO ")</f>
        <v xml:space="preserve"> REGIÓN DE COQUIMBO </v>
      </c>
      <c r="B55" s="16" t="str">
        <f t="shared" ca="1" si="1"/>
        <v xml:space="preserve"> RÍO HURTADO</v>
      </c>
      <c r="C55" s="16" t="str">
        <f ca="1">IFERROR(__xludf.DUMMYFUNCTION("""COMPUTED_VALUE""")," PLAN NACIONAL DE ESTERILIZACIONES RESPONSABILIDAD COMPARTIDA 2023 COMUNA DE RIO HURTADO ")</f>
        <v xml:space="preserve"> PLAN NACIONAL DE ESTERILIZACIONES RESPONSABILIDAD COMPARTIDA 2023 COMUNA DE RIO HURTADO </v>
      </c>
      <c r="D55" s="40">
        <f ca="1">IFERROR(__xludf.DUMMYFUNCTION("""COMPUTED_VALUE"""),43050197)</f>
        <v>43050197</v>
      </c>
      <c r="E55" s="16" t="str">
        <f ca="1">IFERROR(__xludf.DUMMYFUNCTION("""COMPUTED_VALUE""")," EN EJECUCIÓN ")</f>
        <v xml:space="preserve"> EN EJECUCIÓN </v>
      </c>
      <c r="F55" s="41">
        <f ca="1">IFERROR(__xludf.DUMMYFUNCTION("""COMPUTED_VALUE"""),45420)</f>
        <v>45420</v>
      </c>
      <c r="G55" s="16">
        <f ca="1">IFERROR(__xludf.DUMMYFUNCTION("""COMPUTED_VALUE"""),29200000)</f>
        <v>29200000</v>
      </c>
      <c r="H55" s="16" t="str">
        <f ca="1">IFERROR(__xludf.DUMMYFUNCTION("""COMPUTED_VALUE""")," EN EJECUCIÓN ")</f>
        <v xml:space="preserve"> EN EJECUCIÓN </v>
      </c>
      <c r="I55" s="16">
        <f ca="1">IFERROR(__xludf.DUMMYFUNCTION("""COMPUTED_VALUE"""),29200000)</f>
        <v>29200000</v>
      </c>
      <c r="J55" s="83" t="s">
        <v>48</v>
      </c>
      <c r="K55" s="16"/>
      <c r="L55" s="50"/>
      <c r="M55" s="16"/>
      <c r="N55" s="19"/>
      <c r="O55" s="21">
        <f ca="1">IFERROR(__xludf.DUMMYFUNCTION("""COMPUTED_VALUE"""),29200000)</f>
        <v>29200000</v>
      </c>
      <c r="P55" s="19"/>
      <c r="Q55" s="19"/>
      <c r="R55" s="19"/>
      <c r="S55" s="19"/>
      <c r="T55" s="19"/>
      <c r="U55" s="19"/>
      <c r="V55" s="19"/>
      <c r="W55" s="20">
        <f ca="1">IFERROR(__xludf.DUMMYFUNCTION("""COMPUTED_VALUE"""),29200000)</f>
        <v>29200000</v>
      </c>
      <c r="X55" s="43" t="str">
        <f ca="1">IFERROR(__xludf.DUMMYFUNCTION("""COMPUTED_VALUE"""),"MUNICIPALIDAD DE RÍO HURTADO")</f>
        <v>MUNICIPALIDAD DE RÍO HURTADO</v>
      </c>
    </row>
    <row r="56" spans="1:24" ht="15.75" customHeight="1" x14ac:dyDescent="0.25">
      <c r="A56" s="16" t="str">
        <f ca="1">IFERROR(__xludf.DUMMYFUNCTION("""COMPUTED_VALUE""")," REGIÓN DE COQUIMBO ")</f>
        <v xml:space="preserve"> REGIÓN DE COQUIMBO </v>
      </c>
      <c r="B56" s="16" t="str">
        <f t="shared" ca="1" si="1"/>
        <v xml:space="preserve"> ILLAPEL</v>
      </c>
      <c r="C56" s="16" t="str">
        <f ca="1">IFERROR(__xludf.DUMMYFUNCTION("""COMPUTED_VALUE""")," PLAN NACIONAL DE ESTERILIZACIONES RESPONSABILIDAD COMPARTIDA 2023 COMUNA DE ILLAPEL ")</f>
        <v xml:space="preserve"> PLAN NACIONAL DE ESTERILIZACIONES RESPONSABILIDAD COMPARTIDA 2023 COMUNA DE ILLAPEL </v>
      </c>
      <c r="D56" s="40">
        <f ca="1">IFERROR(__xludf.DUMMYFUNCTION("""COMPUTED_VALUE"""),42010200)</f>
        <v>42010200</v>
      </c>
      <c r="E56" s="16" t="str">
        <f ca="1">IFERROR(__xludf.DUMMYFUNCTION("""COMPUTED_VALUE""")," EN EJECUCIÓN ")</f>
        <v xml:space="preserve"> EN EJECUCIÓN </v>
      </c>
      <c r="F56" s="41">
        <f ca="1">IFERROR(__xludf.DUMMYFUNCTION("""COMPUTED_VALUE"""),45420)</f>
        <v>45420</v>
      </c>
      <c r="G56" s="16">
        <f ca="1">IFERROR(__xludf.DUMMYFUNCTION("""COMPUTED_VALUE"""),29800000)</f>
        <v>29800000</v>
      </c>
      <c r="H56" s="16" t="str">
        <f ca="1">IFERROR(__xludf.DUMMYFUNCTION("""COMPUTED_VALUE""")," EN EJECUCIÓN ")</f>
        <v xml:space="preserve"> EN EJECUCIÓN </v>
      </c>
      <c r="I56" s="16">
        <f ca="1">IFERROR(__xludf.DUMMYFUNCTION("""COMPUTED_VALUE"""),29800000)</f>
        <v>29800000</v>
      </c>
      <c r="J56" s="83" t="s">
        <v>48</v>
      </c>
      <c r="K56" s="16"/>
      <c r="L56" s="50"/>
      <c r="M56" s="16"/>
      <c r="N56" s="19"/>
      <c r="O56" s="21">
        <f ca="1">IFERROR(__xludf.DUMMYFUNCTION("""COMPUTED_VALUE"""),29800000)</f>
        <v>29800000</v>
      </c>
      <c r="P56" s="19"/>
      <c r="Q56" s="19"/>
      <c r="R56" s="19"/>
      <c r="S56" s="19"/>
      <c r="T56" s="19"/>
      <c r="U56" s="19"/>
      <c r="V56" s="19"/>
      <c r="W56" s="20">
        <f ca="1">IFERROR(__xludf.DUMMYFUNCTION("""COMPUTED_VALUE"""),29800000)</f>
        <v>29800000</v>
      </c>
      <c r="X56" s="43" t="str">
        <f ca="1">IFERROR(__xludf.DUMMYFUNCTION("""COMPUTED_VALUE"""),"MUNICIPALIDAD DE ILLAPEL")</f>
        <v>MUNICIPALIDAD DE ILLAPEL</v>
      </c>
    </row>
    <row r="57" spans="1:24" ht="15.75" customHeight="1" x14ac:dyDescent="0.25">
      <c r="A57" s="16" t="str">
        <f ca="1">IFERROR(__xludf.DUMMYFUNCTION("""COMPUTED_VALUE""")," REGIÓN DE VALPARAÍSO ")</f>
        <v xml:space="preserve"> REGIÓN DE VALPARAÍSO </v>
      </c>
      <c r="B57" s="16" t="str">
        <f t="shared" ca="1" si="1"/>
        <v xml:space="preserve"> PAPUDO</v>
      </c>
      <c r="C57" s="16" t="str">
        <f ca="1">IFERROR(__xludf.DUMMYFUNCTION("""COMPUTED_VALUE""")," PLAN NACIONAL DE ESTERILIZACIONES RESPONSABILIDAD COMPARTIDA AÑO 2023, COMUNA DE PAPUDO ")</f>
        <v xml:space="preserve"> PLAN NACIONAL DE ESTERILIZACIONES RESPONSABILIDAD COMPARTIDA AÑO 2023, COMUNA DE PAPUDO </v>
      </c>
      <c r="D57" s="40">
        <f ca="1">IFERROR(__xludf.DUMMYFUNCTION("""COMPUTED_VALUE"""),54030430)</f>
        <v>54030430</v>
      </c>
      <c r="E57" s="16" t="str">
        <f ca="1">IFERROR(__xludf.DUMMYFUNCTION("""COMPUTED_VALUE""")," EN EJECUCIÓN ")</f>
        <v xml:space="preserve"> EN EJECUCIÓN </v>
      </c>
      <c r="F57" s="41">
        <f ca="1">IFERROR(__xludf.DUMMYFUNCTION("""COMPUTED_VALUE"""),45416)</f>
        <v>45416</v>
      </c>
      <c r="G57" s="16">
        <f ca="1">IFERROR(__xludf.DUMMYFUNCTION("""COMPUTED_VALUE"""),17400000)</f>
        <v>17400000</v>
      </c>
      <c r="H57" s="16" t="str">
        <f ca="1">IFERROR(__xludf.DUMMYFUNCTION("""COMPUTED_VALUE""")," EN EJECUCIÓN ")</f>
        <v xml:space="preserve"> EN EJECUCIÓN </v>
      </c>
      <c r="I57" s="16">
        <f ca="1">IFERROR(__xludf.DUMMYFUNCTION("""COMPUTED_VALUE"""),17400000)</f>
        <v>17400000</v>
      </c>
      <c r="J57" s="83" t="s">
        <v>48</v>
      </c>
      <c r="K57" s="16"/>
      <c r="L57" s="50"/>
      <c r="M57" s="16"/>
      <c r="N57" s="19"/>
      <c r="O57" s="21">
        <f ca="1">IFERROR(__xludf.DUMMYFUNCTION("""COMPUTED_VALUE"""),17400000)</f>
        <v>17400000</v>
      </c>
      <c r="P57" s="19"/>
      <c r="Q57" s="19"/>
      <c r="R57" s="19"/>
      <c r="S57" s="19"/>
      <c r="T57" s="19"/>
      <c r="U57" s="19"/>
      <c r="V57" s="19"/>
      <c r="W57" s="20">
        <f ca="1">IFERROR(__xludf.DUMMYFUNCTION("""COMPUTED_VALUE"""),17400000)</f>
        <v>17400000</v>
      </c>
      <c r="X57" s="43" t="str">
        <f ca="1">IFERROR(__xludf.DUMMYFUNCTION("""COMPUTED_VALUE"""),"MUNICIPALIDAD DE PAPUDO")</f>
        <v>MUNICIPALIDAD DE PAPUDO</v>
      </c>
    </row>
    <row r="58" spans="1:24" ht="15.75" customHeight="1" x14ac:dyDescent="0.25">
      <c r="A58" s="16" t="str">
        <f ca="1">IFERROR(__xludf.DUMMYFUNCTION("""COMPUTED_VALUE""")," REGIÓN DE LA ARAUCANÍA ")</f>
        <v xml:space="preserve"> REGIÓN DE LA ARAUCANÍA </v>
      </c>
      <c r="B58" s="16" t="str">
        <f t="shared" ca="1" si="1"/>
        <v xml:space="preserve"> PADRE LAS CASAS</v>
      </c>
      <c r="C58" s="16" t="str">
        <f ca="1">IFERROR(__xludf.DUMMYFUNCTION("""COMPUTED_VALUE""")," PLAN NACIONAL DE ESTERILIZACIONES RESPONSABILIDAD COMPARTIDA AÑO 2023 COMUNA DE PADRE LAS CASAS ")</f>
        <v xml:space="preserve"> PLAN NACIONAL DE ESTERILIZACIONES RESPONSABILIDAD COMPARTIDA AÑO 2023 COMUNA DE PADRE LAS CASAS </v>
      </c>
      <c r="D58" s="40">
        <f ca="1">IFERROR(__xludf.DUMMYFUNCTION("""COMPUTED_VALUE"""),91120302)</f>
        <v>91120302</v>
      </c>
      <c r="E58" s="16" t="str">
        <f ca="1">IFERROR(__xludf.DUMMYFUNCTION("""COMPUTED_VALUE""")," EN EJECUCIÓN ")</f>
        <v xml:space="preserve"> EN EJECUCIÓN </v>
      </c>
      <c r="F58" s="41">
        <f ca="1">IFERROR(__xludf.DUMMYFUNCTION("""COMPUTED_VALUE"""),45415)</f>
        <v>45415</v>
      </c>
      <c r="G58" s="16">
        <f ca="1">IFERROR(__xludf.DUMMYFUNCTION("""COMPUTED_VALUE"""),31000000)</f>
        <v>31000000</v>
      </c>
      <c r="H58" s="16" t="str">
        <f ca="1">IFERROR(__xludf.DUMMYFUNCTION("""COMPUTED_VALUE""")," EN EJECUCIÓN ")</f>
        <v xml:space="preserve"> EN EJECUCIÓN </v>
      </c>
      <c r="I58" s="16">
        <f ca="1">IFERROR(__xludf.DUMMYFUNCTION("""COMPUTED_VALUE"""),31000000)</f>
        <v>31000000</v>
      </c>
      <c r="J58" s="83" t="s">
        <v>48</v>
      </c>
      <c r="K58" s="16"/>
      <c r="L58" s="50"/>
      <c r="M58" s="16"/>
      <c r="N58" s="19"/>
      <c r="O58" s="19"/>
      <c r="P58" s="21">
        <f ca="1">IFERROR(__xludf.DUMMYFUNCTION("""COMPUTED_VALUE"""),31000000)</f>
        <v>31000000</v>
      </c>
      <c r="Q58" s="19"/>
      <c r="R58" s="19"/>
      <c r="S58" s="19"/>
      <c r="T58" s="19"/>
      <c r="U58" s="19"/>
      <c r="V58" s="19"/>
      <c r="W58" s="20">
        <f ca="1">IFERROR(__xludf.DUMMYFUNCTION("""COMPUTED_VALUE"""),31000000)</f>
        <v>31000000</v>
      </c>
      <c r="X58" s="43" t="str">
        <f ca="1">IFERROR(__xludf.DUMMYFUNCTION("""COMPUTED_VALUE"""),"MUNICIPALIDAD DE PADRE LAS CASAS")</f>
        <v>MUNICIPALIDAD DE PADRE LAS CASAS</v>
      </c>
    </row>
    <row r="59" spans="1:24" ht="15.75" customHeight="1" x14ac:dyDescent="0.25">
      <c r="A59" s="16" t="str">
        <f ca="1">IFERROR(__xludf.DUMMYFUNCTION("""COMPUTED_VALUE""")," REGIÓN DE AYSÉN DEL GENERAL CARLOS IBÁÑEZ DEL CAMPO ")</f>
        <v xml:space="preserve"> REGIÓN DE AYSÉN DEL GENERAL CARLOS IBÁÑEZ DEL CAMPO </v>
      </c>
      <c r="B59" s="16" t="str">
        <f t="shared" ca="1" si="1"/>
        <v xml:space="preserve"> COYHAIQUE</v>
      </c>
      <c r="C59" s="16" t="str">
        <f ca="1">IFERROR(__xludf.DUMMYFUNCTION("""COMPUTED_VALUE""")," PLAN NACIONAL DE ESTERILIZACIONES RESPONSABILIDAD COMPARTIDA 2023 COMUNA DE COYHAIQUE ")</f>
        <v xml:space="preserve"> PLAN NACIONAL DE ESTERILIZACIONES RESPONSABILIDAD COMPARTIDA 2023 COMUNA DE COYHAIQUE </v>
      </c>
      <c r="D59" s="40">
        <f ca="1">IFERROR(__xludf.DUMMYFUNCTION("""COMPUTED_VALUE"""),111010107)</f>
        <v>111010107</v>
      </c>
      <c r="E59" s="16" t="str">
        <f ca="1">IFERROR(__xludf.DUMMYFUNCTION("""COMPUTED_VALUE""")," EN EJECUCIÓN ")</f>
        <v xml:space="preserve"> EN EJECUCIÓN </v>
      </c>
      <c r="F59" s="41">
        <f ca="1">IFERROR(__xludf.DUMMYFUNCTION("""COMPUTED_VALUE"""),45420)</f>
        <v>45420</v>
      </c>
      <c r="G59" s="16">
        <f ca="1">IFERROR(__xludf.DUMMYFUNCTION("""COMPUTED_VALUE"""),66000000)</f>
        <v>66000000</v>
      </c>
      <c r="H59" s="16" t="str">
        <f ca="1">IFERROR(__xludf.DUMMYFUNCTION("""COMPUTED_VALUE""")," EN EJECUCIÓN ")</f>
        <v xml:space="preserve"> EN EJECUCIÓN </v>
      </c>
      <c r="I59" s="16">
        <f ca="1">IFERROR(__xludf.DUMMYFUNCTION("""COMPUTED_VALUE"""),66000000)</f>
        <v>66000000</v>
      </c>
      <c r="J59" s="83" t="s">
        <v>48</v>
      </c>
      <c r="K59" s="16"/>
      <c r="L59" s="50"/>
      <c r="M59" s="16"/>
      <c r="N59" s="19"/>
      <c r="O59" s="19"/>
      <c r="P59" s="21">
        <f ca="1">IFERROR(__xludf.DUMMYFUNCTION("""COMPUTED_VALUE"""),66000000)</f>
        <v>66000000</v>
      </c>
      <c r="Q59" s="19"/>
      <c r="R59" s="19"/>
      <c r="S59" s="19"/>
      <c r="T59" s="19"/>
      <c r="U59" s="19"/>
      <c r="V59" s="19"/>
      <c r="W59" s="20">
        <f ca="1">IFERROR(__xludf.DUMMYFUNCTION("""COMPUTED_VALUE"""),66000000)</f>
        <v>66000000</v>
      </c>
      <c r="X59" s="43" t="str">
        <f ca="1">IFERROR(__xludf.DUMMYFUNCTION("""COMPUTED_VALUE"""),"MUNICIPALIDAD DE COYHAIQUE")</f>
        <v>MUNICIPALIDAD DE COYHAIQUE</v>
      </c>
    </row>
    <row r="60" spans="1:24" ht="15.75" customHeight="1" x14ac:dyDescent="0.25">
      <c r="A60" s="16" t="str">
        <f ca="1">IFERROR(__xludf.DUMMYFUNCTION("""COMPUTED_VALUE""")," REGIÓN DEL BIOBÍO ")</f>
        <v xml:space="preserve"> REGIÓN DEL BIOBÍO </v>
      </c>
      <c r="B60" s="16" t="str">
        <f t="shared" ca="1" si="1"/>
        <v xml:space="preserve"> NEGRETE</v>
      </c>
      <c r="C60" s="16" t="str">
        <f ca="1">IFERROR(__xludf.DUMMYFUNCTION("""COMPUTED_VALUE""")," PLAN NACIONAL DE ESTERILIZACIONES RESPONSABILIDAD COMPARTIDA 2023 COMUNA DE NEGRETE ")</f>
        <v xml:space="preserve"> PLAN NACIONAL DE ESTERILIZACIONES RESPONSABILIDAD COMPARTIDA 2023 COMUNA DE NEGRETE </v>
      </c>
      <c r="D60" s="40">
        <f ca="1">IFERROR(__xludf.DUMMYFUNCTION("""COMPUTED_VALUE"""),83070464)</f>
        <v>83070464</v>
      </c>
      <c r="E60" s="16" t="str">
        <f ca="1">IFERROR(__xludf.DUMMYFUNCTION("""COMPUTED_VALUE""")," EN EJECUCIÓN ")</f>
        <v xml:space="preserve"> EN EJECUCIÓN </v>
      </c>
      <c r="F60" s="41">
        <f ca="1">IFERROR(__xludf.DUMMYFUNCTION("""COMPUTED_VALUE"""),45462)</f>
        <v>45462</v>
      </c>
      <c r="G60" s="16">
        <f ca="1">IFERROR(__xludf.DUMMYFUNCTION("""COMPUTED_VALUE"""),29200000)</f>
        <v>29200000</v>
      </c>
      <c r="H60" s="16" t="str">
        <f ca="1">IFERROR(__xludf.DUMMYFUNCTION("""COMPUTED_VALUE""")," EN EJECUCIÓN ")</f>
        <v xml:space="preserve"> EN EJECUCIÓN </v>
      </c>
      <c r="I60" s="16">
        <f ca="1">IFERROR(__xludf.DUMMYFUNCTION("""COMPUTED_VALUE"""),29200000)</f>
        <v>29200000</v>
      </c>
      <c r="J60" s="83" t="s">
        <v>48</v>
      </c>
      <c r="K60" s="16"/>
      <c r="L60" s="50"/>
      <c r="M60" s="16"/>
      <c r="N60" s="19"/>
      <c r="O60" s="19"/>
      <c r="P60" s="21">
        <f ca="1">IFERROR(__xludf.DUMMYFUNCTION("""COMPUTED_VALUE"""),29200000)</f>
        <v>29200000</v>
      </c>
      <c r="Q60" s="19"/>
      <c r="R60" s="19"/>
      <c r="S60" s="19"/>
      <c r="T60" s="19"/>
      <c r="U60" s="19"/>
      <c r="V60" s="19"/>
      <c r="W60" s="20">
        <f ca="1">IFERROR(__xludf.DUMMYFUNCTION("""COMPUTED_VALUE"""),29200000)</f>
        <v>29200000</v>
      </c>
      <c r="X60" s="43" t="str">
        <f ca="1">IFERROR(__xludf.DUMMYFUNCTION("""COMPUTED_VALUE"""),"MUNICIPALIDAD DE NEGRETE")</f>
        <v>MUNICIPALIDAD DE NEGRETE</v>
      </c>
    </row>
    <row r="61" spans="1:24" ht="15.75" customHeight="1" x14ac:dyDescent="0.25">
      <c r="A61" s="16" t="str">
        <f ca="1">IFERROR(__xludf.DUMMYFUNCTION("""COMPUTED_VALUE""")," REGIÓN METROPOLITANA ")</f>
        <v xml:space="preserve"> REGIÓN METROPOLITANA </v>
      </c>
      <c r="B61" s="16" t="str">
        <f t="shared" ca="1" si="1"/>
        <v xml:space="preserve"> LA GRANJA</v>
      </c>
      <c r="C61" s="16" t="str">
        <f ca="1">IFERROR(__xludf.DUMMYFUNCTION("""COMPUTED_VALUE""")," PLAN NACIONAL DE ESTERILIZACIONES RESPONSABILIDAD COMPARTIDA 2023 COMUNA DE LA GRANJA ")</f>
        <v xml:space="preserve"> PLAN NACIONAL DE ESTERILIZACIONES RESPONSABILIDAD COMPARTIDA 2023 COMUNA DE LA GRANJA </v>
      </c>
      <c r="D61" s="40">
        <f ca="1">IFERROR(__xludf.DUMMYFUNCTION("""COMPUTED_VALUE"""),131110386)</f>
        <v>131110386</v>
      </c>
      <c r="E61" s="16" t="str">
        <f ca="1">IFERROR(__xludf.DUMMYFUNCTION("""COMPUTED_VALUE""")," EN EJECUCIÓN ")</f>
        <v xml:space="preserve"> EN EJECUCIÓN </v>
      </c>
      <c r="F61" s="41">
        <f ca="1">IFERROR(__xludf.DUMMYFUNCTION("""COMPUTED_VALUE"""),45481)</f>
        <v>45481</v>
      </c>
      <c r="G61" s="16">
        <f ca="1">IFERROR(__xludf.DUMMYFUNCTION("""COMPUTED_VALUE"""),31000000)</f>
        <v>31000000</v>
      </c>
      <c r="H61" s="16" t="str">
        <f ca="1">IFERROR(__xludf.DUMMYFUNCTION("""COMPUTED_VALUE""")," EN EJECUCIÓN ")</f>
        <v xml:space="preserve"> EN EJECUCIÓN </v>
      </c>
      <c r="I61" s="16">
        <f ca="1">IFERROR(__xludf.DUMMYFUNCTION("""COMPUTED_VALUE"""),31000000)</f>
        <v>31000000</v>
      </c>
      <c r="J61" s="83" t="s">
        <v>48</v>
      </c>
      <c r="K61" s="16"/>
      <c r="L61" s="50"/>
      <c r="M61" s="16"/>
      <c r="N61" s="19"/>
      <c r="O61" s="19"/>
      <c r="P61" s="19"/>
      <c r="Q61" s="21">
        <f ca="1">IFERROR(__xludf.DUMMYFUNCTION("""COMPUTED_VALUE"""),31000000)</f>
        <v>31000000</v>
      </c>
      <c r="R61" s="19"/>
      <c r="S61" s="19"/>
      <c r="T61" s="19"/>
      <c r="U61" s="19"/>
      <c r="V61" s="19"/>
      <c r="W61" s="20">
        <f ca="1">IFERROR(__xludf.DUMMYFUNCTION("""COMPUTED_VALUE"""),31000000)</f>
        <v>31000000</v>
      </c>
      <c r="X61" s="43" t="str">
        <f ca="1">IFERROR(__xludf.DUMMYFUNCTION("""COMPUTED_VALUE"""),"MUNICIPALIDAD DE LA GRANJA")</f>
        <v>MUNICIPALIDAD DE LA GRANJA</v>
      </c>
    </row>
    <row r="62" spans="1:24" ht="15.75" customHeight="1" x14ac:dyDescent="0.25">
      <c r="A62" s="16" t="str">
        <f ca="1">IFERROR(__xludf.DUMMYFUNCTION("""COMPUTED_VALUE""")," REGIÓN DEL BIOBÍO ")</f>
        <v xml:space="preserve"> REGIÓN DEL BIOBÍO </v>
      </c>
      <c r="B62" s="16" t="str">
        <f t="shared" ca="1" si="1"/>
        <v xml:space="preserve"> CONCEPCIÓN</v>
      </c>
      <c r="C62" s="16" t="str">
        <f ca="1">IFERROR(__xludf.DUMMYFUNCTION("""COMPUTED_VALUE""")," PLAN NACIONAL DE ESTERILIZACIONES RESPONSABILIDAD COMPARTIDA 2023 COMUNA DE CONCEPCIÓN ")</f>
        <v xml:space="preserve"> PLAN NACIONAL DE ESTERILIZACIONES RESPONSABILIDAD COMPARTIDA 2023 COMUNA DE CONCEPCIÓN </v>
      </c>
      <c r="D62" s="40">
        <f ca="1">IFERROR(__xludf.DUMMYFUNCTION("""COMPUTED_VALUE"""),81010460)</f>
        <v>81010460</v>
      </c>
      <c r="E62" s="16" t="str">
        <f ca="1">IFERROR(__xludf.DUMMYFUNCTION("""COMPUTED_VALUE""")," EN EJECUCIÓN ")</f>
        <v xml:space="preserve"> EN EJECUCIÓN </v>
      </c>
      <c r="F62" s="41">
        <f ca="1">IFERROR(__xludf.DUMMYFUNCTION("""COMPUTED_VALUE"""),45481)</f>
        <v>45481</v>
      </c>
      <c r="G62" s="16">
        <f ca="1">IFERROR(__xludf.DUMMYFUNCTION("""COMPUTED_VALUE"""),59000000)</f>
        <v>59000000</v>
      </c>
      <c r="H62" s="16" t="str">
        <f ca="1">IFERROR(__xludf.DUMMYFUNCTION("""COMPUTED_VALUE""")," EN EJECUCIÓN ")</f>
        <v xml:space="preserve"> EN EJECUCIÓN </v>
      </c>
      <c r="I62" s="16">
        <f ca="1">IFERROR(__xludf.DUMMYFUNCTION("""COMPUTED_VALUE"""),59000000)</f>
        <v>59000000</v>
      </c>
      <c r="J62" s="83" t="s">
        <v>48</v>
      </c>
      <c r="K62" s="16"/>
      <c r="L62" s="50"/>
      <c r="M62" s="16"/>
      <c r="N62" s="19"/>
      <c r="O62" s="19"/>
      <c r="P62" s="19"/>
      <c r="Q62" s="21">
        <f ca="1">IFERROR(__xludf.DUMMYFUNCTION("""COMPUTED_VALUE"""),59000000)</f>
        <v>59000000</v>
      </c>
      <c r="R62" s="19"/>
      <c r="S62" s="19"/>
      <c r="T62" s="19"/>
      <c r="U62" s="19"/>
      <c r="V62" s="19"/>
      <c r="W62" s="20">
        <f ca="1">IFERROR(__xludf.DUMMYFUNCTION("""COMPUTED_VALUE"""),59000000)</f>
        <v>59000000</v>
      </c>
      <c r="X62" s="43" t="str">
        <f ca="1">IFERROR(__xludf.DUMMYFUNCTION("""COMPUTED_VALUE"""),"MUNICIPALIDAD DE CONCEPCIÓN")</f>
        <v>MUNICIPALIDAD DE CONCEPCIÓN</v>
      </c>
    </row>
    <row r="63" spans="1:24" ht="15.75" customHeight="1" x14ac:dyDescent="0.25">
      <c r="A63" s="16" t="str">
        <f ca="1">IFERROR(__xludf.DUMMYFUNCTION("""COMPUTED_VALUE""")," REGIÓN DE VALPARAÍSO ")</f>
        <v xml:space="preserve"> REGIÓN DE VALPARAÍSO </v>
      </c>
      <c r="B63" s="16" t="str">
        <f t="shared" ca="1" si="1"/>
        <v xml:space="preserve"> CARTAGENA</v>
      </c>
      <c r="C63" s="16" t="str">
        <f ca="1">IFERROR(__xludf.DUMMYFUNCTION("""COMPUTED_VALUE""")," PLAN NACIONAL DE ESTERILIZACIONES RESPONSABILIDAD COMPARTIDA 2023 COMUNA DE CARTAGENA ")</f>
        <v xml:space="preserve"> PLAN NACIONAL DE ESTERILIZACIONES RESPONSABILIDAD COMPARTIDA 2023 COMUNA DE CARTAGENA </v>
      </c>
      <c r="D63" s="40">
        <f ca="1">IFERROR(__xludf.DUMMYFUNCTION("""COMPUTED_VALUE"""),56030434)</f>
        <v>56030434</v>
      </c>
      <c r="E63" s="16" t="str">
        <f ca="1">IFERROR(__xludf.DUMMYFUNCTION("""COMPUTED_VALUE""")," EN EJECUCIÓN ")</f>
        <v xml:space="preserve"> EN EJECUCIÓN </v>
      </c>
      <c r="F63" s="41">
        <f ca="1">IFERROR(__xludf.DUMMYFUNCTION("""COMPUTED_VALUE"""),45481)</f>
        <v>45481</v>
      </c>
      <c r="G63" s="16">
        <f ca="1">IFERROR(__xludf.DUMMYFUNCTION("""COMPUTED_VALUE"""),31000000)</f>
        <v>31000000</v>
      </c>
      <c r="H63" s="16" t="str">
        <f ca="1">IFERROR(__xludf.DUMMYFUNCTION("""COMPUTED_VALUE""")," EN EJECUCIÓN ")</f>
        <v xml:space="preserve"> EN EJECUCIÓN </v>
      </c>
      <c r="I63" s="16">
        <f ca="1">IFERROR(__xludf.DUMMYFUNCTION("""COMPUTED_VALUE"""),31000000)</f>
        <v>31000000</v>
      </c>
      <c r="J63" s="83" t="s">
        <v>48</v>
      </c>
      <c r="K63" s="16"/>
      <c r="L63" s="50"/>
      <c r="M63" s="16"/>
      <c r="N63" s="19"/>
      <c r="O63" s="19"/>
      <c r="P63" s="19"/>
      <c r="Q63" s="21">
        <f ca="1">IFERROR(__xludf.DUMMYFUNCTION("""COMPUTED_VALUE"""),31000000)</f>
        <v>31000000</v>
      </c>
      <c r="R63" s="19"/>
      <c r="S63" s="19"/>
      <c r="T63" s="19"/>
      <c r="U63" s="19"/>
      <c r="V63" s="19"/>
      <c r="W63" s="20">
        <f ca="1">IFERROR(__xludf.DUMMYFUNCTION("""COMPUTED_VALUE"""),31000000)</f>
        <v>31000000</v>
      </c>
      <c r="X63" s="43" t="str">
        <f ca="1">IFERROR(__xludf.DUMMYFUNCTION("""COMPUTED_VALUE"""),"MUNICIPALIDAD DE CARTAGENA")</f>
        <v>MUNICIPALIDAD DE CARTAGENA</v>
      </c>
    </row>
    <row r="64" spans="1:24" ht="15.75" customHeight="1" x14ac:dyDescent="0.25">
      <c r="A64" s="16" t="str">
        <f ca="1">IFERROR(__xludf.DUMMYFUNCTION("""COMPUTED_VALUE""")," REGIÓN DE LA ARAUCANÍA ")</f>
        <v xml:space="preserve"> REGIÓN DE LA ARAUCANÍA </v>
      </c>
      <c r="B64" s="16" t="str">
        <f t="shared" ca="1" si="1"/>
        <v xml:space="preserve"> LONQUIMAY</v>
      </c>
      <c r="C64" s="16" t="str">
        <f ca="1">IFERROR(__xludf.DUMMYFUNCTION("""COMPUTED_VALUE""")," PLAN NACIONAL DE ESTERILIZACIONES RESPONSABILIDAD COMPARTIDA 2024 COMUNA DE LONQUIMAY ")</f>
        <v xml:space="preserve"> PLAN NACIONAL DE ESTERILIZACIONES RESPONSABILIDAD COMPARTIDA 2024 COMUNA DE LONQUIMAY </v>
      </c>
      <c r="D64" s="40">
        <f ca="1">IFERROR(__xludf.DUMMYFUNCTION("""COMPUTED_VALUE"""),92050308)</f>
        <v>92050308</v>
      </c>
      <c r="E64" s="16" t="str">
        <f ca="1">IFERROR(__xludf.DUMMYFUNCTION("""COMPUTED_VALUE""")," EN EJECUCIÓN ")</f>
        <v xml:space="preserve"> EN EJECUCIÓN </v>
      </c>
      <c r="F64" s="41">
        <f ca="1">IFERROR(__xludf.DUMMYFUNCTION("""COMPUTED_VALUE"""),45481)</f>
        <v>45481</v>
      </c>
      <c r="G64" s="16">
        <f ca="1">IFERROR(__xludf.DUMMYFUNCTION("""COMPUTED_VALUE"""),27400000)</f>
        <v>27400000</v>
      </c>
      <c r="H64" s="16" t="str">
        <f ca="1">IFERROR(__xludf.DUMMYFUNCTION("""COMPUTED_VALUE""")," EN EJECUCIÓN ")</f>
        <v xml:space="preserve"> EN EJECUCIÓN </v>
      </c>
      <c r="I64" s="16">
        <f ca="1">IFERROR(__xludf.DUMMYFUNCTION("""COMPUTED_VALUE"""),27400000)</f>
        <v>27400000</v>
      </c>
      <c r="J64" s="83" t="s">
        <v>48</v>
      </c>
      <c r="K64" s="16"/>
      <c r="L64" s="50"/>
      <c r="M64" s="16"/>
      <c r="N64" s="19"/>
      <c r="O64" s="19"/>
      <c r="P64" s="19"/>
      <c r="Q64" s="21">
        <f ca="1">IFERROR(__xludf.DUMMYFUNCTION("""COMPUTED_VALUE"""),27400000)</f>
        <v>27400000</v>
      </c>
      <c r="R64" s="19"/>
      <c r="S64" s="19"/>
      <c r="T64" s="19"/>
      <c r="U64" s="19"/>
      <c r="V64" s="19"/>
      <c r="W64" s="20">
        <f ca="1">IFERROR(__xludf.DUMMYFUNCTION("""COMPUTED_VALUE"""),27400000)</f>
        <v>27400000</v>
      </c>
      <c r="X64" s="43" t="str">
        <f ca="1">IFERROR(__xludf.DUMMYFUNCTION("""COMPUTED_VALUE"""),"MUNICIPALIDAD DE LONQUIMAY")</f>
        <v>MUNICIPALIDAD DE LONQUIMAY</v>
      </c>
    </row>
    <row r="65" spans="1:24" ht="15.75" customHeight="1" x14ac:dyDescent="0.25">
      <c r="A65" s="16" t="str">
        <f ca="1">IFERROR(__xludf.DUMMYFUNCTION("""COMPUTED_VALUE""")," REGIÓN DE VALPARAÍSO ")</f>
        <v xml:space="preserve"> REGIÓN DE VALPARAÍSO </v>
      </c>
      <c r="B65" s="16" t="str">
        <f t="shared" ca="1" si="1"/>
        <v xml:space="preserve"> OLMUÉ</v>
      </c>
      <c r="C65" s="16" t="str">
        <f ca="1">IFERROR(__xludf.DUMMYFUNCTION("""COMPUTED_VALUE""")," PLAN NACIONAL DE ESTERILIZACIONES RESPONSABILIDAD COMPARTIDA 2023 COMUNA DE OLMUÉ ")</f>
        <v xml:space="preserve"> PLAN NACIONAL DE ESTERILIZACIONES RESPONSABILIDAD COMPARTIDA 2023 COMUNA DE OLMUÉ </v>
      </c>
      <c r="D65" s="40">
        <f ca="1">IFERROR(__xludf.DUMMYFUNCTION("""COMPUTED_VALUE"""),58030438)</f>
        <v>58030438</v>
      </c>
      <c r="E65" s="16" t="str">
        <f ca="1">IFERROR(__xludf.DUMMYFUNCTION("""COMPUTED_VALUE""")," EN EJECUCIÓN ")</f>
        <v xml:space="preserve"> EN EJECUCIÓN </v>
      </c>
      <c r="F65" s="41">
        <f ca="1">IFERROR(__xludf.DUMMYFUNCTION("""COMPUTED_VALUE"""),45481)</f>
        <v>45481</v>
      </c>
      <c r="G65" s="16">
        <f ca="1">IFERROR(__xludf.DUMMYFUNCTION("""COMPUTED_VALUE"""),19900000)</f>
        <v>19900000</v>
      </c>
      <c r="H65" s="16" t="str">
        <f ca="1">IFERROR(__xludf.DUMMYFUNCTION("""COMPUTED_VALUE""")," EN EJECUCIÓN ")</f>
        <v xml:space="preserve"> EN EJECUCIÓN </v>
      </c>
      <c r="I65" s="16">
        <f ca="1">IFERROR(__xludf.DUMMYFUNCTION("""COMPUTED_VALUE"""),19900000)</f>
        <v>19900000</v>
      </c>
      <c r="J65" s="83" t="s">
        <v>48</v>
      </c>
      <c r="K65" s="16"/>
      <c r="L65" s="50"/>
      <c r="M65" s="16"/>
      <c r="N65" s="19"/>
      <c r="O65" s="19"/>
      <c r="P65" s="19"/>
      <c r="Q65" s="21">
        <f ca="1">IFERROR(__xludf.DUMMYFUNCTION("""COMPUTED_VALUE"""),19900000)</f>
        <v>19900000</v>
      </c>
      <c r="R65" s="19"/>
      <c r="S65" s="19"/>
      <c r="T65" s="19"/>
      <c r="U65" s="19"/>
      <c r="V65" s="19"/>
      <c r="W65" s="20">
        <f ca="1">IFERROR(__xludf.DUMMYFUNCTION("""COMPUTED_VALUE"""),19900000)</f>
        <v>19900000</v>
      </c>
      <c r="X65" s="43" t="str">
        <f ca="1">IFERROR(__xludf.DUMMYFUNCTION("""COMPUTED_VALUE"""),"MUNICIPALIDAD DE OLMUÉ")</f>
        <v>MUNICIPALIDAD DE OLMUÉ</v>
      </c>
    </row>
    <row r="66" spans="1:24" ht="15.75" customHeight="1" x14ac:dyDescent="0.25">
      <c r="A66" s="16" t="str">
        <f ca="1">IFERROR(__xludf.DUMMYFUNCTION("""COMPUTED_VALUE""")," REGIÓN DE LOS LAGOS ")</f>
        <v xml:space="preserve"> REGIÓN DE LOS LAGOS </v>
      </c>
      <c r="B66" s="16" t="str">
        <f t="shared" ca="1" si="1"/>
        <v xml:space="preserve"> PUERTO VARAS</v>
      </c>
      <c r="C66" s="16" t="str">
        <f ca="1">IFERROR(__xludf.DUMMYFUNCTION("""COMPUTED_VALUE""")," PLAN NACIONAL DE ESTERILIZACIONES RESPONSABILIDAD COMPARTIDA 2023 COMUNA DE PUERTO VARAS ")</f>
        <v xml:space="preserve"> PLAN NACIONAL DE ESTERILIZACIONES RESPONSABILIDAD COMPARTIDA 2023 COMUNA DE PUERTO VARAS </v>
      </c>
      <c r="D66" s="40">
        <f ca="1">IFERROR(__xludf.DUMMYFUNCTION("""COMPUTED_VALUE"""),101090345)</f>
        <v>101090345</v>
      </c>
      <c r="E66" s="16" t="str">
        <f ca="1">IFERROR(__xludf.DUMMYFUNCTION("""COMPUTED_VALUE""")," EN EJECUCIÓN ")</f>
        <v xml:space="preserve"> EN EJECUCIÓN </v>
      </c>
      <c r="F66" s="41">
        <f ca="1">IFERROR(__xludf.DUMMYFUNCTION("""COMPUTED_VALUE"""),45481)</f>
        <v>45481</v>
      </c>
      <c r="G66" s="16">
        <f ca="1">IFERROR(__xludf.DUMMYFUNCTION("""COMPUTED_VALUE"""),27880000)</f>
        <v>27880000</v>
      </c>
      <c r="H66" s="16" t="str">
        <f ca="1">IFERROR(__xludf.DUMMYFUNCTION("""COMPUTED_VALUE""")," EN EJECUCIÓN ")</f>
        <v xml:space="preserve"> EN EJECUCIÓN </v>
      </c>
      <c r="I66" s="16">
        <f ca="1">IFERROR(__xludf.DUMMYFUNCTION("""COMPUTED_VALUE"""),27880000)</f>
        <v>27880000</v>
      </c>
      <c r="J66" s="83" t="s">
        <v>48</v>
      </c>
      <c r="K66" s="16"/>
      <c r="L66" s="50"/>
      <c r="M66" s="16"/>
      <c r="N66" s="19"/>
      <c r="O66" s="19"/>
      <c r="P66" s="19"/>
      <c r="Q66" s="21">
        <f ca="1">IFERROR(__xludf.DUMMYFUNCTION("""COMPUTED_VALUE"""),27880000)</f>
        <v>27880000</v>
      </c>
      <c r="R66" s="19"/>
      <c r="S66" s="19"/>
      <c r="T66" s="19"/>
      <c r="U66" s="19"/>
      <c r="V66" s="19"/>
      <c r="W66" s="20">
        <f ca="1">IFERROR(__xludf.DUMMYFUNCTION("""COMPUTED_VALUE"""),27880000)</f>
        <v>27880000</v>
      </c>
      <c r="X66" s="43" t="str">
        <f ca="1">IFERROR(__xludf.DUMMYFUNCTION("""COMPUTED_VALUE"""),"MUNICIPALIDAD DE PUERTO VARAS")</f>
        <v>MUNICIPALIDAD DE PUERTO VARAS</v>
      </c>
    </row>
    <row r="67" spans="1:24" ht="15.75" customHeight="1" x14ac:dyDescent="0.25">
      <c r="A67" s="16" t="str">
        <f ca="1">IFERROR(__xludf.DUMMYFUNCTION("""COMPUTED_VALUE""")," REGIÓN DE LA ARAUCANÍA ")</f>
        <v xml:space="preserve"> REGIÓN DE LA ARAUCANÍA </v>
      </c>
      <c r="B67" s="16" t="str">
        <f t="shared" ca="1" si="1"/>
        <v xml:space="preserve"> CURARREHUE</v>
      </c>
      <c r="C67" s="16" t="str">
        <f ca="1">IFERROR(__xludf.DUMMYFUNCTION("""COMPUTED_VALUE""")," PLAN NACIONAL DE ESTERILIZACIONES RESPONSABILIDAD COMPARTIDA 2023 COMUNA DE CURARREHUE ")</f>
        <v xml:space="preserve"> PLAN NACIONAL DE ESTERILIZACIONES RESPONSABILIDAD COMPARTIDA 2023 COMUNA DE CURARREHUE </v>
      </c>
      <c r="D67" s="40">
        <f ca="1">IFERROR(__xludf.DUMMYFUNCTION("""COMPUTED_VALUE"""),91040300)</f>
        <v>91040300</v>
      </c>
      <c r="E67" s="16" t="str">
        <f ca="1">IFERROR(__xludf.DUMMYFUNCTION("""COMPUTED_VALUE""")," EN EJECUCIÓN ")</f>
        <v xml:space="preserve"> EN EJECUCIÓN </v>
      </c>
      <c r="F67" s="41">
        <f ca="1">IFERROR(__xludf.DUMMYFUNCTION("""COMPUTED_VALUE"""),45484)</f>
        <v>45484</v>
      </c>
      <c r="G67" s="16">
        <f ca="1">IFERROR(__xludf.DUMMYFUNCTION("""COMPUTED_VALUE"""),16800000)</f>
        <v>16800000</v>
      </c>
      <c r="H67" s="16" t="str">
        <f ca="1">IFERROR(__xludf.DUMMYFUNCTION("""COMPUTED_VALUE""")," EN EJECUCIÓN ")</f>
        <v xml:space="preserve"> EN EJECUCIÓN </v>
      </c>
      <c r="I67" s="16">
        <f ca="1">IFERROR(__xludf.DUMMYFUNCTION("""COMPUTED_VALUE"""),16800000)</f>
        <v>16800000</v>
      </c>
      <c r="J67" s="83" t="s">
        <v>48</v>
      </c>
      <c r="K67" s="16"/>
      <c r="L67" s="50"/>
      <c r="M67" s="16"/>
      <c r="N67" s="19"/>
      <c r="O67" s="19"/>
      <c r="P67" s="19"/>
      <c r="Q67" s="21">
        <f ca="1">IFERROR(__xludf.DUMMYFUNCTION("""COMPUTED_VALUE"""),16800000)</f>
        <v>16800000</v>
      </c>
      <c r="R67" s="19"/>
      <c r="S67" s="19"/>
      <c r="T67" s="19"/>
      <c r="U67" s="19"/>
      <c r="V67" s="19"/>
      <c r="W67" s="20">
        <f ca="1">IFERROR(__xludf.DUMMYFUNCTION("""COMPUTED_VALUE"""),16800000)</f>
        <v>16800000</v>
      </c>
      <c r="X67" s="43" t="str">
        <f ca="1">IFERROR(__xludf.DUMMYFUNCTION("""COMPUTED_VALUE"""),"MUNICIPALIDAD DE CURARREHUE")</f>
        <v>MUNICIPALIDAD DE CURARREHUE</v>
      </c>
    </row>
    <row r="68" spans="1:24" ht="15.75" customHeight="1" x14ac:dyDescent="0.25">
      <c r="A68" s="16" t="str">
        <f ca="1">IFERROR(__xludf.DUMMYFUNCTION("""COMPUTED_VALUE""")," REGIÓN DE LA ARAUCANÍA ")</f>
        <v xml:space="preserve"> REGIÓN DE LA ARAUCANÍA </v>
      </c>
      <c r="B68" s="16" t="str">
        <f t="shared" ca="1" si="1"/>
        <v xml:space="preserve"> NUEVA IMPERIAL</v>
      </c>
      <c r="C68" s="16" t="str">
        <f ca="1">IFERROR(__xludf.DUMMYFUNCTION("""COMPUTED_VALUE""")," PLAN NACIONAL DE ESTERILIZACIONES RESPONSABILIDAD COMPARTIDA 2023 COMUNA DE NUEVA IMPERIAL ")</f>
        <v xml:space="preserve"> PLAN NACIONAL DE ESTERILIZACIONES RESPONSABILIDAD COMPARTIDA 2023 COMUNA DE NUEVA IMPERIAL </v>
      </c>
      <c r="D68" s="40">
        <f ca="1">IFERROR(__xludf.DUMMYFUNCTION("""COMPUTED_VALUE"""),91110299)</f>
        <v>91110299</v>
      </c>
      <c r="E68" s="16" t="str">
        <f ca="1">IFERROR(__xludf.DUMMYFUNCTION("""COMPUTED_VALUE""")," EN EJECUCIÓN ")</f>
        <v xml:space="preserve"> EN EJECUCIÓN </v>
      </c>
      <c r="F68" s="41">
        <f ca="1">IFERROR(__xludf.DUMMYFUNCTION("""COMPUTED_VALUE"""),45478)</f>
        <v>45478</v>
      </c>
      <c r="G68" s="16">
        <f ca="1">IFERROR(__xludf.DUMMYFUNCTION("""COMPUTED_VALUE"""),29800000)</f>
        <v>29800000</v>
      </c>
      <c r="H68" s="16" t="str">
        <f ca="1">IFERROR(__xludf.DUMMYFUNCTION("""COMPUTED_VALUE""")," EN EJECUCIÓN ")</f>
        <v xml:space="preserve"> EN EJECUCIÓN </v>
      </c>
      <c r="I68" s="16">
        <f ca="1">IFERROR(__xludf.DUMMYFUNCTION("""COMPUTED_VALUE"""),29800000)</f>
        <v>29800000</v>
      </c>
      <c r="J68" s="83" t="s">
        <v>48</v>
      </c>
      <c r="K68" s="16"/>
      <c r="L68" s="50"/>
      <c r="M68" s="16"/>
      <c r="N68" s="19"/>
      <c r="O68" s="19"/>
      <c r="P68" s="19"/>
      <c r="Q68" s="21">
        <f ca="1">IFERROR(__xludf.DUMMYFUNCTION("""COMPUTED_VALUE"""),29800000)</f>
        <v>29800000</v>
      </c>
      <c r="R68" s="19"/>
      <c r="S68" s="19"/>
      <c r="T68" s="19"/>
      <c r="U68" s="19"/>
      <c r="V68" s="19"/>
      <c r="W68" s="20">
        <f ca="1">IFERROR(__xludf.DUMMYFUNCTION("""COMPUTED_VALUE"""),29800000)</f>
        <v>29800000</v>
      </c>
      <c r="X68" s="43" t="str">
        <f ca="1">IFERROR(__xludf.DUMMYFUNCTION("""COMPUTED_VALUE"""),"MUNICIPALIDAD DE NUEVA IMPERIAL")</f>
        <v>MUNICIPALIDAD DE NUEVA IMPERIAL</v>
      </c>
    </row>
    <row r="69" spans="1:24" ht="15.75" customHeight="1" x14ac:dyDescent="0.25">
      <c r="A69" s="16" t="str">
        <f ca="1">IFERROR(__xludf.DUMMYFUNCTION("""COMPUTED_VALUE""")," REGIÓN DEL BIOBÍO ")</f>
        <v xml:space="preserve"> REGIÓN DEL BIOBÍO </v>
      </c>
      <c r="B69" s="16" t="str">
        <f t="shared" ca="1" si="1"/>
        <v xml:space="preserve"> CHIGUAYANTE</v>
      </c>
      <c r="C69" s="16" t="str">
        <f ca="1">IFERROR(__xludf.DUMMYFUNCTION("""COMPUTED_VALUE""")," PLAN NACIONAL DE ESTERILIZACIONES RESPONSABILIDAD COMPARTIDA 2023 COMUNA DE CHIGUAYANTE ")</f>
        <v xml:space="preserve"> PLAN NACIONAL DE ESTERILIZACIONES RESPONSABILIDAD COMPARTIDA 2023 COMUNA DE CHIGUAYANTE </v>
      </c>
      <c r="D69" s="40">
        <f ca="1">IFERROR(__xludf.DUMMYFUNCTION("""COMPUTED_VALUE"""),81030453)</f>
        <v>81030453</v>
      </c>
      <c r="E69" s="16" t="str">
        <f ca="1">IFERROR(__xludf.DUMMYFUNCTION("""COMPUTED_VALUE""")," EN EJECUCIÓN ")</f>
        <v xml:space="preserve"> EN EJECUCIÓN </v>
      </c>
      <c r="F69" s="41">
        <f ca="1">IFERROR(__xludf.DUMMYFUNCTION("""COMPUTED_VALUE"""),45478)</f>
        <v>45478</v>
      </c>
      <c r="G69" s="16">
        <f ca="1">IFERROR(__xludf.DUMMYFUNCTION("""COMPUTED_VALUE"""),28600000)</f>
        <v>28600000</v>
      </c>
      <c r="H69" s="16" t="str">
        <f ca="1">IFERROR(__xludf.DUMMYFUNCTION("""COMPUTED_VALUE""")," EN EJECUCIÓN ")</f>
        <v xml:space="preserve"> EN EJECUCIÓN </v>
      </c>
      <c r="I69" s="16">
        <f ca="1">IFERROR(__xludf.DUMMYFUNCTION("""COMPUTED_VALUE"""),28600000)</f>
        <v>28600000</v>
      </c>
      <c r="J69" s="83" t="s">
        <v>48</v>
      </c>
      <c r="K69" s="16"/>
      <c r="L69" s="50"/>
      <c r="M69" s="16"/>
      <c r="N69" s="19"/>
      <c r="O69" s="19"/>
      <c r="P69" s="19"/>
      <c r="Q69" s="21">
        <f ca="1">IFERROR(__xludf.DUMMYFUNCTION("""COMPUTED_VALUE"""),28600000)</f>
        <v>28600000</v>
      </c>
      <c r="R69" s="19"/>
      <c r="S69" s="19"/>
      <c r="T69" s="19"/>
      <c r="U69" s="19"/>
      <c r="V69" s="19"/>
      <c r="W69" s="20">
        <f ca="1">IFERROR(__xludf.DUMMYFUNCTION("""COMPUTED_VALUE"""),28600000)</f>
        <v>28600000</v>
      </c>
      <c r="X69" s="43" t="str">
        <f ca="1">IFERROR(__xludf.DUMMYFUNCTION("""COMPUTED_VALUE"""),"MUNICIPALIDAD DE CHIGUAYANTE")</f>
        <v>MUNICIPALIDAD DE CHIGUAYANTE</v>
      </c>
    </row>
    <row r="70" spans="1:24" ht="15.75" customHeight="1" x14ac:dyDescent="0.25">
      <c r="A70" s="16" t="str">
        <f ca="1">IFERROR(__xludf.DUMMYFUNCTION("""COMPUTED_VALUE""")," REGIÓN DE LA ARAUCANÍA ")</f>
        <v xml:space="preserve"> REGIÓN DE LA ARAUCANÍA </v>
      </c>
      <c r="B70" s="16" t="str">
        <f t="shared" ca="1" si="1"/>
        <v xml:space="preserve"> VILCÚN</v>
      </c>
      <c r="C70" s="16" t="str">
        <f ca="1">IFERROR(__xludf.DUMMYFUNCTION("""COMPUTED_VALUE""")," PLAN NACIONAL DE ESTERILIZACIONES RESPONSABILIDAD COMPARTIDA 2023 COMUNA DE VILCUN ")</f>
        <v xml:space="preserve"> PLAN NACIONAL DE ESTERILIZACIONES RESPONSABILIDAD COMPARTIDA 2023 COMUNA DE VILCUN </v>
      </c>
      <c r="D70" s="40">
        <f ca="1">IFERROR(__xludf.DUMMYFUNCTION("""COMPUTED_VALUE"""),91190297)</f>
        <v>91190297</v>
      </c>
      <c r="E70" s="16" t="str">
        <f ca="1">IFERROR(__xludf.DUMMYFUNCTION("""COMPUTED_VALUE""")," EN EJECUCIÓN ")</f>
        <v xml:space="preserve"> EN EJECUCIÓN </v>
      </c>
      <c r="F70" s="41">
        <f ca="1">IFERROR(__xludf.DUMMYFUNCTION("""COMPUTED_VALUE"""),45478)</f>
        <v>45478</v>
      </c>
      <c r="G70" s="16">
        <f ca="1">IFERROR(__xludf.DUMMYFUNCTION("""COMPUTED_VALUE"""),28600000)</f>
        <v>28600000</v>
      </c>
      <c r="H70" s="16" t="str">
        <f ca="1">IFERROR(__xludf.DUMMYFUNCTION("""COMPUTED_VALUE""")," EN EJECUCIÓN ")</f>
        <v xml:space="preserve"> EN EJECUCIÓN </v>
      </c>
      <c r="I70" s="16">
        <f ca="1">IFERROR(__xludf.DUMMYFUNCTION("""COMPUTED_VALUE"""),28600000)</f>
        <v>28600000</v>
      </c>
      <c r="J70" s="83" t="s">
        <v>48</v>
      </c>
      <c r="K70" s="16"/>
      <c r="L70" s="50"/>
      <c r="M70" s="16"/>
      <c r="N70" s="19"/>
      <c r="O70" s="19"/>
      <c r="P70" s="19"/>
      <c r="Q70" s="21">
        <f ca="1">IFERROR(__xludf.DUMMYFUNCTION("""COMPUTED_VALUE"""),28600000)</f>
        <v>28600000</v>
      </c>
      <c r="R70" s="19"/>
      <c r="S70" s="19"/>
      <c r="T70" s="19"/>
      <c r="U70" s="19"/>
      <c r="V70" s="19"/>
      <c r="W70" s="20">
        <f ca="1">IFERROR(__xludf.DUMMYFUNCTION("""COMPUTED_VALUE"""),28600000)</f>
        <v>28600000</v>
      </c>
      <c r="X70" s="43" t="str">
        <f ca="1">IFERROR(__xludf.DUMMYFUNCTION("""COMPUTED_VALUE"""),"MUNICIPALIDAD DE VILCÚN")</f>
        <v>MUNICIPALIDAD DE VILCÚN</v>
      </c>
    </row>
    <row r="71" spans="1:24" ht="15.75" customHeight="1" x14ac:dyDescent="0.25">
      <c r="A71" s="16" t="str">
        <f ca="1">IFERROR(__xludf.DUMMYFUNCTION("""COMPUTED_VALUE""")," REGIÓN DE LOS LAGOS ")</f>
        <v xml:space="preserve"> REGIÓN DE LOS LAGOS </v>
      </c>
      <c r="B71" s="16" t="str">
        <f t="shared" ca="1" si="1"/>
        <v xml:space="preserve"> DALCAHUE</v>
      </c>
      <c r="C71" s="16" t="str">
        <f ca="1">IFERROR(__xludf.DUMMYFUNCTION("""COMPUTED_VALUE""")," PLAN NACIONAL DE ESTERILIZACIONES RESPONSABILIDAD COMPARTIDA AÑO 2023 DALCAHUE ")</f>
        <v xml:space="preserve"> PLAN NACIONAL DE ESTERILIZACIONES RESPONSABILIDAD COMPARTIDA AÑO 2023 DALCAHUE </v>
      </c>
      <c r="D71" s="40">
        <f ca="1">IFERROR(__xludf.DUMMYFUNCTION("""COMPUTED_VALUE"""),102050344)</f>
        <v>102050344</v>
      </c>
      <c r="E71" s="16" t="str">
        <f ca="1">IFERROR(__xludf.DUMMYFUNCTION("""COMPUTED_VALUE""")," EN EJECUCIÓN ")</f>
        <v xml:space="preserve"> EN EJECUCIÓN </v>
      </c>
      <c r="F71" s="41">
        <f ca="1">IFERROR(__xludf.DUMMYFUNCTION("""COMPUTED_VALUE"""),45478)</f>
        <v>45478</v>
      </c>
      <c r="G71" s="16">
        <f ca="1">IFERROR(__xludf.DUMMYFUNCTION("""COMPUTED_VALUE"""),27100000)</f>
        <v>27100000</v>
      </c>
      <c r="H71" s="16" t="str">
        <f ca="1">IFERROR(__xludf.DUMMYFUNCTION("""COMPUTED_VALUE""")," EN EJECUCIÓN ")</f>
        <v xml:space="preserve"> EN EJECUCIÓN </v>
      </c>
      <c r="I71" s="16">
        <f ca="1">IFERROR(__xludf.DUMMYFUNCTION("""COMPUTED_VALUE"""),27100000)</f>
        <v>27100000</v>
      </c>
      <c r="J71" s="83" t="s">
        <v>48</v>
      </c>
      <c r="K71" s="16"/>
      <c r="L71" s="50"/>
      <c r="M71" s="16"/>
      <c r="N71" s="19"/>
      <c r="O71" s="19"/>
      <c r="P71" s="19"/>
      <c r="Q71" s="21">
        <f ca="1">IFERROR(__xludf.DUMMYFUNCTION("""COMPUTED_VALUE"""),27100000)</f>
        <v>27100000</v>
      </c>
      <c r="R71" s="19"/>
      <c r="S71" s="19"/>
      <c r="T71" s="19"/>
      <c r="U71" s="19"/>
      <c r="V71" s="19"/>
      <c r="W71" s="20">
        <f ca="1">IFERROR(__xludf.DUMMYFUNCTION("""COMPUTED_VALUE"""),27100000)</f>
        <v>27100000</v>
      </c>
      <c r="X71" s="43" t="str">
        <f ca="1">IFERROR(__xludf.DUMMYFUNCTION("""COMPUTED_VALUE"""),"MUNICIPALIDAD DE DALCAHUE")</f>
        <v>MUNICIPALIDAD DE DALCAHUE</v>
      </c>
    </row>
    <row r="72" spans="1:24" ht="15.75" customHeight="1" x14ac:dyDescent="0.25">
      <c r="A72" s="16" t="str">
        <f ca="1">IFERROR(__xludf.DUMMYFUNCTION("""COMPUTED_VALUE""")," REGIÓN DE LOS LAGOS ")</f>
        <v xml:space="preserve"> REGIÓN DE LOS LAGOS </v>
      </c>
      <c r="B72" s="16" t="str">
        <f t="shared" ca="1" si="1"/>
        <v xml:space="preserve"> PURRANQUE</v>
      </c>
      <c r="C72" s="16" t="str">
        <f ca="1">IFERROR(__xludf.DUMMYFUNCTION("""COMPUTED_VALUE""")," PLAN NACIONAL DE ESTERILIZACIONES RESPONSABILIDAD COMPARTIDA 2023 COMUNA DE PURRANQUE ")</f>
        <v xml:space="preserve"> PLAN NACIONAL DE ESTERILIZACIONES RESPONSABILIDAD COMPARTIDA 2023 COMUNA DE PURRANQUE </v>
      </c>
      <c r="D72" s="40">
        <f ca="1">IFERROR(__xludf.DUMMYFUNCTION("""COMPUTED_VALUE"""),103030346)</f>
        <v>103030346</v>
      </c>
      <c r="E72" s="16" t="str">
        <f ca="1">IFERROR(__xludf.DUMMYFUNCTION("""COMPUTED_VALUE""")," EN EJECUCIÓN ")</f>
        <v xml:space="preserve"> EN EJECUCIÓN </v>
      </c>
      <c r="F72" s="41">
        <f ca="1">IFERROR(__xludf.DUMMYFUNCTION("""COMPUTED_VALUE"""),45481)</f>
        <v>45481</v>
      </c>
      <c r="G72" s="16">
        <f ca="1">IFERROR(__xludf.DUMMYFUNCTION("""COMPUTED_VALUE"""),28600000)</f>
        <v>28600000</v>
      </c>
      <c r="H72" s="16" t="str">
        <f ca="1">IFERROR(__xludf.DUMMYFUNCTION("""COMPUTED_VALUE""")," EN EJECUCIÓN ")</f>
        <v xml:space="preserve"> EN EJECUCIÓN </v>
      </c>
      <c r="I72" s="16">
        <f ca="1">IFERROR(__xludf.DUMMYFUNCTION("""COMPUTED_VALUE"""),28600000)</f>
        <v>28600000</v>
      </c>
      <c r="J72" s="83" t="s">
        <v>48</v>
      </c>
      <c r="K72" s="16"/>
      <c r="L72" s="50"/>
      <c r="M72" s="16"/>
      <c r="N72" s="19"/>
      <c r="O72" s="19"/>
      <c r="P72" s="19"/>
      <c r="Q72" s="21">
        <f ca="1">IFERROR(__xludf.DUMMYFUNCTION("""COMPUTED_VALUE"""),28600000)</f>
        <v>28600000</v>
      </c>
      <c r="R72" s="19"/>
      <c r="S72" s="19"/>
      <c r="T72" s="19"/>
      <c r="U72" s="19"/>
      <c r="V72" s="19"/>
      <c r="W72" s="20">
        <f ca="1">IFERROR(__xludf.DUMMYFUNCTION("""COMPUTED_VALUE"""),28600000)</f>
        <v>28600000</v>
      </c>
      <c r="X72" s="43" t="str">
        <f ca="1">IFERROR(__xludf.DUMMYFUNCTION("""COMPUTED_VALUE"""),"MUNICIPALIDAD DE PURRANQUE")</f>
        <v>MUNICIPALIDAD DE PURRANQUE</v>
      </c>
    </row>
    <row r="73" spans="1:24" ht="15.75" customHeight="1" x14ac:dyDescent="0.25">
      <c r="A73" s="16" t="str">
        <f ca="1">IFERROR(__xludf.DUMMYFUNCTION("""COMPUTED_VALUE""")," REGIÓN DEL BIOBÍO ")</f>
        <v xml:space="preserve"> REGIÓN DEL BIOBÍO </v>
      </c>
      <c r="B73" s="16" t="str">
        <f t="shared" ca="1" si="1"/>
        <v xml:space="preserve"> NACIMIENTO</v>
      </c>
      <c r="C73" s="16" t="str">
        <f ca="1">IFERROR(__xludf.DUMMYFUNCTION("""COMPUTED_VALUE""")," PLAN NACIONAL DE ESTERILIZACIONES RESPONSABILIDAD COMPARTIDA 2024 COMUNA DE NACIMIENTO ")</f>
        <v xml:space="preserve"> PLAN NACIONAL DE ESTERILIZACIONES RESPONSABILIDAD COMPARTIDA 2024 COMUNA DE NACIMIENTO </v>
      </c>
      <c r="D73" s="40">
        <f ca="1">IFERROR(__xludf.DUMMYFUNCTION("""COMPUTED_VALUE"""),83060471)</f>
        <v>83060471</v>
      </c>
      <c r="E73" s="16" t="str">
        <f ca="1">IFERROR(__xludf.DUMMYFUNCTION("""COMPUTED_VALUE""")," EN EJECUCIÓN ")</f>
        <v xml:space="preserve"> EN EJECUCIÓN </v>
      </c>
      <c r="F73" s="41">
        <f ca="1">IFERROR(__xludf.DUMMYFUNCTION("""COMPUTED_VALUE"""),45481)</f>
        <v>45481</v>
      </c>
      <c r="G73" s="16">
        <f ca="1">IFERROR(__xludf.DUMMYFUNCTION("""COMPUTED_VALUE"""),16800000)</f>
        <v>16800000</v>
      </c>
      <c r="H73" s="16" t="str">
        <f ca="1">IFERROR(__xludf.DUMMYFUNCTION("""COMPUTED_VALUE""")," EN EJECUCIÓN ")</f>
        <v xml:space="preserve"> EN EJECUCIÓN </v>
      </c>
      <c r="I73" s="16">
        <f ca="1">IFERROR(__xludf.DUMMYFUNCTION("""COMPUTED_VALUE"""),16800000)</f>
        <v>16800000</v>
      </c>
      <c r="J73" s="83" t="s">
        <v>48</v>
      </c>
      <c r="K73" s="16"/>
      <c r="L73" s="50"/>
      <c r="M73" s="16"/>
      <c r="N73" s="19"/>
      <c r="O73" s="19"/>
      <c r="P73" s="19"/>
      <c r="Q73" s="21">
        <f ca="1">IFERROR(__xludf.DUMMYFUNCTION("""COMPUTED_VALUE"""),16800000)</f>
        <v>16800000</v>
      </c>
      <c r="R73" s="19"/>
      <c r="S73" s="19"/>
      <c r="T73" s="19"/>
      <c r="U73" s="19"/>
      <c r="V73" s="19"/>
      <c r="W73" s="20">
        <f ca="1">IFERROR(__xludf.DUMMYFUNCTION("""COMPUTED_VALUE"""),16800000)</f>
        <v>16800000</v>
      </c>
      <c r="X73" s="43" t="str">
        <f ca="1">IFERROR(__xludf.DUMMYFUNCTION("""COMPUTED_VALUE"""),"MUNICIPALIDAD DE NACIMIENTO")</f>
        <v>MUNICIPALIDAD DE NACIMIENTO</v>
      </c>
    </row>
    <row r="74" spans="1:24" ht="15.75" customHeight="1" x14ac:dyDescent="0.25">
      <c r="A74" s="16" t="str">
        <f ca="1">IFERROR(__xludf.DUMMYFUNCTION("""COMPUTED_VALUE""")," REGIÓN METROPOLITANA ")</f>
        <v xml:space="preserve"> REGIÓN METROPOLITANA </v>
      </c>
      <c r="B74" s="16" t="str">
        <f t="shared" ca="1" si="1"/>
        <v xml:space="preserve"> SAN MIGUEL</v>
      </c>
      <c r="C74" s="16" t="str">
        <f ca="1">IFERROR(__xludf.DUMMYFUNCTION("""COMPUTED_VALUE""")," PLAN NACIONAL DE ESTERILIZACIONES RESPONSABILIDAD COMPARTIDA 2023 COMUNA DE SAN MIGUEL ")</f>
        <v xml:space="preserve"> PLAN NACIONAL DE ESTERILIZACIONES RESPONSABILIDAD COMPARTIDA 2023 COMUNA DE SAN MIGUEL </v>
      </c>
      <c r="D74" s="40">
        <f ca="1">IFERROR(__xludf.DUMMYFUNCTION("""COMPUTED_VALUE"""),131300385)</f>
        <v>131300385</v>
      </c>
      <c r="E74" s="16" t="str">
        <f ca="1">IFERROR(__xludf.DUMMYFUNCTION("""COMPUTED_VALUE""")," EN EJECUCIÓN ")</f>
        <v xml:space="preserve"> EN EJECUCIÓN </v>
      </c>
      <c r="F74" s="41">
        <f ca="1">IFERROR(__xludf.DUMMYFUNCTION("""COMPUTED_VALUE"""),45484)</f>
        <v>45484</v>
      </c>
      <c r="G74" s="16">
        <f ca="1">IFERROR(__xludf.DUMMYFUNCTION("""COMPUTED_VALUE"""),27400000)</f>
        <v>27400000</v>
      </c>
      <c r="H74" s="16" t="str">
        <f ca="1">IFERROR(__xludf.DUMMYFUNCTION("""COMPUTED_VALUE""")," EN EJECUCIÓN ")</f>
        <v xml:space="preserve"> EN EJECUCIÓN </v>
      </c>
      <c r="I74" s="16">
        <f ca="1">IFERROR(__xludf.DUMMYFUNCTION("""COMPUTED_VALUE"""),27400000)</f>
        <v>27400000</v>
      </c>
      <c r="J74" s="83" t="s">
        <v>48</v>
      </c>
      <c r="K74" s="16"/>
      <c r="L74" s="50"/>
      <c r="M74" s="16"/>
      <c r="N74" s="19"/>
      <c r="O74" s="19"/>
      <c r="P74" s="19"/>
      <c r="Q74" s="21">
        <f ca="1">IFERROR(__xludf.DUMMYFUNCTION("""COMPUTED_VALUE"""),27400000)</f>
        <v>27400000</v>
      </c>
      <c r="R74" s="19"/>
      <c r="S74" s="19"/>
      <c r="T74" s="19"/>
      <c r="U74" s="19"/>
      <c r="V74" s="19"/>
      <c r="W74" s="20">
        <f ca="1">IFERROR(__xludf.DUMMYFUNCTION("""COMPUTED_VALUE"""),27400000)</f>
        <v>27400000</v>
      </c>
      <c r="X74" s="43" t="str">
        <f ca="1">IFERROR(__xludf.DUMMYFUNCTION("""COMPUTED_VALUE"""),"MUNICIPALIDAD DE SAN MIGUEL")</f>
        <v>MUNICIPALIDAD DE SAN MIGUEL</v>
      </c>
    </row>
    <row r="75" spans="1:24" ht="15.75" customHeight="1" x14ac:dyDescent="0.25">
      <c r="A75" s="16" t="str">
        <f ca="1">IFERROR(__xludf.DUMMYFUNCTION("""COMPUTED_VALUE""")," REGIÓN DE MAGALLANES Y ANTÁRTICA CHILENA ")</f>
        <v xml:space="preserve"> REGIÓN DE MAGALLANES Y ANTÁRTICA CHILENA </v>
      </c>
      <c r="B75" s="16" t="str">
        <f t="shared" ca="1" si="1"/>
        <v xml:space="preserve"> NATALES</v>
      </c>
      <c r="C75" s="16" t="str">
        <f ca="1">IFERROR(__xludf.DUMMYFUNCTION("""COMPUTED_VALUE""")," PLAN NACIONAL DE ESTERILIZACIONES COMPARTIDA AÑO 2023 EN LA COMUNA DE NATALES ")</f>
        <v xml:space="preserve"> PLAN NACIONAL DE ESTERILIZACIONES COMPARTIDA AÑO 2023 EN LA COMUNA DE NATALES </v>
      </c>
      <c r="D75" s="40">
        <f ca="1">IFERROR(__xludf.DUMMYFUNCTION("""COMPUTED_VALUE"""),124010090)</f>
        <v>124010090</v>
      </c>
      <c r="E75" s="16" t="str">
        <f ca="1">IFERROR(__xludf.DUMMYFUNCTION("""COMPUTED_VALUE""")," EN EJECUCIÓN ")</f>
        <v xml:space="preserve"> EN EJECUCIÓN </v>
      </c>
      <c r="F75" s="41">
        <f ca="1">IFERROR(__xludf.DUMMYFUNCTION("""COMPUTED_VALUE"""),45484)</f>
        <v>45484</v>
      </c>
      <c r="G75" s="16">
        <f ca="1">IFERROR(__xludf.DUMMYFUNCTION("""COMPUTED_VALUE"""),55500000)</f>
        <v>55500000</v>
      </c>
      <c r="H75" s="16" t="str">
        <f ca="1">IFERROR(__xludf.DUMMYFUNCTION("""COMPUTED_VALUE""")," EN EJECUCIÓN ")</f>
        <v xml:space="preserve"> EN EJECUCIÓN </v>
      </c>
      <c r="I75" s="16">
        <f ca="1">IFERROR(__xludf.DUMMYFUNCTION("""COMPUTED_VALUE"""),55500000)</f>
        <v>55500000</v>
      </c>
      <c r="J75" s="83" t="s">
        <v>48</v>
      </c>
      <c r="K75" s="16"/>
      <c r="L75" s="50"/>
      <c r="M75" s="16"/>
      <c r="N75" s="19"/>
      <c r="O75" s="19"/>
      <c r="P75" s="19"/>
      <c r="Q75" s="21">
        <f ca="1">IFERROR(__xludf.DUMMYFUNCTION("""COMPUTED_VALUE"""),55500000)</f>
        <v>55500000</v>
      </c>
      <c r="R75" s="19"/>
      <c r="S75" s="19"/>
      <c r="T75" s="19"/>
      <c r="U75" s="19"/>
      <c r="V75" s="19"/>
      <c r="W75" s="20">
        <f ca="1">IFERROR(__xludf.DUMMYFUNCTION("""COMPUTED_VALUE"""),55500000)</f>
        <v>55500000</v>
      </c>
      <c r="X75" s="43" t="str">
        <f ca="1">IFERROR(__xludf.DUMMYFUNCTION("""COMPUTED_VALUE"""),"MUNICIPALIDAD DE NATALES")</f>
        <v>MUNICIPALIDAD DE NATALES</v>
      </c>
    </row>
    <row r="76" spans="1:24" ht="15.75" customHeight="1" x14ac:dyDescent="0.25">
      <c r="A76" s="16" t="str">
        <f ca="1">IFERROR(__xludf.DUMMYFUNCTION("""COMPUTED_VALUE""")," REGIÓN DE ANTOFAGASTA ")</f>
        <v xml:space="preserve"> REGIÓN DE ANTOFAGASTA </v>
      </c>
      <c r="B76" s="16" t="str">
        <f t="shared" ca="1" si="1"/>
        <v xml:space="preserve"> MEJILLONES</v>
      </c>
      <c r="C76" s="16" t="str">
        <f ca="1">IFERROR(__xludf.DUMMYFUNCTION("""COMPUTED_VALUE""")," PLAN NACIONAL DE ESTERILIZACIONES RESPONSABILIDAD COMPARTIDA 2023 COMUNA DE MEJILLONES. ")</f>
        <v xml:space="preserve"> PLAN NACIONAL DE ESTERILIZACIONES RESPONSABILIDAD COMPARTIDA 2023 COMUNA DE MEJILLONES. </v>
      </c>
      <c r="D76" s="40">
        <f ca="1">IFERROR(__xludf.DUMMYFUNCTION("""COMPUTED_VALUE"""),21020100)</f>
        <v>21020100</v>
      </c>
      <c r="E76" s="16" t="str">
        <f ca="1">IFERROR(__xludf.DUMMYFUNCTION("""COMPUTED_VALUE""")," EN EJECUCIÓN ")</f>
        <v xml:space="preserve"> EN EJECUCIÓN </v>
      </c>
      <c r="F76" s="41">
        <f ca="1">IFERROR(__xludf.DUMMYFUNCTION("""COMPUTED_VALUE"""),45481)</f>
        <v>45481</v>
      </c>
      <c r="G76" s="16">
        <f ca="1">IFERROR(__xludf.DUMMYFUNCTION("""COMPUTED_VALUE"""),29200000)</f>
        <v>29200000</v>
      </c>
      <c r="H76" s="16" t="str">
        <f ca="1">IFERROR(__xludf.DUMMYFUNCTION("""COMPUTED_VALUE""")," EN EJECUCIÓN ")</f>
        <v xml:space="preserve"> EN EJECUCIÓN </v>
      </c>
      <c r="I76" s="16">
        <f ca="1">IFERROR(__xludf.DUMMYFUNCTION("""COMPUTED_VALUE"""),29200000)</f>
        <v>29200000</v>
      </c>
      <c r="J76" s="83" t="s">
        <v>48</v>
      </c>
      <c r="K76" s="16"/>
      <c r="L76" s="50"/>
      <c r="M76" s="16"/>
      <c r="N76" s="19"/>
      <c r="O76" s="19"/>
      <c r="P76" s="19"/>
      <c r="Q76" s="21">
        <f ca="1">IFERROR(__xludf.DUMMYFUNCTION("""COMPUTED_VALUE"""),29200000)</f>
        <v>29200000</v>
      </c>
      <c r="R76" s="19"/>
      <c r="S76" s="19"/>
      <c r="T76" s="19"/>
      <c r="U76" s="19"/>
      <c r="V76" s="19"/>
      <c r="W76" s="20">
        <f ca="1">IFERROR(__xludf.DUMMYFUNCTION("""COMPUTED_VALUE"""),29200000)</f>
        <v>29200000</v>
      </c>
      <c r="X76" s="43" t="str">
        <f ca="1">IFERROR(__xludf.DUMMYFUNCTION("""COMPUTED_VALUE"""),"MUNICIPALIDAD DE MEJILLONES")</f>
        <v>MUNICIPALIDAD DE MEJILLONES</v>
      </c>
    </row>
    <row r="77" spans="1:24" ht="15.75" customHeight="1" x14ac:dyDescent="0.25">
      <c r="A77" s="16" t="str">
        <f ca="1">IFERROR(__xludf.DUMMYFUNCTION("""COMPUTED_VALUE""")," REGIÓN DE VALPARAÍSO ")</f>
        <v xml:space="preserve"> REGIÓN DE VALPARAÍSO </v>
      </c>
      <c r="B77" s="16" t="str">
        <f t="shared" ca="1" si="1"/>
        <v xml:space="preserve"> CABILDO</v>
      </c>
      <c r="C77" s="16" t="str">
        <f ca="1">IFERROR(__xludf.DUMMYFUNCTION("""COMPUTED_VALUE""")," PLAN NACIONAL DE ESTERILIZACIONES RESPONSABILIDAD COMPARTIDA 2023 COMUNA DE CABILDO ")</f>
        <v xml:space="preserve"> PLAN NACIONAL DE ESTERILIZACIONES RESPONSABILIDAD COMPARTIDA 2023 COMUNA DE CABILDO </v>
      </c>
      <c r="D77" s="40">
        <f ca="1">IFERROR(__xludf.DUMMYFUNCTION("""COMPUTED_VALUE"""),54020431)</f>
        <v>54020431</v>
      </c>
      <c r="E77" s="16" t="str">
        <f ca="1">IFERROR(__xludf.DUMMYFUNCTION("""COMPUTED_VALUE""")," EN EJECUCIÓN ")</f>
        <v xml:space="preserve"> EN EJECUCIÓN </v>
      </c>
      <c r="F77" s="41">
        <f ca="1">IFERROR(__xludf.DUMMYFUNCTION("""COMPUTED_VALUE"""),45481)</f>
        <v>45481</v>
      </c>
      <c r="G77" s="16">
        <f ca="1">IFERROR(__xludf.DUMMYFUNCTION("""COMPUTED_VALUE"""),29200000)</f>
        <v>29200000</v>
      </c>
      <c r="H77" s="16" t="str">
        <f ca="1">IFERROR(__xludf.DUMMYFUNCTION("""COMPUTED_VALUE""")," EN EJECUCIÓN ")</f>
        <v xml:space="preserve"> EN EJECUCIÓN </v>
      </c>
      <c r="I77" s="16">
        <f ca="1">IFERROR(__xludf.DUMMYFUNCTION("""COMPUTED_VALUE"""),29200000)</f>
        <v>29200000</v>
      </c>
      <c r="J77" s="83" t="s">
        <v>48</v>
      </c>
      <c r="K77" s="16"/>
      <c r="L77" s="50"/>
      <c r="M77" s="16"/>
      <c r="N77" s="19"/>
      <c r="O77" s="19"/>
      <c r="P77" s="19"/>
      <c r="Q77" s="21">
        <f ca="1">IFERROR(__xludf.DUMMYFUNCTION("""COMPUTED_VALUE"""),29200000)</f>
        <v>29200000</v>
      </c>
      <c r="R77" s="19"/>
      <c r="S77" s="19"/>
      <c r="T77" s="19"/>
      <c r="U77" s="19"/>
      <c r="V77" s="19"/>
      <c r="W77" s="20">
        <f ca="1">IFERROR(__xludf.DUMMYFUNCTION("""COMPUTED_VALUE"""),29200000)</f>
        <v>29200000</v>
      </c>
      <c r="X77" s="43" t="str">
        <f ca="1">IFERROR(__xludf.DUMMYFUNCTION("""COMPUTED_VALUE"""),"MUNICIPALIDAD DE CABILDO")</f>
        <v>MUNICIPALIDAD DE CABILDO</v>
      </c>
    </row>
    <row r="78" spans="1:24" ht="15.75" customHeight="1" x14ac:dyDescent="0.25">
      <c r="A78" s="16" t="str">
        <f ca="1">IFERROR(__xludf.DUMMYFUNCTION("""COMPUTED_VALUE""")," REGIÓN DE VALPARAÍSO ")</f>
        <v xml:space="preserve"> REGIÓN DE VALPARAÍSO </v>
      </c>
      <c r="B78" s="16" t="str">
        <f t="shared" ca="1" si="1"/>
        <v xml:space="preserve"> LLAILLAY</v>
      </c>
      <c r="C78" s="16" t="str">
        <f ca="1">IFERROR(__xludf.DUMMYFUNCTION("""COMPUTED_VALUE""")," PLAN NACIONAL DE ESTERILIZACIONES RESPONSABILIDAD COMPARTIDA 2023 COMUNA DE LLAY LLAY ")</f>
        <v xml:space="preserve"> PLAN NACIONAL DE ESTERILIZACIONES RESPONSABILIDAD COMPARTIDA 2023 COMUNA DE LLAY LLAY </v>
      </c>
      <c r="D78" s="40">
        <f ca="1">IFERROR(__xludf.DUMMYFUNCTION("""COMPUTED_VALUE"""),57030453)</f>
        <v>57030453</v>
      </c>
      <c r="E78" s="16" t="str">
        <f ca="1">IFERROR(__xludf.DUMMYFUNCTION("""COMPUTED_VALUE""")," EN EJECUCIÓN ")</f>
        <v xml:space="preserve"> EN EJECUCIÓN </v>
      </c>
      <c r="F78" s="41">
        <f ca="1">IFERROR(__xludf.DUMMYFUNCTION("""COMPUTED_VALUE"""),45484)</f>
        <v>45484</v>
      </c>
      <c r="G78" s="16">
        <f ca="1">IFERROR(__xludf.DUMMYFUNCTION("""COMPUTED_VALUE"""),29200000)</f>
        <v>29200000</v>
      </c>
      <c r="H78" s="16" t="str">
        <f ca="1">IFERROR(__xludf.DUMMYFUNCTION("""COMPUTED_VALUE""")," EN EJECUCIÓN ")</f>
        <v xml:space="preserve"> EN EJECUCIÓN </v>
      </c>
      <c r="I78" s="16">
        <f ca="1">IFERROR(__xludf.DUMMYFUNCTION("""COMPUTED_VALUE"""),29200000)</f>
        <v>29200000</v>
      </c>
      <c r="J78" s="83" t="s">
        <v>48</v>
      </c>
      <c r="K78" s="16"/>
      <c r="L78" s="50"/>
      <c r="M78" s="16"/>
      <c r="N78" s="19"/>
      <c r="O78" s="19"/>
      <c r="P78" s="19"/>
      <c r="Q78" s="21">
        <f ca="1">IFERROR(__xludf.DUMMYFUNCTION("""COMPUTED_VALUE"""),29200000)</f>
        <v>29200000</v>
      </c>
      <c r="R78" s="19"/>
      <c r="S78" s="19"/>
      <c r="T78" s="19"/>
      <c r="U78" s="19"/>
      <c r="V78" s="19"/>
      <c r="W78" s="20">
        <f ca="1">IFERROR(__xludf.DUMMYFUNCTION("""COMPUTED_VALUE"""),29200000)</f>
        <v>29200000</v>
      </c>
      <c r="X78" s="43" t="str">
        <f ca="1">IFERROR(__xludf.DUMMYFUNCTION("""COMPUTED_VALUE"""),"MUNICIPALIDAD DE LLAILLAY")</f>
        <v>MUNICIPALIDAD DE LLAILLAY</v>
      </c>
    </row>
    <row r="79" spans="1:24" ht="15.75" customHeight="1" x14ac:dyDescent="0.25">
      <c r="A79" s="16" t="str">
        <f ca="1">IFERROR(__xludf.DUMMYFUNCTION("""COMPUTED_VALUE""")," REGIÓN DE LOS RÍOS ")</f>
        <v xml:space="preserve"> REGIÓN DE LOS RÍOS </v>
      </c>
      <c r="B79" s="16" t="str">
        <f t="shared" ca="1" si="1"/>
        <v xml:space="preserve"> FUTRONO</v>
      </c>
      <c r="C79" s="16" t="str">
        <f ca="1">IFERROR(__xludf.DUMMYFUNCTION("""COMPUTED_VALUE""")," PLAN NACIONAL DE ESTERILIZACIONES RESPONSABILIDAD COMPARTIDA 2023 COMUNA DE FUTRONO ")</f>
        <v xml:space="preserve"> PLAN NACIONAL DE ESTERILIZACIONES RESPONSABILIDAD COMPARTIDA 2023 COMUNA DE FUTRONO </v>
      </c>
      <c r="D79" s="40">
        <f ca="1">IFERROR(__xludf.DUMMYFUNCTION("""COMPUTED_VALUE"""),142020176)</f>
        <v>142020176</v>
      </c>
      <c r="E79" s="16" t="str">
        <f ca="1">IFERROR(__xludf.DUMMYFUNCTION("""COMPUTED_VALUE""")," EN EJECUCIÓN ")</f>
        <v xml:space="preserve"> EN EJECUCIÓN </v>
      </c>
      <c r="F79" s="41">
        <f ca="1">IFERROR(__xludf.DUMMYFUNCTION("""COMPUTED_VALUE"""),45485)</f>
        <v>45485</v>
      </c>
      <c r="G79" s="16">
        <f ca="1">IFERROR(__xludf.DUMMYFUNCTION("""COMPUTED_VALUE"""),22400000)</f>
        <v>22400000</v>
      </c>
      <c r="H79" s="16" t="str">
        <f ca="1">IFERROR(__xludf.DUMMYFUNCTION("""COMPUTED_VALUE""")," EN EJECUCIÓN ")</f>
        <v xml:space="preserve"> EN EJECUCIÓN </v>
      </c>
      <c r="I79" s="16">
        <f ca="1">IFERROR(__xludf.DUMMYFUNCTION("""COMPUTED_VALUE"""),22400000)</f>
        <v>22400000</v>
      </c>
      <c r="J79" s="83" t="s">
        <v>48</v>
      </c>
      <c r="K79" s="16"/>
      <c r="L79" s="50"/>
      <c r="M79" s="16"/>
      <c r="N79" s="19"/>
      <c r="O79" s="19"/>
      <c r="P79" s="19"/>
      <c r="Q79" s="21">
        <f ca="1">IFERROR(__xludf.DUMMYFUNCTION("""COMPUTED_VALUE"""),22400000)</f>
        <v>22400000</v>
      </c>
      <c r="R79" s="19"/>
      <c r="S79" s="19"/>
      <c r="T79" s="19"/>
      <c r="U79" s="19"/>
      <c r="V79" s="19"/>
      <c r="W79" s="20">
        <f ca="1">IFERROR(__xludf.DUMMYFUNCTION("""COMPUTED_VALUE"""),22400000)</f>
        <v>22400000</v>
      </c>
      <c r="X79" s="43" t="str">
        <f ca="1">IFERROR(__xludf.DUMMYFUNCTION("""COMPUTED_VALUE"""),"MUNICIPALIDAD DE FUTRONO")</f>
        <v>MUNICIPALIDAD DE FUTRONO</v>
      </c>
    </row>
    <row r="80" spans="1:24" ht="15.75" customHeight="1" x14ac:dyDescent="0.25">
      <c r="A80" s="16" t="str">
        <f ca="1">IFERROR(__xludf.DUMMYFUNCTION("""COMPUTED_VALUE""")," REGIÓN DE LOS LAGOS ")</f>
        <v xml:space="preserve"> REGIÓN DE LOS LAGOS </v>
      </c>
      <c r="B80" s="16" t="str">
        <f t="shared" ca="1" si="1"/>
        <v xml:space="preserve"> QUEMCHI</v>
      </c>
      <c r="C80" s="16" t="str">
        <f ca="1">IFERROR(__xludf.DUMMYFUNCTION("""COMPUTED_VALUE""")," PLAN NACIONAL DE ESTERILIZACIONES RESPONSABILIDAD COMPARTIDA 2023, COMUNA DE QUEMCHI ")</f>
        <v xml:space="preserve"> PLAN NACIONAL DE ESTERILIZACIONES RESPONSABILIDAD COMPARTIDA 2023, COMUNA DE QUEMCHI </v>
      </c>
      <c r="D80" s="40">
        <f ca="1">IFERROR(__xludf.DUMMYFUNCTION("""COMPUTED_VALUE"""),102090349)</f>
        <v>102090349</v>
      </c>
      <c r="E80" s="16" t="str">
        <f ca="1">IFERROR(__xludf.DUMMYFUNCTION("""COMPUTED_VALUE""")," EN EJECUCIÓN ")</f>
        <v xml:space="preserve"> EN EJECUCIÓN </v>
      </c>
      <c r="F80" s="41">
        <f ca="1">IFERROR(__xludf.DUMMYFUNCTION("""COMPUTED_VALUE"""),45485)</f>
        <v>45485</v>
      </c>
      <c r="G80" s="16">
        <f ca="1">IFERROR(__xludf.DUMMYFUNCTION("""COMPUTED_VALUE"""),10900000)</f>
        <v>10900000</v>
      </c>
      <c r="H80" s="16" t="str">
        <f ca="1">IFERROR(__xludf.DUMMYFUNCTION("""COMPUTED_VALUE""")," EN EJECUCIÓN ")</f>
        <v xml:space="preserve"> EN EJECUCIÓN </v>
      </c>
      <c r="I80" s="16">
        <f ca="1">IFERROR(__xludf.DUMMYFUNCTION("""COMPUTED_VALUE"""),10900000)</f>
        <v>10900000</v>
      </c>
      <c r="J80" s="83" t="s">
        <v>48</v>
      </c>
      <c r="K80" s="16"/>
      <c r="L80" s="50"/>
      <c r="M80" s="16"/>
      <c r="N80" s="19"/>
      <c r="O80" s="19"/>
      <c r="P80" s="19"/>
      <c r="Q80" s="21">
        <f ca="1">IFERROR(__xludf.DUMMYFUNCTION("""COMPUTED_VALUE"""),10900000)</f>
        <v>10900000</v>
      </c>
      <c r="R80" s="19"/>
      <c r="S80" s="19"/>
      <c r="T80" s="19"/>
      <c r="U80" s="19"/>
      <c r="V80" s="19"/>
      <c r="W80" s="20">
        <f ca="1">IFERROR(__xludf.DUMMYFUNCTION("""COMPUTED_VALUE"""),10900000)</f>
        <v>10900000</v>
      </c>
      <c r="X80" s="43" t="str">
        <f ca="1">IFERROR(__xludf.DUMMYFUNCTION("""COMPUTED_VALUE"""),"MUNICIPALIDAD DE QUEMCHI")</f>
        <v>MUNICIPALIDAD DE QUEMCHI</v>
      </c>
    </row>
    <row r="81" spans="1:24" ht="15.75" customHeight="1" x14ac:dyDescent="0.25">
      <c r="A81" s="16" t="str">
        <f ca="1">IFERROR(__xludf.DUMMYFUNCTION("""COMPUTED_VALUE""")," REGIÓN DE LOS LAGOS ")</f>
        <v xml:space="preserve"> REGIÓN DE LOS LAGOS </v>
      </c>
      <c r="B81" s="16" t="str">
        <f t="shared" ca="1" si="1"/>
        <v xml:space="preserve"> FRESIA</v>
      </c>
      <c r="C81" s="16" t="str">
        <f ca="1">IFERROR(__xludf.DUMMYFUNCTION("""COMPUTED_VALUE""")," PLAN NACIONAL DE ESTERILIZACIONES RESPONSABILIDAD COMPARTIDA 2024 COMUNA DE LLANQUIHUE ")</f>
        <v xml:space="preserve"> PLAN NACIONAL DE ESTERILIZACIONES RESPONSABILIDAD COMPARTIDA 2024 COMUNA DE LLANQUIHUE </v>
      </c>
      <c r="D81" s="40">
        <f ca="1">IFERROR(__xludf.DUMMYFUNCTION("""COMPUTED_VALUE"""),101070353)</f>
        <v>101070353</v>
      </c>
      <c r="E81" s="16" t="str">
        <f ca="1">IFERROR(__xludf.DUMMYFUNCTION("""COMPUTED_VALUE""")," EN EJECUCIÓN ")</f>
        <v xml:space="preserve"> EN EJECUCIÓN </v>
      </c>
      <c r="F81" s="41">
        <f ca="1">IFERROR(__xludf.DUMMYFUNCTION("""COMPUTED_VALUE"""),45485)</f>
        <v>45485</v>
      </c>
      <c r="G81" s="16">
        <f ca="1">IFERROR(__xludf.DUMMYFUNCTION("""COMPUTED_VALUE"""),27700000)</f>
        <v>27700000</v>
      </c>
      <c r="H81" s="16" t="str">
        <f ca="1">IFERROR(__xludf.DUMMYFUNCTION("""COMPUTED_VALUE""")," EN EJECUCIÓN ")</f>
        <v xml:space="preserve"> EN EJECUCIÓN </v>
      </c>
      <c r="I81" s="16">
        <f ca="1">IFERROR(__xludf.DUMMYFUNCTION("""COMPUTED_VALUE"""),27700000)</f>
        <v>27700000</v>
      </c>
      <c r="J81" s="83" t="s">
        <v>48</v>
      </c>
      <c r="K81" s="16"/>
      <c r="L81" s="50"/>
      <c r="M81" s="16"/>
      <c r="N81" s="19"/>
      <c r="O81" s="19"/>
      <c r="P81" s="19"/>
      <c r="Q81" s="21">
        <f ca="1">IFERROR(__xludf.DUMMYFUNCTION("""COMPUTED_VALUE"""),27700000)</f>
        <v>27700000</v>
      </c>
      <c r="R81" s="19"/>
      <c r="S81" s="19"/>
      <c r="T81" s="19"/>
      <c r="U81" s="19"/>
      <c r="V81" s="19"/>
      <c r="W81" s="20">
        <f ca="1">IFERROR(__xludf.DUMMYFUNCTION("""COMPUTED_VALUE"""),27700000)</f>
        <v>27700000</v>
      </c>
      <c r="X81" s="43" t="str">
        <f ca="1">IFERROR(__xludf.DUMMYFUNCTION("""COMPUTED_VALUE"""),"MUNICIPALIDAD DE FRESIA")</f>
        <v>MUNICIPALIDAD DE FRESIA</v>
      </c>
    </row>
    <row r="82" spans="1:24" ht="15.75" customHeight="1" x14ac:dyDescent="0.25">
      <c r="A82" s="16" t="str">
        <f ca="1">IFERROR(__xludf.DUMMYFUNCTION("""COMPUTED_VALUE""")," REGIÓN DE LOS LAGOS ")</f>
        <v xml:space="preserve"> REGIÓN DE LOS LAGOS </v>
      </c>
      <c r="B82" s="16" t="str">
        <f t="shared" ca="1" si="1"/>
        <v xml:space="preserve"> HUALAIHUÉ</v>
      </c>
      <c r="C82" s="16" t="str">
        <f ca="1">IFERROR(__xludf.DUMMYFUNCTION("""COMPUTED_VALUE""")," PLAN NACIONAL DE ESTERILIZACIONES RESPONSABILIDAD COMPARTIDA 2023 COMUNA DE HUALAIHUE ")</f>
        <v xml:space="preserve"> PLAN NACIONAL DE ESTERILIZACIONES RESPONSABILIDAD COMPARTIDA 2023 COMUNA DE HUALAIHUE </v>
      </c>
      <c r="D82" s="40">
        <f ca="1">IFERROR(__xludf.DUMMYFUNCTION("""COMPUTED_VALUE"""),104030342)</f>
        <v>104030342</v>
      </c>
      <c r="E82" s="16" t="str">
        <f ca="1">IFERROR(__xludf.DUMMYFUNCTION("""COMPUTED_VALUE""")," EN EJECUCIÓN ")</f>
        <v xml:space="preserve"> EN EJECUCIÓN </v>
      </c>
      <c r="F82" s="41">
        <f ca="1">IFERROR(__xludf.DUMMYFUNCTION("""COMPUTED_VALUE"""),45608)</f>
        <v>45608</v>
      </c>
      <c r="G82" s="16">
        <f ca="1">IFERROR(__xludf.DUMMYFUNCTION("""COMPUTED_VALUE"""),31200000)</f>
        <v>31200000</v>
      </c>
      <c r="H82" s="16" t="str">
        <f ca="1">IFERROR(__xludf.DUMMYFUNCTION("""COMPUTED_VALUE""")," EN EJECUCIÓN ")</f>
        <v xml:space="preserve"> EN EJECUCIÓN </v>
      </c>
      <c r="I82" s="16">
        <f ca="1">IFERROR(__xludf.DUMMYFUNCTION("""COMPUTED_VALUE"""),31200000)</f>
        <v>31200000</v>
      </c>
      <c r="J82" s="83" t="s">
        <v>48</v>
      </c>
      <c r="K82" s="16"/>
      <c r="L82" s="50"/>
      <c r="M82" s="16"/>
      <c r="N82" s="19"/>
      <c r="O82" s="19"/>
      <c r="P82" s="19"/>
      <c r="Q82" s="21">
        <f ca="1">IFERROR(__xludf.DUMMYFUNCTION("""COMPUTED_VALUE"""),31200000)</f>
        <v>31200000</v>
      </c>
      <c r="R82" s="19"/>
      <c r="S82" s="19"/>
      <c r="T82" s="19"/>
      <c r="U82" s="19"/>
      <c r="V82" s="19"/>
      <c r="W82" s="20">
        <f ca="1">IFERROR(__xludf.DUMMYFUNCTION("""COMPUTED_VALUE"""),31200000)</f>
        <v>31200000</v>
      </c>
      <c r="X82" s="43" t="str">
        <f ca="1">IFERROR(__xludf.DUMMYFUNCTION("""COMPUTED_VALUE"""),"MUNICIPALIDAD DE HUALAIHUÉ")</f>
        <v>MUNICIPALIDAD DE HUALAIHUÉ</v>
      </c>
    </row>
    <row r="83" spans="1:24" ht="15.75" customHeight="1" x14ac:dyDescent="0.25">
      <c r="A83" s="16" t="str">
        <f ca="1">IFERROR(__xludf.DUMMYFUNCTION("""COMPUTED_VALUE""")," REGIÓN DEL MAULE ")</f>
        <v xml:space="preserve"> REGIÓN DEL MAULE </v>
      </c>
      <c r="B83" s="16" t="str">
        <f t="shared" ca="1" si="1"/>
        <v xml:space="preserve"> YERBAS BUENAS</v>
      </c>
      <c r="C83" s="16" t="str">
        <f ca="1">IFERROR(__xludf.DUMMYFUNCTION("""COMPUTED_VALUE""")," PLAN NACIONAL DE ESTERILIZACIONES RESPONSABILIDAD COMPARTIDA 2023 COMUNA DE YERBAS BUENAS ")</f>
        <v xml:space="preserve"> PLAN NACIONAL DE ESTERILIZACIONES RESPONSABILIDAD COMPARTIDA 2023 COMUNA DE YERBAS BUENAS </v>
      </c>
      <c r="D83" s="40">
        <f ca="1">IFERROR(__xludf.DUMMYFUNCTION("""COMPUTED_VALUE"""),74080296)</f>
        <v>74080296</v>
      </c>
      <c r="E83" s="16" t="str">
        <f ca="1">IFERROR(__xludf.DUMMYFUNCTION("""COMPUTED_VALUE""")," EN EJECUCIÓN ")</f>
        <v xml:space="preserve"> EN EJECUCIÓN </v>
      </c>
      <c r="F83" s="41">
        <f ca="1">IFERROR(__xludf.DUMMYFUNCTION("""COMPUTED_VALUE"""),45485)</f>
        <v>45485</v>
      </c>
      <c r="G83" s="16">
        <f ca="1">IFERROR(__xludf.DUMMYFUNCTION("""COMPUTED_VALUE"""),29080000)</f>
        <v>29080000</v>
      </c>
      <c r="H83" s="16" t="str">
        <f ca="1">IFERROR(__xludf.DUMMYFUNCTION("""COMPUTED_VALUE""")," EN EJECUCIÓN ")</f>
        <v xml:space="preserve"> EN EJECUCIÓN </v>
      </c>
      <c r="I83" s="16">
        <f ca="1">IFERROR(__xludf.DUMMYFUNCTION("""COMPUTED_VALUE"""),29080000)</f>
        <v>29080000</v>
      </c>
      <c r="J83" s="83" t="s">
        <v>48</v>
      </c>
      <c r="K83" s="16"/>
      <c r="L83" s="50"/>
      <c r="M83" s="16"/>
      <c r="N83" s="19"/>
      <c r="O83" s="19"/>
      <c r="P83" s="19"/>
      <c r="Q83" s="21">
        <f ca="1">IFERROR(__xludf.DUMMYFUNCTION("""COMPUTED_VALUE"""),29080000)</f>
        <v>29080000</v>
      </c>
      <c r="R83" s="19"/>
      <c r="S83" s="19"/>
      <c r="T83" s="19"/>
      <c r="U83" s="19"/>
      <c r="V83" s="19"/>
      <c r="W83" s="20">
        <f ca="1">IFERROR(__xludf.DUMMYFUNCTION("""COMPUTED_VALUE"""),29080000)</f>
        <v>29080000</v>
      </c>
      <c r="X83" s="43" t="str">
        <f ca="1">IFERROR(__xludf.DUMMYFUNCTION("""COMPUTED_VALUE"""),"MUNICIPALIDAD DE YERBAS BUENAS")</f>
        <v>MUNICIPALIDAD DE YERBAS BUENAS</v>
      </c>
    </row>
    <row r="84" spans="1:24" ht="15.75" customHeight="1" x14ac:dyDescent="0.25">
      <c r="A84" s="16" t="str">
        <f ca="1">IFERROR(__xludf.DUMMYFUNCTION("""COMPUTED_VALUE""")," REGIÓN DE VALPARAÍSO ")</f>
        <v xml:space="preserve"> REGIÓN DE VALPARAÍSO </v>
      </c>
      <c r="B84" s="16" t="str">
        <f t="shared" ca="1" si="1"/>
        <v xml:space="preserve"> EL TABO</v>
      </c>
      <c r="C84" s="16" t="str">
        <f ca="1">IFERROR(__xludf.DUMMYFUNCTION("""COMPUTED_VALUE""")," PLAN NACIONAL DE ESTERILIZACIONES RESPONSABILIDAD COMPARTIDA 2023, COMUNA DE EL TABO. ")</f>
        <v xml:space="preserve"> PLAN NACIONAL DE ESTERILIZACIONES RESPONSABILIDAD COMPARTIDA 2023, COMUNA DE EL TABO. </v>
      </c>
      <c r="D84" s="40">
        <f ca="1">IFERROR(__xludf.DUMMYFUNCTION("""COMPUTED_VALUE"""),56050447)</f>
        <v>56050447</v>
      </c>
      <c r="E84" s="16" t="str">
        <f ca="1">IFERROR(__xludf.DUMMYFUNCTION("""COMPUTED_VALUE""")," EN EJECUCIÓN ")</f>
        <v xml:space="preserve"> EN EJECUCIÓN </v>
      </c>
      <c r="F84" s="41">
        <f ca="1">IFERROR(__xludf.DUMMYFUNCTION("""COMPUTED_VALUE"""),45478)</f>
        <v>45478</v>
      </c>
      <c r="G84" s="16">
        <f ca="1">IFERROR(__xludf.DUMMYFUNCTION("""COMPUTED_VALUE"""),28000000)</f>
        <v>28000000</v>
      </c>
      <c r="H84" s="16" t="str">
        <f ca="1">IFERROR(__xludf.DUMMYFUNCTION("""COMPUTED_VALUE""")," EN EJECUCIÓN ")</f>
        <v xml:space="preserve"> EN EJECUCIÓN </v>
      </c>
      <c r="I84" s="16">
        <f ca="1">IFERROR(__xludf.DUMMYFUNCTION("""COMPUTED_VALUE"""),28000000)</f>
        <v>28000000</v>
      </c>
      <c r="J84" s="83" t="s">
        <v>48</v>
      </c>
      <c r="K84" s="16"/>
      <c r="L84" s="50"/>
      <c r="M84" s="16"/>
      <c r="N84" s="19"/>
      <c r="O84" s="19"/>
      <c r="P84" s="19"/>
      <c r="Q84" s="21">
        <f ca="1">IFERROR(__xludf.DUMMYFUNCTION("""COMPUTED_VALUE"""),28000000)</f>
        <v>28000000</v>
      </c>
      <c r="R84" s="19"/>
      <c r="S84" s="19"/>
      <c r="T84" s="19"/>
      <c r="U84" s="19"/>
      <c r="V84" s="19"/>
      <c r="W84" s="20">
        <f ca="1">IFERROR(__xludf.DUMMYFUNCTION("""COMPUTED_VALUE"""),28000000)</f>
        <v>28000000</v>
      </c>
      <c r="X84" s="43" t="str">
        <f ca="1">IFERROR(__xludf.DUMMYFUNCTION("""COMPUTED_VALUE"""),"MUNICIPALIDAD DE EL TABO")</f>
        <v>MUNICIPALIDAD DE EL TABO</v>
      </c>
    </row>
    <row r="85" spans="1:24" ht="15.75" customHeight="1" x14ac:dyDescent="0.25">
      <c r="A85" s="16" t="str">
        <f ca="1">IFERROR(__xludf.DUMMYFUNCTION("""COMPUTED_VALUE""")," REGIÓN DE LOS LAGOS ")</f>
        <v xml:space="preserve"> REGIÓN DE LOS LAGOS </v>
      </c>
      <c r="B85" s="16" t="str">
        <f t="shared" ca="1" si="1"/>
        <v xml:space="preserve"> CALBUCO</v>
      </c>
      <c r="C85" s="16" t="str">
        <f ca="1">IFERROR(__xludf.DUMMYFUNCTION("""COMPUTED_VALUE""")," PLAN NACIONAL DE ESTERILIZACIONES RESPONSABILIDAD COMPARTIDA 2024, COMUNA DE CALBUCO ")</f>
        <v xml:space="preserve"> PLAN NACIONAL DE ESTERILIZACIONES RESPONSABILIDAD COMPARTIDA 2024, COMUNA DE CALBUCO </v>
      </c>
      <c r="D85" s="40">
        <f ca="1">IFERROR(__xludf.DUMMYFUNCTION("""COMPUTED_VALUE"""),101020351)</f>
        <v>101020351</v>
      </c>
      <c r="E85" s="16" t="str">
        <f ca="1">IFERROR(__xludf.DUMMYFUNCTION("""COMPUTED_VALUE""")," EN EJECUCIÓN ")</f>
        <v xml:space="preserve"> EN EJECUCIÓN </v>
      </c>
      <c r="F85" s="41">
        <f ca="1">IFERROR(__xludf.DUMMYFUNCTION("""COMPUTED_VALUE"""),45485)</f>
        <v>45485</v>
      </c>
      <c r="G85" s="16">
        <f ca="1">IFERROR(__xludf.DUMMYFUNCTION("""COMPUTED_VALUE"""),28600000)</f>
        <v>28600000</v>
      </c>
      <c r="H85" s="16" t="str">
        <f ca="1">IFERROR(__xludf.DUMMYFUNCTION("""COMPUTED_VALUE""")," EN EJECUCIÓN ")</f>
        <v xml:space="preserve"> EN EJECUCIÓN </v>
      </c>
      <c r="I85" s="16">
        <f ca="1">IFERROR(__xludf.DUMMYFUNCTION("""COMPUTED_VALUE"""),28600000)</f>
        <v>28600000</v>
      </c>
      <c r="J85" s="83" t="s">
        <v>48</v>
      </c>
      <c r="K85" s="16"/>
      <c r="L85" s="50"/>
      <c r="M85" s="16"/>
      <c r="N85" s="19"/>
      <c r="O85" s="19"/>
      <c r="P85" s="19"/>
      <c r="Q85" s="21">
        <f ca="1">IFERROR(__xludf.DUMMYFUNCTION("""COMPUTED_VALUE"""),28600000)</f>
        <v>28600000</v>
      </c>
      <c r="R85" s="19"/>
      <c r="S85" s="19"/>
      <c r="T85" s="19"/>
      <c r="U85" s="19"/>
      <c r="V85" s="19"/>
      <c r="W85" s="20">
        <f ca="1">IFERROR(__xludf.DUMMYFUNCTION("""COMPUTED_VALUE"""),28600000)</f>
        <v>28600000</v>
      </c>
      <c r="X85" s="43" t="str">
        <f ca="1">IFERROR(__xludf.DUMMYFUNCTION("""COMPUTED_VALUE"""),"MUNICIPALIDAD DE CALBUCO")</f>
        <v>MUNICIPALIDAD DE CALBUCO</v>
      </c>
    </row>
    <row r="86" spans="1:24" ht="15.75" customHeight="1" x14ac:dyDescent="0.25">
      <c r="A86" s="16" t="str">
        <f ca="1">IFERROR(__xludf.DUMMYFUNCTION("""COMPUTED_VALUE""")," REGIÓN DE LOS LAGOS ")</f>
        <v xml:space="preserve"> REGIÓN DE LOS LAGOS </v>
      </c>
      <c r="B86" s="16" t="str">
        <f t="shared" ca="1" si="1"/>
        <v xml:space="preserve"> LLANQUIHUE</v>
      </c>
      <c r="C86" s="16" t="str">
        <f ca="1">IFERROR(__xludf.DUMMYFUNCTION("""COMPUTED_VALUE""")," PLAN NACIONAL DE ESTERILIZACIONES RESPONSABILIDAD COMPARTIDA 2024 COMUNA DE LLANQUIHUE ")</f>
        <v xml:space="preserve"> PLAN NACIONAL DE ESTERILIZACIONES RESPONSABILIDAD COMPARTIDA 2024 COMUNA DE LLANQUIHUE </v>
      </c>
      <c r="D86" s="40">
        <f ca="1">IFERROR(__xludf.DUMMYFUNCTION("""COMPUTED_VALUE"""),101070353)</f>
        <v>101070353</v>
      </c>
      <c r="E86" s="16" t="str">
        <f ca="1">IFERROR(__xludf.DUMMYFUNCTION("""COMPUTED_VALUE""")," EN EJECUCIÓN ")</f>
        <v xml:space="preserve"> EN EJECUCIÓN </v>
      </c>
      <c r="F86" s="41">
        <f ca="1">IFERROR(__xludf.DUMMYFUNCTION("""COMPUTED_VALUE"""),45485)</f>
        <v>45485</v>
      </c>
      <c r="G86" s="16">
        <f ca="1">IFERROR(__xludf.DUMMYFUNCTION("""COMPUTED_VALUE"""),41400000)</f>
        <v>41400000</v>
      </c>
      <c r="H86" s="16" t="str">
        <f ca="1">IFERROR(__xludf.DUMMYFUNCTION("""COMPUTED_VALUE""")," EN EJECUCIÓN ")</f>
        <v xml:space="preserve"> EN EJECUCIÓN </v>
      </c>
      <c r="I86" s="16">
        <f ca="1">IFERROR(__xludf.DUMMYFUNCTION("""COMPUTED_VALUE"""),41400000)</f>
        <v>41400000</v>
      </c>
      <c r="J86" s="83" t="s">
        <v>48</v>
      </c>
      <c r="K86" s="16"/>
      <c r="L86" s="50"/>
      <c r="M86" s="16"/>
      <c r="N86" s="19"/>
      <c r="O86" s="19"/>
      <c r="P86" s="19"/>
      <c r="Q86" s="21">
        <f ca="1">IFERROR(__xludf.DUMMYFUNCTION("""COMPUTED_VALUE"""),41400000)</f>
        <v>41400000</v>
      </c>
      <c r="R86" s="19"/>
      <c r="S86" s="19"/>
      <c r="T86" s="19"/>
      <c r="U86" s="19"/>
      <c r="V86" s="19"/>
      <c r="W86" s="20">
        <f ca="1">IFERROR(__xludf.DUMMYFUNCTION("""COMPUTED_VALUE"""),41400000)</f>
        <v>41400000</v>
      </c>
      <c r="X86" s="43" t="str">
        <f ca="1">IFERROR(__xludf.DUMMYFUNCTION("""COMPUTED_VALUE"""),"MUNICIPALIDAD DE LLANQUIHUE")</f>
        <v>MUNICIPALIDAD DE LLANQUIHUE</v>
      </c>
    </row>
    <row r="87" spans="1:24" ht="15.75" customHeight="1" x14ac:dyDescent="0.25">
      <c r="A87" s="16" t="str">
        <f ca="1">IFERROR(__xludf.DUMMYFUNCTION("""COMPUTED_VALUE""")," REGIÓN DEL BIOBÍO ")</f>
        <v xml:space="preserve"> REGIÓN DEL BIOBÍO </v>
      </c>
      <c r="B87" s="16" t="str">
        <f t="shared" ca="1" si="1"/>
        <v xml:space="preserve"> CONTULMO</v>
      </c>
      <c r="C87" s="16" t="str">
        <f ca="1">IFERROR(__xludf.DUMMYFUNCTION("""COMPUTED_VALUE""")," BOTIQUIN EMERGENCIA AÑO 2024 COMUNA CONTULMO ")</f>
        <v xml:space="preserve"> BOTIQUIN EMERGENCIA AÑO 2024 COMUNA CONTULMO </v>
      </c>
      <c r="D87" s="40">
        <f ca="1">IFERROR(__xludf.DUMMYFUNCTION("""COMPUTED_VALUE"""),82040474)</f>
        <v>82040474</v>
      </c>
      <c r="E87" s="16" t="str">
        <f ca="1">IFERROR(__xludf.DUMMYFUNCTION("""COMPUTED_VALUE""")," EN EJECUCIÓN ")</f>
        <v xml:space="preserve"> EN EJECUCIÓN </v>
      </c>
      <c r="F87" s="41">
        <f ca="1">IFERROR(__xludf.DUMMYFUNCTION("""COMPUTED_VALUE"""),45496)</f>
        <v>45496</v>
      </c>
      <c r="G87" s="16">
        <f ca="1">IFERROR(__xludf.DUMMYFUNCTION("""COMPUTED_VALUE"""),6112455)</f>
        <v>6112455</v>
      </c>
      <c r="H87" s="16" t="str">
        <f ca="1">IFERROR(__xludf.DUMMYFUNCTION("""COMPUTED_VALUE""")," EN EJECUCIÓN ")</f>
        <v xml:space="preserve"> EN EJECUCIÓN </v>
      </c>
      <c r="I87" s="16">
        <f ca="1">IFERROR(__xludf.DUMMYFUNCTION("""COMPUTED_VALUE"""),6112455)</f>
        <v>6112455</v>
      </c>
      <c r="J87" s="83" t="s">
        <v>48</v>
      </c>
      <c r="K87" s="16"/>
      <c r="L87" s="50"/>
      <c r="M87" s="16"/>
      <c r="N87" s="19"/>
      <c r="O87" s="19"/>
      <c r="P87" s="19"/>
      <c r="Q87" s="21">
        <f ca="1">IFERROR(__xludf.DUMMYFUNCTION("""COMPUTED_VALUE"""),6112455)</f>
        <v>6112455</v>
      </c>
      <c r="R87" s="19"/>
      <c r="S87" s="19"/>
      <c r="T87" s="19"/>
      <c r="U87" s="19"/>
      <c r="V87" s="19"/>
      <c r="W87" s="20">
        <f ca="1">IFERROR(__xludf.DUMMYFUNCTION("""COMPUTED_VALUE"""),6112455)</f>
        <v>6112455</v>
      </c>
      <c r="X87" s="43" t="str">
        <f ca="1">IFERROR(__xludf.DUMMYFUNCTION("""COMPUTED_VALUE"""),"MUNICIPALIDAD DE CONTULMO")</f>
        <v>MUNICIPALIDAD DE CONTULMO</v>
      </c>
    </row>
    <row r="88" spans="1:24" ht="15.75" customHeight="1" x14ac:dyDescent="0.25">
      <c r="A88" s="16" t="str">
        <f ca="1">IFERROR(__xludf.DUMMYFUNCTION("""COMPUTED_VALUE""")," REGIÓN DEL MAULE ")</f>
        <v xml:space="preserve"> REGIÓN DEL MAULE </v>
      </c>
      <c r="B88" s="16" t="str">
        <f t="shared" ca="1" si="1"/>
        <v xml:space="preserve"> SAN JAVIER</v>
      </c>
      <c r="C88" s="16" t="str">
        <f ca="1">IFERROR(__xludf.DUMMYFUNCTION("""COMPUTED_VALUE""")," PLAN NACIONAL DE ESTERILIZACIONES RESPONSABILIDAD COMPARTIDA 2023 COMUNA DE SAN JAVIER ")</f>
        <v xml:space="preserve"> PLAN NACIONAL DE ESTERILIZACIONES RESPONSABILIDAD COMPARTIDA 2023 COMUNA DE SAN JAVIER </v>
      </c>
      <c r="D88" s="40">
        <f ca="1">IFERROR(__xludf.DUMMYFUNCTION("""COMPUTED_VALUE"""),74060299)</f>
        <v>74060299</v>
      </c>
      <c r="E88" s="16" t="str">
        <f ca="1">IFERROR(__xludf.DUMMYFUNCTION("""COMPUTED_VALUE""")," EN EJECUCIÓN ")</f>
        <v xml:space="preserve"> EN EJECUCIÓN </v>
      </c>
      <c r="F88" s="41">
        <f ca="1">IFERROR(__xludf.DUMMYFUNCTION("""COMPUTED_VALUE"""),45481)</f>
        <v>45481</v>
      </c>
      <c r="G88" s="16">
        <f ca="1">IFERROR(__xludf.DUMMYFUNCTION("""COMPUTED_VALUE"""),28720000)</f>
        <v>28720000</v>
      </c>
      <c r="H88" s="16" t="str">
        <f ca="1">IFERROR(__xludf.DUMMYFUNCTION("""COMPUTED_VALUE""")," EN EJECUCIÓN ")</f>
        <v xml:space="preserve"> EN EJECUCIÓN </v>
      </c>
      <c r="I88" s="16">
        <f ca="1">IFERROR(__xludf.DUMMYFUNCTION("""COMPUTED_VALUE"""),28720000)</f>
        <v>28720000</v>
      </c>
      <c r="J88" s="83" t="s">
        <v>48</v>
      </c>
      <c r="K88" s="16"/>
      <c r="L88" s="50"/>
      <c r="M88" s="16"/>
      <c r="N88" s="19"/>
      <c r="O88" s="19"/>
      <c r="P88" s="19"/>
      <c r="Q88" s="19"/>
      <c r="R88" s="21">
        <f ca="1">IFERROR(__xludf.DUMMYFUNCTION("""COMPUTED_VALUE"""),28720000)</f>
        <v>28720000</v>
      </c>
      <c r="S88" s="19"/>
      <c r="T88" s="19"/>
      <c r="U88" s="19"/>
      <c r="V88" s="19"/>
      <c r="W88" s="20">
        <f ca="1">IFERROR(__xludf.DUMMYFUNCTION("""COMPUTED_VALUE"""),28720000)</f>
        <v>28720000</v>
      </c>
      <c r="X88" s="43" t="str">
        <f ca="1">IFERROR(__xludf.DUMMYFUNCTION("""COMPUTED_VALUE"""),"MUNICIPALIDAD DE SAN JAVIER")</f>
        <v>MUNICIPALIDAD DE SAN JAVIER</v>
      </c>
    </row>
    <row r="89" spans="1:24" ht="15.75" customHeight="1" x14ac:dyDescent="0.25">
      <c r="A89" s="16" t="str">
        <f ca="1">IFERROR(__xludf.DUMMYFUNCTION("""COMPUTED_VALUE""")," REGIÓN DE AYSÉN DEL GENERAL CARLOS IBÁÑEZ DEL CAMPO ")</f>
        <v xml:space="preserve"> REGIÓN DE AYSÉN DEL GENERAL CARLOS IBÁÑEZ DEL CAMPO </v>
      </c>
      <c r="B89" s="16" t="str">
        <f t="shared" ca="1" si="1"/>
        <v xml:space="preserve"> RÍO IBÁÑEZ</v>
      </c>
      <c r="C89" s="16" t="str">
        <f ca="1">IFERROR(__xludf.DUMMYFUNCTION("""COMPUTED_VALUE""")," PLAN NACIONAL DE ESTERILIZACIONES RESPONSABILIDAD COMPARTIDA 2023 COMUNA RIO IBAÑEZ NORTE ")</f>
        <v xml:space="preserve"> PLAN NACIONAL DE ESTERILIZACIONES RESPONSABILIDAD COMPARTIDA 2023 COMUNA RIO IBAÑEZ NORTE </v>
      </c>
      <c r="D89" s="40">
        <f ca="1">IFERROR(__xludf.DUMMYFUNCTION("""COMPUTED_VALUE"""),114020103)</f>
        <v>114020103</v>
      </c>
      <c r="E89" s="16" t="str">
        <f ca="1">IFERROR(__xludf.DUMMYFUNCTION("""COMPUTED_VALUE""")," EN EJECUCIÓN ")</f>
        <v xml:space="preserve"> EN EJECUCIÓN </v>
      </c>
      <c r="F89" s="41">
        <f ca="1">IFERROR(__xludf.DUMMYFUNCTION("""COMPUTED_VALUE"""),45499)</f>
        <v>45499</v>
      </c>
      <c r="G89" s="16">
        <f ca="1">IFERROR(__xludf.DUMMYFUNCTION("""COMPUTED_VALUE"""),10250000)</f>
        <v>10250000</v>
      </c>
      <c r="H89" s="16" t="str">
        <f ca="1">IFERROR(__xludf.DUMMYFUNCTION("""COMPUTED_VALUE""")," EN EJECUCIÓN ")</f>
        <v xml:space="preserve"> EN EJECUCIÓN </v>
      </c>
      <c r="I89" s="16">
        <f ca="1">IFERROR(__xludf.DUMMYFUNCTION("""COMPUTED_VALUE"""),10250000)</f>
        <v>10250000</v>
      </c>
      <c r="J89" s="83" t="s">
        <v>48</v>
      </c>
      <c r="K89" s="16"/>
      <c r="L89" s="50"/>
      <c r="M89" s="16"/>
      <c r="N89" s="19"/>
      <c r="O89" s="19"/>
      <c r="P89" s="19"/>
      <c r="Q89" s="19"/>
      <c r="R89" s="21">
        <f ca="1">IFERROR(__xludf.DUMMYFUNCTION("""COMPUTED_VALUE"""),10250000)</f>
        <v>10250000</v>
      </c>
      <c r="S89" s="19"/>
      <c r="T89" s="19"/>
      <c r="U89" s="19"/>
      <c r="V89" s="19"/>
      <c r="W89" s="20">
        <f ca="1">IFERROR(__xludf.DUMMYFUNCTION("""COMPUTED_VALUE"""),10250000)</f>
        <v>10250000</v>
      </c>
      <c r="X89" s="43" t="str">
        <f ca="1">IFERROR(__xludf.DUMMYFUNCTION("""COMPUTED_VALUE"""),"MUNICIPALIDAD DE RÍO IBÁÑEZ")</f>
        <v>MUNICIPALIDAD DE RÍO IBÁÑEZ</v>
      </c>
    </row>
    <row r="90" spans="1:24" ht="15.75" customHeight="1" x14ac:dyDescent="0.25">
      <c r="A90" s="16" t="str">
        <f ca="1">IFERROR(__xludf.DUMMYFUNCTION("""COMPUTED_VALUE""")," REGIÓN DEL LIBERTADOR GENERAL BERNARDO O’HIGGINS ")</f>
        <v xml:space="preserve"> REGIÓN DEL LIBERTADOR GENERAL BERNARDO O’HIGGINS </v>
      </c>
      <c r="B90" s="16" t="str">
        <f t="shared" ca="1" si="1"/>
        <v xml:space="preserve"> PAREDONES</v>
      </c>
      <c r="C90" s="16" t="str">
        <f ca="1">IFERROR(__xludf.DUMMYFUNCTION("""COMPUTED_VALUE""")," PLAN NACIONAL DE ESTERILIZACIONES RESPONSABILIDAD COMPARTIDA 2023 COMUNA DE PAREDONES ")</f>
        <v xml:space="preserve"> PLAN NACIONAL DE ESTERILIZACIONES RESPONSABILIDAD COMPARTIDA 2023 COMUNA DE PAREDONES </v>
      </c>
      <c r="D90" s="40">
        <f ca="1">IFERROR(__xludf.DUMMYFUNCTION("""COMPUTED_VALUE"""),62060308)</f>
        <v>62060308</v>
      </c>
      <c r="E90" s="16" t="str">
        <f ca="1">IFERROR(__xludf.DUMMYFUNCTION("""COMPUTED_VALUE""")," EN EJECUCIÓN ")</f>
        <v xml:space="preserve"> EN EJECUCIÓN </v>
      </c>
      <c r="F90" s="41">
        <f ca="1">IFERROR(__xludf.DUMMYFUNCTION("""COMPUTED_VALUE"""),45481)</f>
        <v>45481</v>
      </c>
      <c r="G90" s="16">
        <f ca="1">IFERROR(__xludf.DUMMYFUNCTION("""COMPUTED_VALUE"""),28000000)</f>
        <v>28000000</v>
      </c>
      <c r="H90" s="16" t="str">
        <f ca="1">IFERROR(__xludf.DUMMYFUNCTION("""COMPUTED_VALUE""")," EN EJECUCIÓN ")</f>
        <v xml:space="preserve"> EN EJECUCIÓN </v>
      </c>
      <c r="I90" s="16">
        <f ca="1">IFERROR(__xludf.DUMMYFUNCTION("""COMPUTED_VALUE"""),28000000)</f>
        <v>28000000</v>
      </c>
      <c r="J90" s="83" t="s">
        <v>48</v>
      </c>
      <c r="K90" s="16"/>
      <c r="L90" s="50"/>
      <c r="M90" s="16"/>
      <c r="N90" s="19"/>
      <c r="O90" s="19"/>
      <c r="P90" s="19"/>
      <c r="Q90" s="19"/>
      <c r="R90" s="21">
        <f ca="1">IFERROR(__xludf.DUMMYFUNCTION("""COMPUTED_VALUE"""),28000000)</f>
        <v>28000000</v>
      </c>
      <c r="S90" s="19"/>
      <c r="T90" s="19"/>
      <c r="U90" s="19"/>
      <c r="V90" s="19"/>
      <c r="W90" s="20">
        <f ca="1">IFERROR(__xludf.DUMMYFUNCTION("""COMPUTED_VALUE"""),28000000)</f>
        <v>28000000</v>
      </c>
      <c r="X90" s="43" t="str">
        <f ca="1">IFERROR(__xludf.DUMMYFUNCTION("""COMPUTED_VALUE"""),"MUNICIPALIDAD DE PAREDONES")</f>
        <v>MUNICIPALIDAD DE PAREDONES</v>
      </c>
    </row>
    <row r="91" spans="1:24" ht="15.75" customHeight="1" x14ac:dyDescent="0.25">
      <c r="A91" s="16" t="str">
        <f ca="1">IFERROR(__xludf.DUMMYFUNCTION("""COMPUTED_VALUE""")," REGIÓN DEL LIBERTADOR GENERAL BERNARDO O’HIGGINS ")</f>
        <v xml:space="preserve"> REGIÓN DEL LIBERTADOR GENERAL BERNARDO O’HIGGINS </v>
      </c>
      <c r="B91" s="16" t="str">
        <f t="shared" ca="1" si="1"/>
        <v xml:space="preserve"> RANCAGUA</v>
      </c>
      <c r="C91" s="16" t="str">
        <f ca="1">IFERROR(__xludf.DUMMYFUNCTION("""COMPUTED_VALUE""")," PLAN NACIONAL DE ESTERILIZACIONES RESPONSABILIDAD COMPARTIDA 2023 COMUNA DE RANCAGUA ")</f>
        <v xml:space="preserve"> PLAN NACIONAL DE ESTERILIZACIONES RESPONSABILIDAD COMPARTIDA 2023 COMUNA DE RANCAGUA </v>
      </c>
      <c r="D91" s="40">
        <f ca="1">IFERROR(__xludf.DUMMYFUNCTION("""COMPUTED_VALUE"""),61010316)</f>
        <v>61010316</v>
      </c>
      <c r="E91" s="16" t="str">
        <f ca="1">IFERROR(__xludf.DUMMYFUNCTION("""COMPUTED_VALUE""")," EN EJECUCIÓN ")</f>
        <v xml:space="preserve"> EN EJECUCIÓN </v>
      </c>
      <c r="F91" s="41">
        <f ca="1">IFERROR(__xludf.DUMMYFUNCTION("""COMPUTED_VALUE"""),45478)</f>
        <v>45478</v>
      </c>
      <c r="G91" s="16">
        <f ca="1">IFERROR(__xludf.DUMMYFUNCTION("""COMPUTED_VALUE"""),57800000)</f>
        <v>57800000</v>
      </c>
      <c r="H91" s="16" t="str">
        <f ca="1">IFERROR(__xludf.DUMMYFUNCTION("""COMPUTED_VALUE""")," EN EJECUCIÓN ")</f>
        <v xml:space="preserve"> EN EJECUCIÓN </v>
      </c>
      <c r="I91" s="16">
        <f ca="1">IFERROR(__xludf.DUMMYFUNCTION("""COMPUTED_VALUE"""),57800000)</f>
        <v>57800000</v>
      </c>
      <c r="J91" s="83" t="s">
        <v>48</v>
      </c>
      <c r="K91" s="16"/>
      <c r="L91" s="50"/>
      <c r="M91" s="16"/>
      <c r="N91" s="19"/>
      <c r="O91" s="19"/>
      <c r="P91" s="19"/>
      <c r="Q91" s="19"/>
      <c r="R91" s="21">
        <f ca="1">IFERROR(__xludf.DUMMYFUNCTION("""COMPUTED_VALUE"""),57800000)</f>
        <v>57800000</v>
      </c>
      <c r="S91" s="19"/>
      <c r="T91" s="19"/>
      <c r="U91" s="19"/>
      <c r="V91" s="19"/>
      <c r="W91" s="20">
        <f ca="1">IFERROR(__xludf.DUMMYFUNCTION("""COMPUTED_VALUE"""),57800000)</f>
        <v>57800000</v>
      </c>
      <c r="X91" s="43" t="str">
        <f ca="1">IFERROR(__xludf.DUMMYFUNCTION("""COMPUTED_VALUE"""),"MUNICIPALIDAD DE RANCAGUA")</f>
        <v>MUNICIPALIDAD DE RANCAGUA</v>
      </c>
    </row>
    <row r="92" spans="1:24" ht="15.75" customHeight="1" x14ac:dyDescent="0.25">
      <c r="A92" s="16" t="str">
        <f ca="1">IFERROR(__xludf.DUMMYFUNCTION("""COMPUTED_VALUE""")," REGIÓN DEL MAULE ")</f>
        <v xml:space="preserve"> REGIÓN DEL MAULE </v>
      </c>
      <c r="B92" s="16" t="str">
        <f t="shared" ca="1" si="1"/>
        <v xml:space="preserve"> VICHUQUÉN</v>
      </c>
      <c r="C92" s="16" t="str">
        <f ca="1">IFERROR(__xludf.DUMMYFUNCTION("""COMPUTED_VALUE""")," PLAN NACIONAL DE ESTERILIZACIONES RESPONSABILIDAD COMPARTIDA 2023 COMUNA DE VICHUQUEN ")</f>
        <v xml:space="preserve"> PLAN NACIONAL DE ESTERILIZACIONES RESPONSABILIDAD COMPARTIDA 2023 COMUNA DE VICHUQUEN </v>
      </c>
      <c r="D92" s="40">
        <f ca="1">IFERROR(__xludf.DUMMYFUNCTION("""COMPUTED_VALUE"""),73090300)</f>
        <v>73090300</v>
      </c>
      <c r="E92" s="16" t="str">
        <f ca="1">IFERROR(__xludf.DUMMYFUNCTION("""COMPUTED_VALUE""")," EN EJECUCIÓN ")</f>
        <v xml:space="preserve"> EN EJECUCIÓN </v>
      </c>
      <c r="F92" s="41">
        <f ca="1">IFERROR(__xludf.DUMMYFUNCTION("""COMPUTED_VALUE"""),45512)</f>
        <v>45512</v>
      </c>
      <c r="G92" s="16">
        <f ca="1">IFERROR(__xludf.DUMMYFUNCTION("""COMPUTED_VALUE"""),3540000)</f>
        <v>3540000</v>
      </c>
      <c r="H92" s="16" t="str">
        <f ca="1">IFERROR(__xludf.DUMMYFUNCTION("""COMPUTED_VALUE""")," EN EJECUCIÓN ")</f>
        <v xml:space="preserve"> EN EJECUCIÓN </v>
      </c>
      <c r="I92" s="16">
        <f ca="1">IFERROR(__xludf.DUMMYFUNCTION("""COMPUTED_VALUE"""),3540000)</f>
        <v>3540000</v>
      </c>
      <c r="J92" s="83" t="s">
        <v>48</v>
      </c>
      <c r="K92" s="16"/>
      <c r="L92" s="50"/>
      <c r="M92" s="16"/>
      <c r="N92" s="19"/>
      <c r="O92" s="19"/>
      <c r="P92" s="19"/>
      <c r="Q92" s="19"/>
      <c r="R92" s="21">
        <f ca="1">IFERROR(__xludf.DUMMYFUNCTION("""COMPUTED_VALUE"""),3540000)</f>
        <v>3540000</v>
      </c>
      <c r="S92" s="19"/>
      <c r="T92" s="19"/>
      <c r="U92" s="19"/>
      <c r="V92" s="19"/>
      <c r="W92" s="20">
        <f ca="1">IFERROR(__xludf.DUMMYFUNCTION("""COMPUTED_VALUE"""),3540000)</f>
        <v>3540000</v>
      </c>
      <c r="X92" s="43" t="str">
        <f ca="1">IFERROR(__xludf.DUMMYFUNCTION("""COMPUTED_VALUE"""),"MUNICIPALIDAD DE VICHUQUÉN")</f>
        <v>MUNICIPALIDAD DE VICHUQUÉN</v>
      </c>
    </row>
    <row r="93" spans="1:24" ht="15.75" customHeight="1" x14ac:dyDescent="0.25">
      <c r="A93" s="16" t="str">
        <f ca="1">IFERROR(__xludf.DUMMYFUNCTION("""COMPUTED_VALUE""")," REGIÓN DE ARICA Y PARINACOTA ")</f>
        <v xml:space="preserve"> REGIÓN DE ARICA Y PARINACOTA </v>
      </c>
      <c r="B93" s="16" t="str">
        <f t="shared" ca="1" si="1"/>
        <v xml:space="preserve"> PUTRE</v>
      </c>
      <c r="C93" s="16" t="str">
        <f ca="1">IFERROR(__xludf.DUMMYFUNCTION("""COMPUTED_VALUE""")," PLAN NACIONAL DE ESTERILIZACION RESPONSABILIDAD COMPARTIDA AÑO 2024 COMUNA DE PUTRE ")</f>
        <v xml:space="preserve"> PLAN NACIONAL DE ESTERILIZACION RESPONSABILIDAD COMPARTIDA AÑO 2024 COMUNA DE PUTRE </v>
      </c>
      <c r="D93" s="40">
        <f ca="1">IFERROR(__xludf.DUMMYFUNCTION("""COMPUTED_VALUE"""),152010043)</f>
        <v>152010043</v>
      </c>
      <c r="E93" s="16" t="str">
        <f ca="1">IFERROR(__xludf.DUMMYFUNCTION("""COMPUTED_VALUE""")," EN EJECUCIÓN ")</f>
        <v xml:space="preserve"> EN EJECUCIÓN </v>
      </c>
      <c r="F93" s="41">
        <f ca="1">IFERROR(__xludf.DUMMYFUNCTION("""COMPUTED_VALUE"""),45485)</f>
        <v>45485</v>
      </c>
      <c r="G93" s="16">
        <f ca="1">IFERROR(__xludf.DUMMYFUNCTION("""COMPUTED_VALUE"""),6194480)</f>
        <v>6194480</v>
      </c>
      <c r="H93" s="16" t="str">
        <f ca="1">IFERROR(__xludf.DUMMYFUNCTION("""COMPUTED_VALUE""")," EN EJECUCIÓN ")</f>
        <v xml:space="preserve"> EN EJECUCIÓN </v>
      </c>
      <c r="I93" s="16">
        <f ca="1">IFERROR(__xludf.DUMMYFUNCTION("""COMPUTED_VALUE"""),6194480)</f>
        <v>6194480</v>
      </c>
      <c r="J93" s="83" t="s">
        <v>48</v>
      </c>
      <c r="K93" s="16"/>
      <c r="L93" s="50"/>
      <c r="M93" s="16"/>
      <c r="N93" s="19"/>
      <c r="O93" s="19"/>
      <c r="P93" s="19"/>
      <c r="Q93" s="19"/>
      <c r="R93" s="21">
        <f ca="1">IFERROR(__xludf.DUMMYFUNCTION("""COMPUTED_VALUE"""),6194480)</f>
        <v>6194480</v>
      </c>
      <c r="S93" s="19"/>
      <c r="T93" s="19"/>
      <c r="U93" s="19"/>
      <c r="V93" s="19"/>
      <c r="W93" s="20">
        <f ca="1">IFERROR(__xludf.DUMMYFUNCTION("""COMPUTED_VALUE"""),6194480)</f>
        <v>6194480</v>
      </c>
      <c r="X93" s="43" t="str">
        <f ca="1">IFERROR(__xludf.DUMMYFUNCTION("""COMPUTED_VALUE"""),"MUNICIPALIDAD DE PUTRE")</f>
        <v>MUNICIPALIDAD DE PUTRE</v>
      </c>
    </row>
    <row r="94" spans="1:24" ht="15.75" customHeight="1" x14ac:dyDescent="0.25">
      <c r="A94" s="16" t="str">
        <f ca="1">IFERROR(__xludf.DUMMYFUNCTION("""COMPUTED_VALUE""")," REGIÓN DEL MAULE ")</f>
        <v xml:space="preserve"> REGIÓN DEL MAULE </v>
      </c>
      <c r="B94" s="16" t="str">
        <f t="shared" ca="1" si="1"/>
        <v xml:space="preserve"> PENCAHUE</v>
      </c>
      <c r="C94" s="16" t="str">
        <f ca="1">IFERROR(__xludf.DUMMYFUNCTION("""COMPUTED_VALUE""")," PLAN NACIONAL DE ESTERILIZACIONES RESPONSABILIDAD COMPARTIDA AÑO 2024 COMUNA DE PENCAHUE ")</f>
        <v xml:space="preserve"> PLAN NACIONAL DE ESTERILIZACIONES RESPONSABILIDAD COMPARTIDA AÑO 2024 COMUNA DE PENCAHUE </v>
      </c>
      <c r="D94" s="40">
        <f ca="1">IFERROR(__xludf.DUMMYFUNCTION("""COMPUTED_VALUE"""),71070304)</f>
        <v>71070304</v>
      </c>
      <c r="E94" s="16" t="str">
        <f ca="1">IFERROR(__xludf.DUMMYFUNCTION("""COMPUTED_VALUE""")," EN EJECUCIÓN ")</f>
        <v xml:space="preserve"> EN EJECUCIÓN </v>
      </c>
      <c r="F94" s="41">
        <f ca="1">IFERROR(__xludf.DUMMYFUNCTION("""COMPUTED_VALUE"""),45485)</f>
        <v>45485</v>
      </c>
      <c r="G94" s="16">
        <f ca="1">IFERROR(__xludf.DUMMYFUNCTION("""COMPUTED_VALUE"""),11200000)</f>
        <v>11200000</v>
      </c>
      <c r="H94" s="16" t="str">
        <f ca="1">IFERROR(__xludf.DUMMYFUNCTION("""COMPUTED_VALUE""")," EN EJECUCIÓN ")</f>
        <v xml:space="preserve"> EN EJECUCIÓN </v>
      </c>
      <c r="I94" s="16">
        <f ca="1">IFERROR(__xludf.DUMMYFUNCTION("""COMPUTED_VALUE"""),11200000)</f>
        <v>11200000</v>
      </c>
      <c r="J94" s="83" t="s">
        <v>48</v>
      </c>
      <c r="K94" s="16"/>
      <c r="L94" s="50"/>
      <c r="M94" s="16"/>
      <c r="N94" s="19"/>
      <c r="O94" s="19"/>
      <c r="P94" s="19"/>
      <c r="Q94" s="19"/>
      <c r="R94" s="21">
        <f ca="1">IFERROR(__xludf.DUMMYFUNCTION("""COMPUTED_VALUE"""),11200000)</f>
        <v>11200000</v>
      </c>
      <c r="S94" s="19"/>
      <c r="T94" s="19"/>
      <c r="U94" s="19"/>
      <c r="V94" s="19"/>
      <c r="W94" s="20">
        <f ca="1">IFERROR(__xludf.DUMMYFUNCTION("""COMPUTED_VALUE"""),11200000)</f>
        <v>11200000</v>
      </c>
      <c r="X94" s="43" t="str">
        <f ca="1">IFERROR(__xludf.DUMMYFUNCTION("""COMPUTED_VALUE"""),"MUNICIPALIDAD DE PENCAHUE")</f>
        <v>MUNICIPALIDAD DE PENCAHUE</v>
      </c>
    </row>
    <row r="95" spans="1:24" ht="15.75" customHeight="1" x14ac:dyDescent="0.25">
      <c r="A95" s="16" t="str">
        <f ca="1">IFERROR(__xludf.DUMMYFUNCTION("""COMPUTED_VALUE""")," REGIÓN DEL BIOBÍO ")</f>
        <v xml:space="preserve"> REGIÓN DEL BIOBÍO </v>
      </c>
      <c r="B95" s="16" t="str">
        <f t="shared" ca="1" si="1"/>
        <v xml:space="preserve"> ANTUCO</v>
      </c>
      <c r="C95" s="16" t="str">
        <f ca="1">IFERROR(__xludf.DUMMYFUNCTION("""COMPUTED_VALUE""")," PVET - EMERGENCIA AÑO 2024, COMUNA DE ANTUCO ")</f>
        <v xml:space="preserve"> PVET - EMERGENCIA AÑO 2024, COMUNA DE ANTUCO </v>
      </c>
      <c r="D95" s="40">
        <f ca="1">IFERROR(__xludf.DUMMYFUNCTION("""COMPUTED_VALUE"""),83020482)</f>
        <v>83020482</v>
      </c>
      <c r="E95" s="16" t="str">
        <f ca="1">IFERROR(__xludf.DUMMYFUNCTION("""COMPUTED_VALUE""")," EN EJECUCIÓN ")</f>
        <v xml:space="preserve"> EN EJECUCIÓN </v>
      </c>
      <c r="F95" s="41">
        <f ca="1">IFERROR(__xludf.DUMMYFUNCTION("""COMPUTED_VALUE"""),45512)</f>
        <v>45512</v>
      </c>
      <c r="G95" s="16">
        <f ca="1">IFERROR(__xludf.DUMMYFUNCTION("""COMPUTED_VALUE"""),9111820)</f>
        <v>9111820</v>
      </c>
      <c r="H95" s="16" t="str">
        <f ca="1">IFERROR(__xludf.DUMMYFUNCTION("""COMPUTED_VALUE""")," EN EJECUCIÓN ")</f>
        <v xml:space="preserve"> EN EJECUCIÓN </v>
      </c>
      <c r="I95" s="16">
        <f ca="1">IFERROR(__xludf.DUMMYFUNCTION("""COMPUTED_VALUE"""),9111820)</f>
        <v>9111820</v>
      </c>
      <c r="J95" s="83" t="s">
        <v>48</v>
      </c>
      <c r="K95" s="16"/>
      <c r="L95" s="50"/>
      <c r="M95" s="16"/>
      <c r="N95" s="19"/>
      <c r="O95" s="19"/>
      <c r="P95" s="19"/>
      <c r="Q95" s="19"/>
      <c r="R95" s="21">
        <f ca="1">IFERROR(__xludf.DUMMYFUNCTION("""COMPUTED_VALUE"""),9111820)</f>
        <v>9111820</v>
      </c>
      <c r="S95" s="19"/>
      <c r="T95" s="19"/>
      <c r="U95" s="19"/>
      <c r="V95" s="19"/>
      <c r="W95" s="20">
        <f ca="1">IFERROR(__xludf.DUMMYFUNCTION("""COMPUTED_VALUE"""),9111820)</f>
        <v>9111820</v>
      </c>
      <c r="X95" s="43" t="str">
        <f ca="1">IFERROR(__xludf.DUMMYFUNCTION("""COMPUTED_VALUE"""),"MUNICIPALIDAD DE ANTUCO")</f>
        <v>MUNICIPALIDAD DE ANTUCO</v>
      </c>
    </row>
    <row r="96" spans="1:24" ht="15.75" hidden="1" customHeight="1" x14ac:dyDescent="0.25">
      <c r="A96" s="16"/>
      <c r="B96" s="16" t="str">
        <f t="shared" si="1"/>
        <v/>
      </c>
      <c r="C96" s="16"/>
      <c r="D96" s="40"/>
      <c r="E96" s="16"/>
      <c r="F96" s="41"/>
      <c r="G96" s="16"/>
      <c r="H96" s="16"/>
      <c r="I96" s="16"/>
      <c r="J96" s="22"/>
      <c r="K96" s="16"/>
      <c r="L96" s="50"/>
      <c r="M96" s="16"/>
      <c r="N96" s="19"/>
      <c r="O96" s="19"/>
      <c r="P96" s="19"/>
      <c r="Q96" s="19"/>
      <c r="R96" s="19"/>
      <c r="S96" s="19"/>
      <c r="T96" s="19"/>
      <c r="U96" s="19"/>
      <c r="V96" s="19"/>
      <c r="W96" s="20"/>
      <c r="X96" s="43"/>
    </row>
    <row r="97" spans="1:24" ht="15.75" hidden="1" customHeight="1" x14ac:dyDescent="0.25">
      <c r="A97" s="16"/>
      <c r="B97" s="16" t="str">
        <f t="shared" si="1"/>
        <v/>
      </c>
      <c r="C97" s="16"/>
      <c r="D97" s="40"/>
      <c r="E97" s="16"/>
      <c r="F97" s="41"/>
      <c r="G97" s="16"/>
      <c r="H97" s="16"/>
      <c r="I97" s="16"/>
      <c r="J97" s="22"/>
      <c r="K97" s="16"/>
      <c r="L97" s="50"/>
      <c r="M97" s="16"/>
      <c r="N97" s="19"/>
      <c r="O97" s="19"/>
      <c r="P97" s="19"/>
      <c r="Q97" s="19"/>
      <c r="R97" s="19"/>
      <c r="S97" s="19"/>
      <c r="T97" s="19"/>
      <c r="U97" s="19"/>
      <c r="V97" s="19"/>
      <c r="W97" s="20"/>
      <c r="X97" s="43"/>
    </row>
    <row r="98" spans="1:24" ht="15.75" hidden="1" customHeight="1" x14ac:dyDescent="0.25">
      <c r="A98" s="16"/>
      <c r="B98" s="16" t="str">
        <f t="shared" si="1"/>
        <v/>
      </c>
      <c r="C98" s="16"/>
      <c r="D98" s="40"/>
      <c r="E98" s="16"/>
      <c r="F98" s="41"/>
      <c r="G98" s="16"/>
      <c r="H98" s="16"/>
      <c r="I98" s="16"/>
      <c r="J98" s="22"/>
      <c r="K98" s="16"/>
      <c r="L98" s="50"/>
      <c r="M98" s="16"/>
      <c r="N98" s="19"/>
      <c r="O98" s="19"/>
      <c r="P98" s="19"/>
      <c r="Q98" s="19"/>
      <c r="R98" s="19"/>
      <c r="S98" s="19"/>
      <c r="T98" s="19"/>
      <c r="U98" s="19"/>
      <c r="V98" s="19"/>
      <c r="W98" s="20"/>
      <c r="X98" s="43"/>
    </row>
    <row r="99" spans="1:24" ht="15.75" hidden="1" customHeight="1" x14ac:dyDescent="0.25">
      <c r="A99" s="16"/>
      <c r="B99" s="16" t="str">
        <f t="shared" si="1"/>
        <v/>
      </c>
      <c r="C99" s="16"/>
      <c r="D99" s="40"/>
      <c r="E99" s="16"/>
      <c r="F99" s="41"/>
      <c r="G99" s="16"/>
      <c r="H99" s="16"/>
      <c r="I99" s="16"/>
      <c r="J99" s="22"/>
      <c r="K99" s="16"/>
      <c r="L99" s="50"/>
      <c r="M99" s="16"/>
      <c r="N99" s="19"/>
      <c r="O99" s="19"/>
      <c r="P99" s="19"/>
      <c r="Q99" s="19"/>
      <c r="R99" s="19"/>
      <c r="S99" s="19"/>
      <c r="T99" s="19"/>
      <c r="U99" s="19"/>
      <c r="V99" s="19"/>
      <c r="W99" s="20"/>
      <c r="X99" s="43"/>
    </row>
    <row r="100" spans="1:24" ht="15.75" hidden="1" customHeight="1" x14ac:dyDescent="0.25">
      <c r="A100" s="16"/>
      <c r="B100" s="16" t="str">
        <f t="shared" si="1"/>
        <v/>
      </c>
      <c r="C100" s="16"/>
      <c r="D100" s="40"/>
      <c r="E100" s="16"/>
      <c r="F100" s="41"/>
      <c r="G100" s="16"/>
      <c r="H100" s="16"/>
      <c r="I100" s="16"/>
      <c r="J100" s="22"/>
      <c r="K100" s="16"/>
      <c r="L100" s="50"/>
      <c r="M100" s="16"/>
      <c r="N100" s="19"/>
      <c r="O100" s="19"/>
      <c r="P100" s="19"/>
      <c r="Q100" s="19"/>
      <c r="R100" s="19"/>
      <c r="S100" s="19"/>
      <c r="T100" s="19"/>
      <c r="U100" s="19"/>
      <c r="V100" s="19"/>
      <c r="W100" s="20"/>
      <c r="X100" s="43"/>
    </row>
    <row r="101" spans="1:24" ht="15.75" hidden="1" customHeight="1" x14ac:dyDescent="0.25">
      <c r="A101" s="16"/>
      <c r="B101" s="16" t="str">
        <f t="shared" si="1"/>
        <v/>
      </c>
      <c r="C101" s="16"/>
      <c r="D101" s="40"/>
      <c r="E101" s="16"/>
      <c r="F101" s="41"/>
      <c r="G101" s="16"/>
      <c r="H101" s="16"/>
      <c r="I101" s="16"/>
      <c r="J101" s="22"/>
      <c r="K101" s="16"/>
      <c r="L101" s="50"/>
      <c r="M101" s="16"/>
      <c r="N101" s="19"/>
      <c r="O101" s="19"/>
      <c r="P101" s="19"/>
      <c r="Q101" s="19"/>
      <c r="R101" s="19"/>
      <c r="S101" s="19"/>
      <c r="T101" s="19"/>
      <c r="U101" s="19"/>
      <c r="V101" s="19"/>
      <c r="W101" s="20"/>
      <c r="X101" s="43"/>
    </row>
    <row r="102" spans="1:24" ht="15.75" hidden="1" customHeight="1" x14ac:dyDescent="0.25">
      <c r="A102" s="16"/>
      <c r="B102" s="16" t="str">
        <f t="shared" si="1"/>
        <v/>
      </c>
      <c r="C102" s="16"/>
      <c r="D102" s="40"/>
      <c r="E102" s="16"/>
      <c r="F102" s="41"/>
      <c r="G102" s="16"/>
      <c r="H102" s="16"/>
      <c r="I102" s="16"/>
      <c r="J102" s="22"/>
      <c r="K102" s="16"/>
      <c r="L102" s="50"/>
      <c r="M102" s="16"/>
      <c r="N102" s="19"/>
      <c r="O102" s="19"/>
      <c r="P102" s="19"/>
      <c r="Q102" s="19"/>
      <c r="R102" s="19"/>
      <c r="S102" s="19"/>
      <c r="T102" s="19"/>
      <c r="U102" s="19"/>
      <c r="V102" s="19"/>
      <c r="W102" s="20"/>
      <c r="X102" s="43"/>
    </row>
    <row r="103" spans="1:24" ht="15.75" hidden="1" customHeight="1" x14ac:dyDescent="0.25">
      <c r="A103" s="16"/>
      <c r="B103" s="16" t="str">
        <f t="shared" si="1"/>
        <v/>
      </c>
      <c r="C103" s="16"/>
      <c r="D103" s="40"/>
      <c r="E103" s="16"/>
      <c r="F103" s="41"/>
      <c r="G103" s="16"/>
      <c r="H103" s="16"/>
      <c r="I103" s="16"/>
      <c r="J103" s="22"/>
      <c r="K103" s="16"/>
      <c r="L103" s="50"/>
      <c r="M103" s="16"/>
      <c r="N103" s="19"/>
      <c r="O103" s="19"/>
      <c r="P103" s="19"/>
      <c r="Q103" s="19"/>
      <c r="R103" s="19"/>
      <c r="S103" s="19"/>
      <c r="T103" s="19"/>
      <c r="U103" s="19"/>
      <c r="V103" s="19"/>
      <c r="W103" s="20"/>
      <c r="X103" s="43"/>
    </row>
    <row r="104" spans="1:24" ht="15.75" hidden="1" customHeight="1" x14ac:dyDescent="0.25">
      <c r="A104" s="16"/>
      <c r="B104" s="16" t="str">
        <f t="shared" si="1"/>
        <v/>
      </c>
      <c r="C104" s="16"/>
      <c r="D104" s="40"/>
      <c r="E104" s="16"/>
      <c r="F104" s="41"/>
      <c r="G104" s="16"/>
      <c r="H104" s="16"/>
      <c r="I104" s="16"/>
      <c r="J104" s="22"/>
      <c r="K104" s="16"/>
      <c r="L104" s="50"/>
      <c r="M104" s="16"/>
      <c r="N104" s="19"/>
      <c r="O104" s="19"/>
      <c r="P104" s="19"/>
      <c r="Q104" s="19"/>
      <c r="R104" s="19"/>
      <c r="S104" s="19"/>
      <c r="T104" s="19"/>
      <c r="U104" s="19"/>
      <c r="V104" s="19"/>
      <c r="W104" s="20"/>
      <c r="X104" s="43"/>
    </row>
    <row r="105" spans="1:24" ht="15.75" hidden="1" customHeight="1" x14ac:dyDescent="0.25">
      <c r="A105" s="16"/>
      <c r="B105" s="16" t="str">
        <f t="shared" si="1"/>
        <v/>
      </c>
      <c r="C105" s="16"/>
      <c r="D105" s="40"/>
      <c r="E105" s="16"/>
      <c r="F105" s="41"/>
      <c r="G105" s="16"/>
      <c r="H105" s="16"/>
      <c r="I105" s="16"/>
      <c r="J105" s="22"/>
      <c r="K105" s="16"/>
      <c r="L105" s="50"/>
      <c r="M105" s="16"/>
      <c r="N105" s="19"/>
      <c r="O105" s="19"/>
      <c r="P105" s="19"/>
      <c r="Q105" s="19"/>
      <c r="R105" s="19"/>
      <c r="S105" s="19"/>
      <c r="T105" s="19"/>
      <c r="U105" s="19"/>
      <c r="V105" s="19"/>
      <c r="W105" s="20"/>
      <c r="X105" s="43"/>
    </row>
    <row r="106" spans="1:24" ht="15.75" hidden="1" customHeight="1" x14ac:dyDescent="0.25">
      <c r="A106" s="16"/>
      <c r="B106" s="16" t="str">
        <f t="shared" si="1"/>
        <v/>
      </c>
      <c r="C106" s="16"/>
      <c r="D106" s="40"/>
      <c r="E106" s="16"/>
      <c r="F106" s="41"/>
      <c r="G106" s="16"/>
      <c r="H106" s="16"/>
      <c r="I106" s="16"/>
      <c r="J106" s="22"/>
      <c r="K106" s="16"/>
      <c r="L106" s="50"/>
      <c r="M106" s="16"/>
      <c r="N106" s="19"/>
      <c r="O106" s="19"/>
      <c r="P106" s="19"/>
      <c r="Q106" s="19"/>
      <c r="R106" s="19"/>
      <c r="S106" s="19"/>
      <c r="T106" s="19"/>
      <c r="U106" s="19"/>
      <c r="V106" s="19"/>
      <c r="W106" s="20"/>
      <c r="X106" s="43"/>
    </row>
    <row r="107" spans="1:24" ht="15.75" hidden="1" customHeight="1" x14ac:dyDescent="0.25">
      <c r="A107" s="16"/>
      <c r="B107" s="16" t="str">
        <f t="shared" si="1"/>
        <v/>
      </c>
      <c r="C107" s="16"/>
      <c r="D107" s="40"/>
      <c r="E107" s="16"/>
      <c r="F107" s="41"/>
      <c r="G107" s="16"/>
      <c r="H107" s="16"/>
      <c r="I107" s="16"/>
      <c r="J107" s="22"/>
      <c r="K107" s="16"/>
      <c r="L107" s="50"/>
      <c r="M107" s="16"/>
      <c r="N107" s="19"/>
      <c r="O107" s="19"/>
      <c r="P107" s="19"/>
      <c r="Q107" s="19"/>
      <c r="R107" s="19"/>
      <c r="S107" s="19"/>
      <c r="T107" s="19"/>
      <c r="U107" s="19"/>
      <c r="V107" s="19"/>
      <c r="W107" s="20"/>
      <c r="X107" s="43"/>
    </row>
    <row r="108" spans="1:24" ht="15.75" hidden="1" customHeight="1" x14ac:dyDescent="0.25">
      <c r="A108" s="16"/>
      <c r="B108" s="16" t="str">
        <f t="shared" si="1"/>
        <v/>
      </c>
      <c r="C108" s="16"/>
      <c r="D108" s="40"/>
      <c r="E108" s="16"/>
      <c r="F108" s="41"/>
      <c r="G108" s="16"/>
      <c r="H108" s="16"/>
      <c r="I108" s="16"/>
      <c r="J108" s="22"/>
      <c r="K108" s="16"/>
      <c r="L108" s="50"/>
      <c r="M108" s="16"/>
      <c r="N108" s="19"/>
      <c r="O108" s="19"/>
      <c r="P108" s="19"/>
      <c r="Q108" s="19"/>
      <c r="R108" s="19"/>
      <c r="S108" s="19"/>
      <c r="T108" s="19"/>
      <c r="U108" s="19"/>
      <c r="V108" s="19"/>
      <c r="W108" s="20"/>
      <c r="X108" s="43"/>
    </row>
    <row r="109" spans="1:24" ht="15.75" hidden="1" customHeight="1" x14ac:dyDescent="0.25">
      <c r="A109" s="16"/>
      <c r="B109" s="16" t="str">
        <f t="shared" si="1"/>
        <v/>
      </c>
      <c r="C109" s="16"/>
      <c r="D109" s="40"/>
      <c r="E109" s="16"/>
      <c r="F109" s="41"/>
      <c r="G109" s="16"/>
      <c r="H109" s="16"/>
      <c r="I109" s="16"/>
      <c r="J109" s="22"/>
      <c r="K109" s="16"/>
      <c r="L109" s="50"/>
      <c r="M109" s="16"/>
      <c r="N109" s="19"/>
      <c r="O109" s="19"/>
      <c r="P109" s="19"/>
      <c r="Q109" s="19"/>
      <c r="R109" s="19"/>
      <c r="S109" s="19"/>
      <c r="T109" s="19"/>
      <c r="U109" s="19"/>
      <c r="V109" s="19"/>
      <c r="W109" s="20"/>
      <c r="X109" s="43"/>
    </row>
    <row r="110" spans="1:24" ht="15.75" hidden="1" customHeight="1" x14ac:dyDescent="0.25">
      <c r="A110" s="16"/>
      <c r="B110" s="16" t="str">
        <f t="shared" si="1"/>
        <v/>
      </c>
      <c r="C110" s="16"/>
      <c r="D110" s="40"/>
      <c r="E110" s="16"/>
      <c r="F110" s="41"/>
      <c r="G110" s="16"/>
      <c r="H110" s="16"/>
      <c r="I110" s="16"/>
      <c r="J110" s="22"/>
      <c r="K110" s="16"/>
      <c r="L110" s="50"/>
      <c r="M110" s="16"/>
      <c r="N110" s="19"/>
      <c r="O110" s="19"/>
      <c r="P110" s="19"/>
      <c r="Q110" s="19"/>
      <c r="R110" s="19"/>
      <c r="S110" s="19"/>
      <c r="T110" s="19"/>
      <c r="U110" s="19"/>
      <c r="V110" s="19"/>
      <c r="W110" s="20"/>
      <c r="X110" s="43"/>
    </row>
    <row r="111" spans="1:24" ht="15.75" hidden="1" customHeight="1" x14ac:dyDescent="0.25">
      <c r="A111" s="16"/>
      <c r="B111" s="16" t="str">
        <f t="shared" si="1"/>
        <v/>
      </c>
      <c r="C111" s="16"/>
      <c r="D111" s="40"/>
      <c r="E111" s="16"/>
      <c r="F111" s="41"/>
      <c r="G111" s="16"/>
      <c r="H111" s="16"/>
      <c r="I111" s="16"/>
      <c r="J111" s="22"/>
      <c r="K111" s="16"/>
      <c r="L111" s="50"/>
      <c r="M111" s="16"/>
      <c r="N111" s="19"/>
      <c r="O111" s="19"/>
      <c r="P111" s="19"/>
      <c r="Q111" s="19"/>
      <c r="R111" s="19"/>
      <c r="S111" s="19"/>
      <c r="T111" s="19"/>
      <c r="U111" s="19"/>
      <c r="V111" s="19"/>
      <c r="W111" s="20"/>
      <c r="X111" s="43"/>
    </row>
    <row r="112" spans="1:24" ht="15.75" hidden="1" customHeight="1" x14ac:dyDescent="0.25">
      <c r="A112" s="16"/>
      <c r="B112" s="16" t="str">
        <f t="shared" si="1"/>
        <v/>
      </c>
      <c r="C112" s="16"/>
      <c r="D112" s="40"/>
      <c r="E112" s="16"/>
      <c r="F112" s="41"/>
      <c r="G112" s="16"/>
      <c r="H112" s="16"/>
      <c r="I112" s="16"/>
      <c r="J112" s="22"/>
      <c r="K112" s="16"/>
      <c r="L112" s="50"/>
      <c r="M112" s="16"/>
      <c r="N112" s="19"/>
      <c r="O112" s="19"/>
      <c r="P112" s="19"/>
      <c r="Q112" s="19"/>
      <c r="R112" s="19"/>
      <c r="S112" s="19"/>
      <c r="T112" s="19"/>
      <c r="U112" s="19"/>
      <c r="V112" s="19"/>
      <c r="W112" s="20"/>
      <c r="X112" s="43"/>
    </row>
    <row r="113" spans="1:24" ht="15.75" hidden="1" customHeight="1" x14ac:dyDescent="0.25">
      <c r="A113" s="16"/>
      <c r="B113" s="16" t="str">
        <f t="shared" si="1"/>
        <v/>
      </c>
      <c r="C113" s="16"/>
      <c r="D113" s="40"/>
      <c r="E113" s="16"/>
      <c r="F113" s="41"/>
      <c r="G113" s="16"/>
      <c r="H113" s="16"/>
      <c r="I113" s="16"/>
      <c r="J113" s="22"/>
      <c r="K113" s="16"/>
      <c r="L113" s="50"/>
      <c r="M113" s="16"/>
      <c r="N113" s="19"/>
      <c r="O113" s="19"/>
      <c r="P113" s="19"/>
      <c r="Q113" s="19"/>
      <c r="R113" s="19"/>
      <c r="S113" s="19"/>
      <c r="T113" s="19"/>
      <c r="U113" s="19"/>
      <c r="V113" s="19"/>
      <c r="W113" s="20"/>
      <c r="X113" s="43"/>
    </row>
    <row r="114" spans="1:24" ht="15.75" hidden="1" customHeight="1" x14ac:dyDescent="0.25">
      <c r="A114" s="16"/>
      <c r="B114" s="16" t="str">
        <f t="shared" si="1"/>
        <v/>
      </c>
      <c r="C114" s="16"/>
      <c r="D114" s="40"/>
      <c r="E114" s="16"/>
      <c r="F114" s="41"/>
      <c r="G114" s="16"/>
      <c r="H114" s="16"/>
      <c r="I114" s="16"/>
      <c r="J114" s="22"/>
      <c r="K114" s="16"/>
      <c r="L114" s="50"/>
      <c r="M114" s="16"/>
      <c r="N114" s="19"/>
      <c r="O114" s="19"/>
      <c r="P114" s="19"/>
      <c r="Q114" s="19"/>
      <c r="R114" s="19"/>
      <c r="S114" s="19"/>
      <c r="T114" s="19"/>
      <c r="U114" s="19"/>
      <c r="V114" s="19"/>
      <c r="W114" s="20"/>
      <c r="X114" s="43"/>
    </row>
    <row r="115" spans="1:24" ht="15.75" hidden="1" customHeight="1" x14ac:dyDescent="0.25">
      <c r="A115" s="16"/>
      <c r="B115" s="16" t="str">
        <f t="shared" si="1"/>
        <v/>
      </c>
      <c r="C115" s="16"/>
      <c r="D115" s="40"/>
      <c r="E115" s="16"/>
      <c r="F115" s="41"/>
      <c r="G115" s="16"/>
      <c r="H115" s="16"/>
      <c r="I115" s="16"/>
      <c r="J115" s="22"/>
      <c r="K115" s="16"/>
      <c r="L115" s="50"/>
      <c r="M115" s="16"/>
      <c r="N115" s="19"/>
      <c r="O115" s="19"/>
      <c r="P115" s="19"/>
      <c r="Q115" s="19"/>
      <c r="R115" s="19"/>
      <c r="S115" s="19"/>
      <c r="T115" s="19"/>
      <c r="U115" s="19"/>
      <c r="V115" s="19"/>
      <c r="W115" s="20"/>
      <c r="X115" s="43"/>
    </row>
    <row r="116" spans="1:24" ht="15.75" hidden="1" customHeight="1" x14ac:dyDescent="0.25">
      <c r="A116" s="16"/>
      <c r="B116" s="16" t="str">
        <f t="shared" si="1"/>
        <v/>
      </c>
      <c r="C116" s="16"/>
      <c r="D116" s="40"/>
      <c r="E116" s="16"/>
      <c r="F116" s="41"/>
      <c r="G116" s="16"/>
      <c r="H116" s="16"/>
      <c r="I116" s="16"/>
      <c r="J116" s="22"/>
      <c r="K116" s="16"/>
      <c r="L116" s="50"/>
      <c r="M116" s="16"/>
      <c r="N116" s="19"/>
      <c r="O116" s="19"/>
      <c r="P116" s="19"/>
      <c r="Q116" s="19"/>
      <c r="R116" s="19"/>
      <c r="S116" s="19"/>
      <c r="T116" s="19"/>
      <c r="U116" s="19"/>
      <c r="V116" s="19"/>
      <c r="W116" s="20"/>
      <c r="X116" s="43"/>
    </row>
    <row r="117" spans="1:24" ht="15.75" hidden="1" customHeight="1" x14ac:dyDescent="0.25">
      <c r="A117" s="16"/>
      <c r="B117" s="16" t="str">
        <f t="shared" si="1"/>
        <v/>
      </c>
      <c r="C117" s="16"/>
      <c r="D117" s="40"/>
      <c r="E117" s="16"/>
      <c r="F117" s="41"/>
      <c r="G117" s="16"/>
      <c r="H117" s="16"/>
      <c r="I117" s="16"/>
      <c r="J117" s="22"/>
      <c r="K117" s="16"/>
      <c r="L117" s="50"/>
      <c r="M117" s="16"/>
      <c r="N117" s="19"/>
      <c r="O117" s="19"/>
      <c r="P117" s="19"/>
      <c r="Q117" s="19"/>
      <c r="R117" s="19"/>
      <c r="S117" s="19"/>
      <c r="T117" s="19"/>
      <c r="U117" s="19"/>
      <c r="V117" s="19"/>
      <c r="W117" s="20"/>
      <c r="X117" s="43"/>
    </row>
    <row r="118" spans="1:24" ht="15.75" hidden="1" customHeight="1" x14ac:dyDescent="0.25">
      <c r="A118" s="16"/>
      <c r="B118" s="16" t="str">
        <f t="shared" si="1"/>
        <v/>
      </c>
      <c r="C118" s="16"/>
      <c r="D118" s="40"/>
      <c r="E118" s="16"/>
      <c r="F118" s="41"/>
      <c r="G118" s="16"/>
      <c r="H118" s="16"/>
      <c r="I118" s="16"/>
      <c r="J118" s="22"/>
      <c r="K118" s="16"/>
      <c r="L118" s="50"/>
      <c r="M118" s="16"/>
      <c r="N118" s="19"/>
      <c r="O118" s="19"/>
      <c r="P118" s="19"/>
      <c r="Q118" s="19"/>
      <c r="R118" s="19"/>
      <c r="S118" s="19"/>
      <c r="T118" s="19"/>
      <c r="U118" s="19"/>
      <c r="V118" s="19"/>
      <c r="W118" s="20"/>
      <c r="X118" s="43"/>
    </row>
    <row r="119" spans="1:24" ht="15.75" hidden="1" customHeight="1" x14ac:dyDescent="0.25">
      <c r="A119" s="16"/>
      <c r="B119" s="16" t="str">
        <f t="shared" si="1"/>
        <v/>
      </c>
      <c r="C119" s="16"/>
      <c r="D119" s="40"/>
      <c r="E119" s="16"/>
      <c r="F119" s="41"/>
      <c r="G119" s="16"/>
      <c r="H119" s="16"/>
      <c r="I119" s="16"/>
      <c r="J119" s="22"/>
      <c r="K119" s="16"/>
      <c r="L119" s="50"/>
      <c r="M119" s="16"/>
      <c r="N119" s="19"/>
      <c r="O119" s="19"/>
      <c r="P119" s="19"/>
      <c r="Q119" s="19"/>
      <c r="R119" s="19"/>
      <c r="S119" s="19"/>
      <c r="T119" s="19"/>
      <c r="U119" s="19"/>
      <c r="V119" s="19"/>
      <c r="W119" s="20"/>
      <c r="X119" s="43"/>
    </row>
    <row r="120" spans="1:24" ht="15.75" hidden="1" customHeight="1" x14ac:dyDescent="0.25">
      <c r="A120" s="16"/>
      <c r="B120" s="16" t="str">
        <f t="shared" si="1"/>
        <v/>
      </c>
      <c r="C120" s="16"/>
      <c r="D120" s="40"/>
      <c r="E120" s="16"/>
      <c r="F120" s="41"/>
      <c r="G120" s="16"/>
      <c r="H120" s="16"/>
      <c r="I120" s="16"/>
      <c r="J120" s="22"/>
      <c r="K120" s="16"/>
      <c r="L120" s="50"/>
      <c r="M120" s="16"/>
      <c r="N120" s="19"/>
      <c r="O120" s="19"/>
      <c r="P120" s="19"/>
      <c r="Q120" s="19"/>
      <c r="R120" s="19"/>
      <c r="S120" s="19"/>
      <c r="T120" s="19"/>
      <c r="U120" s="19"/>
      <c r="V120" s="19"/>
      <c r="W120" s="20"/>
      <c r="X120" s="43"/>
    </row>
    <row r="121" spans="1:24" ht="15.75" hidden="1" customHeight="1" x14ac:dyDescent="0.25">
      <c r="A121" s="16"/>
      <c r="B121" s="16" t="str">
        <f t="shared" si="1"/>
        <v/>
      </c>
      <c r="C121" s="16"/>
      <c r="D121" s="40"/>
      <c r="E121" s="16"/>
      <c r="F121" s="41"/>
      <c r="G121" s="16"/>
      <c r="H121" s="16"/>
      <c r="I121" s="16"/>
      <c r="J121" s="22"/>
      <c r="K121" s="16"/>
      <c r="L121" s="50"/>
      <c r="M121" s="16"/>
      <c r="N121" s="19"/>
      <c r="O121" s="19"/>
      <c r="P121" s="19"/>
      <c r="Q121" s="19"/>
      <c r="R121" s="19"/>
      <c r="S121" s="19"/>
      <c r="T121" s="19"/>
      <c r="U121" s="19"/>
      <c r="V121" s="19"/>
      <c r="W121" s="20"/>
      <c r="X121" s="43"/>
    </row>
    <row r="122" spans="1:24" ht="15.75" hidden="1" customHeight="1" x14ac:dyDescent="0.25">
      <c r="A122" s="16"/>
      <c r="B122" s="16" t="str">
        <f t="shared" si="1"/>
        <v/>
      </c>
      <c r="C122" s="16"/>
      <c r="D122" s="40"/>
      <c r="E122" s="16"/>
      <c r="F122" s="41"/>
      <c r="G122" s="16"/>
      <c r="H122" s="16"/>
      <c r="I122" s="16"/>
      <c r="J122" s="22"/>
      <c r="K122" s="16"/>
      <c r="L122" s="50"/>
      <c r="M122" s="16"/>
      <c r="N122" s="19"/>
      <c r="O122" s="19"/>
      <c r="P122" s="19"/>
      <c r="Q122" s="19"/>
      <c r="R122" s="19"/>
      <c r="S122" s="19"/>
      <c r="T122" s="19"/>
      <c r="U122" s="19"/>
      <c r="V122" s="19"/>
      <c r="W122" s="20"/>
      <c r="X122" s="43"/>
    </row>
    <row r="123" spans="1:24" ht="15.75" hidden="1" customHeight="1" x14ac:dyDescent="0.25">
      <c r="A123" s="16"/>
      <c r="B123" s="16" t="str">
        <f t="shared" si="1"/>
        <v/>
      </c>
      <c r="C123" s="16"/>
      <c r="D123" s="40"/>
      <c r="E123" s="16"/>
      <c r="F123" s="41"/>
      <c r="G123" s="16"/>
      <c r="H123" s="16"/>
      <c r="I123" s="16"/>
      <c r="J123" s="22"/>
      <c r="K123" s="16"/>
      <c r="L123" s="50"/>
      <c r="M123" s="16"/>
      <c r="N123" s="19"/>
      <c r="O123" s="19"/>
      <c r="P123" s="19"/>
      <c r="Q123" s="19"/>
      <c r="R123" s="19"/>
      <c r="S123" s="19"/>
      <c r="T123" s="19"/>
      <c r="U123" s="19"/>
      <c r="V123" s="19"/>
      <c r="W123" s="20"/>
      <c r="X123" s="43"/>
    </row>
    <row r="124" spans="1:24" ht="15.75" hidden="1" customHeight="1" x14ac:dyDescent="0.25">
      <c r="A124" s="16"/>
      <c r="B124" s="16" t="str">
        <f t="shared" si="1"/>
        <v/>
      </c>
      <c r="C124" s="16"/>
      <c r="D124" s="40"/>
      <c r="E124" s="16"/>
      <c r="F124" s="41"/>
      <c r="G124" s="16"/>
      <c r="H124" s="16"/>
      <c r="I124" s="16"/>
      <c r="J124" s="22"/>
      <c r="K124" s="16"/>
      <c r="L124" s="50"/>
      <c r="M124" s="16"/>
      <c r="N124" s="19"/>
      <c r="O124" s="19"/>
      <c r="P124" s="19"/>
      <c r="Q124" s="19"/>
      <c r="R124" s="19"/>
      <c r="S124" s="19"/>
      <c r="T124" s="19"/>
      <c r="U124" s="19"/>
      <c r="V124" s="19"/>
      <c r="W124" s="20"/>
      <c r="X124" s="43"/>
    </row>
    <row r="125" spans="1:24" ht="15.75" hidden="1" customHeight="1" x14ac:dyDescent="0.25">
      <c r="A125" s="16"/>
      <c r="B125" s="16" t="str">
        <f t="shared" si="1"/>
        <v/>
      </c>
      <c r="C125" s="16"/>
      <c r="D125" s="40"/>
      <c r="E125" s="16"/>
      <c r="F125" s="41"/>
      <c r="G125" s="16"/>
      <c r="H125" s="16"/>
      <c r="I125" s="16"/>
      <c r="J125" s="22"/>
      <c r="K125" s="16"/>
      <c r="L125" s="50"/>
      <c r="M125" s="16"/>
      <c r="N125" s="19"/>
      <c r="O125" s="19"/>
      <c r="P125" s="19"/>
      <c r="Q125" s="19"/>
      <c r="R125" s="19"/>
      <c r="S125" s="19"/>
      <c r="T125" s="19"/>
      <c r="U125" s="19"/>
      <c r="V125" s="19"/>
      <c r="W125" s="20"/>
      <c r="X125" s="43"/>
    </row>
    <row r="126" spans="1:24" ht="15.75" hidden="1" customHeight="1" x14ac:dyDescent="0.25">
      <c r="A126" s="16"/>
      <c r="B126" s="16" t="str">
        <f t="shared" si="1"/>
        <v/>
      </c>
      <c r="C126" s="16"/>
      <c r="D126" s="40"/>
      <c r="E126" s="16"/>
      <c r="F126" s="41"/>
      <c r="G126" s="16"/>
      <c r="H126" s="16"/>
      <c r="I126" s="16"/>
      <c r="J126" s="22"/>
      <c r="K126" s="16"/>
      <c r="L126" s="50"/>
      <c r="M126" s="16"/>
      <c r="N126" s="19"/>
      <c r="O126" s="19"/>
      <c r="P126" s="19"/>
      <c r="Q126" s="19"/>
      <c r="R126" s="19"/>
      <c r="S126" s="19"/>
      <c r="T126" s="19"/>
      <c r="U126" s="19"/>
      <c r="V126" s="19"/>
      <c r="W126" s="20"/>
      <c r="X126" s="43"/>
    </row>
    <row r="127" spans="1:24" ht="15.75" hidden="1" customHeight="1" x14ac:dyDescent="0.25">
      <c r="A127" s="16"/>
      <c r="B127" s="16" t="str">
        <f t="shared" si="1"/>
        <v/>
      </c>
      <c r="C127" s="16"/>
      <c r="D127" s="40"/>
      <c r="E127" s="16"/>
      <c r="F127" s="41"/>
      <c r="G127" s="16"/>
      <c r="H127" s="16"/>
      <c r="I127" s="16"/>
      <c r="J127" s="22"/>
      <c r="K127" s="16"/>
      <c r="L127" s="50"/>
      <c r="M127" s="16"/>
      <c r="N127" s="19"/>
      <c r="O127" s="19"/>
      <c r="P127" s="19"/>
      <c r="Q127" s="19"/>
      <c r="R127" s="19"/>
      <c r="S127" s="19"/>
      <c r="T127" s="19"/>
      <c r="U127" s="19"/>
      <c r="V127" s="19"/>
      <c r="W127" s="20"/>
      <c r="X127" s="43"/>
    </row>
    <row r="128" spans="1:24" ht="15.75" hidden="1" customHeight="1" x14ac:dyDescent="0.25">
      <c r="A128" s="16"/>
      <c r="B128" s="16" t="str">
        <f t="shared" si="1"/>
        <v/>
      </c>
      <c r="C128" s="16"/>
      <c r="D128" s="40"/>
      <c r="E128" s="16"/>
      <c r="F128" s="41"/>
      <c r="G128" s="16"/>
      <c r="H128" s="16"/>
      <c r="I128" s="16"/>
      <c r="J128" s="22"/>
      <c r="K128" s="16"/>
      <c r="L128" s="50"/>
      <c r="M128" s="16"/>
      <c r="N128" s="19"/>
      <c r="O128" s="19"/>
      <c r="P128" s="19"/>
      <c r="Q128" s="19"/>
      <c r="R128" s="19"/>
      <c r="S128" s="19"/>
      <c r="T128" s="19"/>
      <c r="U128" s="19"/>
      <c r="V128" s="19"/>
      <c r="W128" s="20"/>
      <c r="X128" s="43"/>
    </row>
    <row r="129" spans="1:24" ht="15.75" hidden="1" customHeight="1" x14ac:dyDescent="0.25">
      <c r="A129" s="16"/>
      <c r="B129" s="16" t="str">
        <f t="shared" si="1"/>
        <v/>
      </c>
      <c r="C129" s="16"/>
      <c r="D129" s="40"/>
      <c r="E129" s="16"/>
      <c r="F129" s="41"/>
      <c r="G129" s="16"/>
      <c r="H129" s="16"/>
      <c r="I129" s="16"/>
      <c r="J129" s="22"/>
      <c r="K129" s="16"/>
      <c r="L129" s="50"/>
      <c r="M129" s="16"/>
      <c r="N129" s="19"/>
      <c r="O129" s="19"/>
      <c r="P129" s="19"/>
      <c r="Q129" s="19"/>
      <c r="R129" s="19"/>
      <c r="S129" s="19"/>
      <c r="T129" s="19"/>
      <c r="U129" s="19"/>
      <c r="V129" s="19"/>
      <c r="W129" s="20"/>
      <c r="X129" s="43"/>
    </row>
    <row r="130" spans="1:24" ht="15.75" hidden="1" customHeight="1" x14ac:dyDescent="0.25">
      <c r="A130" s="16"/>
      <c r="B130" s="16" t="str">
        <f t="shared" si="1"/>
        <v/>
      </c>
      <c r="C130" s="16"/>
      <c r="D130" s="40"/>
      <c r="E130" s="16"/>
      <c r="F130" s="41"/>
      <c r="G130" s="16"/>
      <c r="H130" s="16"/>
      <c r="I130" s="16"/>
      <c r="J130" s="22"/>
      <c r="K130" s="16"/>
      <c r="L130" s="50"/>
      <c r="M130" s="16"/>
      <c r="N130" s="19"/>
      <c r="O130" s="19"/>
      <c r="P130" s="19"/>
      <c r="Q130" s="19"/>
      <c r="R130" s="19"/>
      <c r="S130" s="19"/>
      <c r="T130" s="19"/>
      <c r="U130" s="19"/>
      <c r="V130" s="19"/>
      <c r="W130" s="20"/>
      <c r="X130" s="43"/>
    </row>
    <row r="131" spans="1:24" ht="15.75" hidden="1" customHeight="1" x14ac:dyDescent="0.25">
      <c r="A131" s="16"/>
      <c r="B131" s="16" t="str">
        <f t="shared" si="1"/>
        <v/>
      </c>
      <c r="C131" s="16"/>
      <c r="D131" s="40"/>
      <c r="E131" s="16"/>
      <c r="F131" s="41"/>
      <c r="G131" s="16"/>
      <c r="H131" s="16"/>
      <c r="I131" s="16"/>
      <c r="J131" s="22"/>
      <c r="K131" s="16"/>
      <c r="L131" s="50"/>
      <c r="M131" s="16"/>
      <c r="N131" s="19"/>
      <c r="O131" s="19"/>
      <c r="P131" s="19"/>
      <c r="Q131" s="19"/>
      <c r="R131" s="19"/>
      <c r="S131" s="19"/>
      <c r="T131" s="19"/>
      <c r="U131" s="19"/>
      <c r="V131" s="19"/>
      <c r="W131" s="20"/>
      <c r="X131" s="43"/>
    </row>
    <row r="132" spans="1:24" ht="15.75" hidden="1" customHeight="1" x14ac:dyDescent="0.25">
      <c r="A132" s="16"/>
      <c r="B132" s="16" t="str">
        <f t="shared" si="1"/>
        <v/>
      </c>
      <c r="C132" s="16"/>
      <c r="D132" s="40"/>
      <c r="E132" s="16"/>
      <c r="F132" s="41"/>
      <c r="G132" s="16"/>
      <c r="H132" s="16"/>
      <c r="I132" s="16"/>
      <c r="J132" s="22"/>
      <c r="K132" s="16"/>
      <c r="L132" s="50"/>
      <c r="M132" s="16"/>
      <c r="N132" s="19"/>
      <c r="O132" s="19"/>
      <c r="P132" s="19"/>
      <c r="Q132" s="19"/>
      <c r="R132" s="19"/>
      <c r="S132" s="19"/>
      <c r="T132" s="19"/>
      <c r="U132" s="19"/>
      <c r="V132" s="19"/>
      <c r="W132" s="20"/>
      <c r="X132" s="43"/>
    </row>
    <row r="133" spans="1:24" ht="15.75" hidden="1" customHeight="1" x14ac:dyDescent="0.25">
      <c r="A133" s="16"/>
      <c r="B133" s="16" t="str">
        <f t="shared" si="1"/>
        <v/>
      </c>
      <c r="C133" s="16"/>
      <c r="D133" s="40"/>
      <c r="E133" s="16"/>
      <c r="F133" s="41"/>
      <c r="G133" s="16"/>
      <c r="H133" s="16"/>
      <c r="I133" s="16"/>
      <c r="J133" s="22"/>
      <c r="K133" s="16"/>
      <c r="L133" s="50"/>
      <c r="M133" s="16"/>
      <c r="N133" s="19"/>
      <c r="O133" s="19"/>
      <c r="P133" s="19"/>
      <c r="Q133" s="19"/>
      <c r="R133" s="19"/>
      <c r="S133" s="19"/>
      <c r="T133" s="19"/>
      <c r="U133" s="19"/>
      <c r="V133" s="19"/>
      <c r="W133" s="20"/>
      <c r="X133" s="43"/>
    </row>
    <row r="134" spans="1:24" ht="15.75" hidden="1" customHeight="1" x14ac:dyDescent="0.25">
      <c r="A134" s="16"/>
      <c r="B134" s="16" t="str">
        <f t="shared" si="1"/>
        <v/>
      </c>
      <c r="C134" s="16"/>
      <c r="D134" s="40"/>
      <c r="E134" s="16"/>
      <c r="F134" s="41"/>
      <c r="G134" s="16"/>
      <c r="H134" s="16"/>
      <c r="I134" s="16"/>
      <c r="J134" s="22"/>
      <c r="K134" s="16"/>
      <c r="L134" s="50"/>
      <c r="M134" s="16"/>
      <c r="N134" s="19"/>
      <c r="O134" s="19"/>
      <c r="P134" s="19"/>
      <c r="Q134" s="19"/>
      <c r="R134" s="19"/>
      <c r="S134" s="19"/>
      <c r="T134" s="19"/>
      <c r="U134" s="19"/>
      <c r="V134" s="19"/>
      <c r="W134" s="20"/>
      <c r="X134" s="43"/>
    </row>
    <row r="135" spans="1:24" ht="15.75" hidden="1" customHeight="1" x14ac:dyDescent="0.25">
      <c r="A135" s="16"/>
      <c r="B135" s="16" t="str">
        <f t="shared" si="1"/>
        <v/>
      </c>
      <c r="C135" s="16"/>
      <c r="D135" s="40"/>
      <c r="E135" s="16"/>
      <c r="F135" s="41"/>
      <c r="G135" s="16"/>
      <c r="H135" s="16"/>
      <c r="I135" s="16"/>
      <c r="J135" s="22"/>
      <c r="K135" s="16"/>
      <c r="L135" s="50"/>
      <c r="M135" s="16"/>
      <c r="N135" s="19"/>
      <c r="O135" s="19"/>
      <c r="P135" s="19"/>
      <c r="Q135" s="19"/>
      <c r="R135" s="19"/>
      <c r="S135" s="19"/>
      <c r="T135" s="19"/>
      <c r="U135" s="19"/>
      <c r="V135" s="19"/>
      <c r="W135" s="20"/>
      <c r="X135" s="43"/>
    </row>
    <row r="136" spans="1:24" ht="15.75" hidden="1" customHeight="1" x14ac:dyDescent="0.25">
      <c r="A136" s="16"/>
      <c r="B136" s="16" t="str">
        <f t="shared" si="1"/>
        <v/>
      </c>
      <c r="C136" s="16"/>
      <c r="D136" s="40"/>
      <c r="E136" s="16"/>
      <c r="F136" s="41"/>
      <c r="G136" s="16"/>
      <c r="H136" s="16"/>
      <c r="I136" s="16"/>
      <c r="J136" s="22"/>
      <c r="K136" s="16"/>
      <c r="L136" s="50"/>
      <c r="M136" s="16"/>
      <c r="N136" s="19"/>
      <c r="O136" s="19"/>
      <c r="P136" s="19"/>
      <c r="Q136" s="19"/>
      <c r="R136" s="19"/>
      <c r="S136" s="19"/>
      <c r="T136" s="19"/>
      <c r="U136" s="19"/>
      <c r="V136" s="19"/>
      <c r="W136" s="20"/>
      <c r="X136" s="43"/>
    </row>
    <row r="137" spans="1:24" ht="15.75" hidden="1" customHeight="1" x14ac:dyDescent="0.25">
      <c r="A137" s="16"/>
      <c r="B137" s="16" t="str">
        <f t="shared" si="1"/>
        <v/>
      </c>
      <c r="C137" s="16"/>
      <c r="D137" s="40"/>
      <c r="E137" s="16"/>
      <c r="F137" s="41"/>
      <c r="G137" s="16"/>
      <c r="H137" s="16"/>
      <c r="I137" s="16"/>
      <c r="J137" s="22"/>
      <c r="K137" s="16"/>
      <c r="L137" s="50"/>
      <c r="M137" s="16"/>
      <c r="N137" s="19"/>
      <c r="O137" s="19"/>
      <c r="P137" s="19"/>
      <c r="Q137" s="19"/>
      <c r="R137" s="19"/>
      <c r="S137" s="19"/>
      <c r="T137" s="19"/>
      <c r="U137" s="19"/>
      <c r="V137" s="19"/>
      <c r="W137" s="20"/>
      <c r="X137" s="43"/>
    </row>
    <row r="138" spans="1:24" ht="15.75" hidden="1" customHeight="1" x14ac:dyDescent="0.25">
      <c r="A138" s="16"/>
      <c r="B138" s="16" t="str">
        <f t="shared" si="1"/>
        <v/>
      </c>
      <c r="C138" s="16"/>
      <c r="D138" s="40"/>
      <c r="E138" s="16"/>
      <c r="F138" s="41"/>
      <c r="G138" s="16"/>
      <c r="H138" s="16"/>
      <c r="I138" s="16"/>
      <c r="J138" s="22"/>
      <c r="K138" s="16"/>
      <c r="L138" s="50"/>
      <c r="M138" s="16"/>
      <c r="N138" s="19"/>
      <c r="O138" s="19"/>
      <c r="P138" s="19"/>
      <c r="Q138" s="19"/>
      <c r="R138" s="19"/>
      <c r="S138" s="19"/>
      <c r="T138" s="19"/>
      <c r="U138" s="19"/>
      <c r="V138" s="19"/>
      <c r="W138" s="20"/>
      <c r="X138" s="43"/>
    </row>
    <row r="139" spans="1:24" ht="15.75" hidden="1" customHeight="1" x14ac:dyDescent="0.25">
      <c r="A139" s="16"/>
      <c r="B139" s="16" t="str">
        <f t="shared" si="1"/>
        <v/>
      </c>
      <c r="C139" s="16"/>
      <c r="D139" s="40"/>
      <c r="E139" s="16"/>
      <c r="F139" s="41"/>
      <c r="G139" s="16"/>
      <c r="H139" s="16"/>
      <c r="I139" s="16"/>
      <c r="J139" s="22"/>
      <c r="K139" s="16"/>
      <c r="L139" s="50"/>
      <c r="M139" s="16"/>
      <c r="N139" s="19"/>
      <c r="O139" s="19"/>
      <c r="P139" s="19"/>
      <c r="Q139" s="19"/>
      <c r="R139" s="19"/>
      <c r="S139" s="19"/>
      <c r="T139" s="19"/>
      <c r="U139" s="19"/>
      <c r="V139" s="19"/>
      <c r="W139" s="20"/>
      <c r="X139" s="43"/>
    </row>
    <row r="140" spans="1:24" ht="15.75" hidden="1" customHeight="1" x14ac:dyDescent="0.25">
      <c r="A140" s="16"/>
      <c r="B140" s="16" t="str">
        <f t="shared" si="1"/>
        <v/>
      </c>
      <c r="C140" s="16"/>
      <c r="D140" s="40"/>
      <c r="E140" s="16"/>
      <c r="F140" s="41"/>
      <c r="G140" s="16"/>
      <c r="H140" s="16"/>
      <c r="I140" s="16"/>
      <c r="J140" s="22"/>
      <c r="K140" s="16"/>
      <c r="L140" s="50"/>
      <c r="M140" s="16"/>
      <c r="N140" s="19"/>
      <c r="O140" s="19"/>
      <c r="P140" s="19"/>
      <c r="Q140" s="19"/>
      <c r="R140" s="19"/>
      <c r="S140" s="19"/>
      <c r="T140" s="19"/>
      <c r="U140" s="19"/>
      <c r="V140" s="19"/>
      <c r="W140" s="20"/>
      <c r="X140" s="43"/>
    </row>
    <row r="141" spans="1:24" ht="15.75" hidden="1" customHeight="1" x14ac:dyDescent="0.25">
      <c r="A141" s="16"/>
      <c r="B141" s="16" t="str">
        <f t="shared" si="1"/>
        <v/>
      </c>
      <c r="C141" s="16"/>
      <c r="D141" s="40"/>
      <c r="E141" s="16"/>
      <c r="F141" s="41"/>
      <c r="G141" s="16"/>
      <c r="H141" s="16"/>
      <c r="I141" s="16"/>
      <c r="J141" s="22"/>
      <c r="K141" s="16"/>
      <c r="L141" s="50"/>
      <c r="M141" s="16"/>
      <c r="N141" s="19"/>
      <c r="O141" s="19"/>
      <c r="P141" s="19"/>
      <c r="Q141" s="19"/>
      <c r="R141" s="19"/>
      <c r="S141" s="19"/>
      <c r="T141" s="19"/>
      <c r="U141" s="19"/>
      <c r="V141" s="19"/>
      <c r="W141" s="20"/>
      <c r="X141" s="43"/>
    </row>
    <row r="142" spans="1:24" ht="15.75" hidden="1" customHeight="1" x14ac:dyDescent="0.25">
      <c r="A142" s="16"/>
      <c r="B142" s="16" t="str">
        <f t="shared" si="1"/>
        <v/>
      </c>
      <c r="C142" s="16"/>
      <c r="D142" s="40"/>
      <c r="E142" s="16"/>
      <c r="F142" s="41"/>
      <c r="G142" s="16"/>
      <c r="H142" s="16"/>
      <c r="I142" s="16"/>
      <c r="J142" s="22"/>
      <c r="K142" s="16"/>
      <c r="L142" s="50"/>
      <c r="M142" s="16"/>
      <c r="N142" s="19"/>
      <c r="O142" s="19"/>
      <c r="P142" s="19"/>
      <c r="Q142" s="19"/>
      <c r="R142" s="19"/>
      <c r="S142" s="19"/>
      <c r="T142" s="19"/>
      <c r="U142" s="19"/>
      <c r="V142" s="19"/>
      <c r="W142" s="20"/>
      <c r="X142" s="43"/>
    </row>
    <row r="143" spans="1:24" ht="15.75" hidden="1" customHeight="1" x14ac:dyDescent="0.25">
      <c r="A143" s="16"/>
      <c r="B143" s="16" t="str">
        <f t="shared" si="1"/>
        <v/>
      </c>
      <c r="C143" s="16"/>
      <c r="D143" s="40"/>
      <c r="E143" s="16"/>
      <c r="F143" s="41"/>
      <c r="G143" s="16"/>
      <c r="H143" s="16"/>
      <c r="I143" s="16"/>
      <c r="J143" s="22"/>
      <c r="K143" s="16"/>
      <c r="L143" s="50"/>
      <c r="M143" s="16"/>
      <c r="N143" s="19"/>
      <c r="O143" s="19"/>
      <c r="P143" s="19"/>
      <c r="Q143" s="19"/>
      <c r="R143" s="19"/>
      <c r="S143" s="19"/>
      <c r="T143" s="19"/>
      <c r="U143" s="19"/>
      <c r="V143" s="19"/>
      <c r="W143" s="20"/>
      <c r="X143" s="43"/>
    </row>
    <row r="144" spans="1:24" ht="15.75" hidden="1" customHeight="1" x14ac:dyDescent="0.25">
      <c r="A144" s="16"/>
      <c r="B144" s="16" t="str">
        <f t="shared" si="1"/>
        <v/>
      </c>
      <c r="C144" s="16"/>
      <c r="D144" s="40"/>
      <c r="E144" s="16"/>
      <c r="F144" s="41"/>
      <c r="G144" s="16"/>
      <c r="H144" s="16"/>
      <c r="I144" s="16"/>
      <c r="J144" s="22"/>
      <c r="K144" s="16"/>
      <c r="L144" s="50"/>
      <c r="M144" s="16"/>
      <c r="N144" s="19"/>
      <c r="O144" s="19"/>
      <c r="P144" s="19"/>
      <c r="Q144" s="19"/>
      <c r="R144" s="19"/>
      <c r="S144" s="19"/>
      <c r="T144" s="19"/>
      <c r="U144" s="19"/>
      <c r="V144" s="19"/>
      <c r="W144" s="20"/>
      <c r="X144" s="43"/>
    </row>
    <row r="145" spans="1:24" ht="15.75" hidden="1" customHeight="1" x14ac:dyDescent="0.25">
      <c r="A145" s="16"/>
      <c r="B145" s="16" t="str">
        <f t="shared" si="1"/>
        <v/>
      </c>
      <c r="C145" s="16"/>
      <c r="D145" s="40"/>
      <c r="E145" s="16"/>
      <c r="F145" s="41"/>
      <c r="G145" s="16"/>
      <c r="H145" s="16"/>
      <c r="I145" s="16"/>
      <c r="J145" s="22"/>
      <c r="K145" s="16"/>
      <c r="L145" s="50"/>
      <c r="M145" s="16"/>
      <c r="N145" s="19"/>
      <c r="O145" s="19"/>
      <c r="P145" s="19"/>
      <c r="Q145" s="19"/>
      <c r="R145" s="19"/>
      <c r="S145" s="19"/>
      <c r="T145" s="19"/>
      <c r="U145" s="19"/>
      <c r="V145" s="19"/>
      <c r="W145" s="20"/>
      <c r="X145" s="43"/>
    </row>
    <row r="146" spans="1:24" ht="15.75" hidden="1" customHeight="1" x14ac:dyDescent="0.25">
      <c r="A146" s="16"/>
      <c r="B146" s="16" t="str">
        <f t="shared" si="1"/>
        <v/>
      </c>
      <c r="C146" s="16"/>
      <c r="D146" s="40"/>
      <c r="E146" s="16"/>
      <c r="F146" s="41"/>
      <c r="G146" s="16"/>
      <c r="H146" s="16"/>
      <c r="I146" s="16"/>
      <c r="J146" s="22"/>
      <c r="K146" s="16"/>
      <c r="L146" s="50"/>
      <c r="M146" s="16"/>
      <c r="N146" s="19"/>
      <c r="O146" s="19"/>
      <c r="P146" s="19"/>
      <c r="Q146" s="19"/>
      <c r="R146" s="19"/>
      <c r="S146" s="19"/>
      <c r="T146" s="19"/>
      <c r="U146" s="19"/>
      <c r="V146" s="19"/>
      <c r="W146" s="20"/>
      <c r="X146" s="43"/>
    </row>
    <row r="147" spans="1:24" ht="15.75" hidden="1" customHeight="1" x14ac:dyDescent="0.25">
      <c r="A147" s="16"/>
      <c r="B147" s="16" t="str">
        <f t="shared" si="1"/>
        <v/>
      </c>
      <c r="C147" s="16"/>
      <c r="D147" s="40"/>
      <c r="E147" s="16"/>
      <c r="F147" s="41"/>
      <c r="G147" s="16"/>
      <c r="H147" s="16"/>
      <c r="I147" s="16"/>
      <c r="J147" s="22"/>
      <c r="K147" s="16"/>
      <c r="L147" s="50"/>
      <c r="M147" s="16"/>
      <c r="N147" s="19"/>
      <c r="O147" s="19"/>
      <c r="P147" s="19"/>
      <c r="Q147" s="19"/>
      <c r="R147" s="19"/>
      <c r="S147" s="19"/>
      <c r="T147" s="19"/>
      <c r="U147" s="19"/>
      <c r="V147" s="19"/>
      <c r="W147" s="20"/>
      <c r="X147" s="43"/>
    </row>
    <row r="148" spans="1:24" ht="15.75" hidden="1" customHeight="1" x14ac:dyDescent="0.25">
      <c r="A148" s="16"/>
      <c r="B148" s="16" t="str">
        <f t="shared" si="1"/>
        <v/>
      </c>
      <c r="C148" s="16"/>
      <c r="D148" s="40"/>
      <c r="E148" s="16"/>
      <c r="F148" s="41"/>
      <c r="G148" s="16"/>
      <c r="H148" s="16"/>
      <c r="I148" s="16"/>
      <c r="J148" s="22"/>
      <c r="K148" s="16"/>
      <c r="L148" s="50"/>
      <c r="M148" s="16"/>
      <c r="N148" s="19"/>
      <c r="O148" s="19"/>
      <c r="P148" s="19"/>
      <c r="Q148" s="19"/>
      <c r="R148" s="19"/>
      <c r="S148" s="19"/>
      <c r="T148" s="19"/>
      <c r="U148" s="19"/>
      <c r="V148" s="19"/>
      <c r="W148" s="20"/>
      <c r="X148" s="43"/>
    </row>
    <row r="149" spans="1:24" ht="15.75" hidden="1" customHeight="1" x14ac:dyDescent="0.25">
      <c r="A149" s="16"/>
      <c r="B149" s="16" t="str">
        <f t="shared" si="1"/>
        <v/>
      </c>
      <c r="C149" s="16"/>
      <c r="D149" s="40"/>
      <c r="E149" s="16"/>
      <c r="F149" s="41"/>
      <c r="G149" s="16"/>
      <c r="H149" s="16"/>
      <c r="I149" s="16"/>
      <c r="J149" s="22"/>
      <c r="K149" s="16"/>
      <c r="L149" s="50"/>
      <c r="M149" s="16"/>
      <c r="N149" s="19"/>
      <c r="O149" s="19"/>
      <c r="P149" s="19"/>
      <c r="Q149" s="19"/>
      <c r="R149" s="19"/>
      <c r="S149" s="19"/>
      <c r="T149" s="19"/>
      <c r="U149" s="19"/>
      <c r="V149" s="19"/>
      <c r="W149" s="20"/>
      <c r="X149" s="43"/>
    </row>
    <row r="150" spans="1:24" ht="15.75" hidden="1" customHeight="1" x14ac:dyDescent="0.25">
      <c r="A150" s="16"/>
      <c r="B150" s="16" t="str">
        <f t="shared" si="1"/>
        <v/>
      </c>
      <c r="C150" s="16"/>
      <c r="D150" s="40"/>
      <c r="E150" s="16"/>
      <c r="F150" s="41"/>
      <c r="G150" s="16"/>
      <c r="H150" s="16"/>
      <c r="I150" s="16"/>
      <c r="J150" s="22"/>
      <c r="K150" s="16"/>
      <c r="L150" s="50"/>
      <c r="M150" s="16"/>
      <c r="N150" s="19"/>
      <c r="O150" s="19"/>
      <c r="P150" s="19"/>
      <c r="Q150" s="19"/>
      <c r="R150" s="19"/>
      <c r="S150" s="19"/>
      <c r="T150" s="19"/>
      <c r="U150" s="19"/>
      <c r="V150" s="19"/>
      <c r="W150" s="20"/>
      <c r="X150" s="43"/>
    </row>
    <row r="151" spans="1:24" ht="15.75" hidden="1" customHeight="1" x14ac:dyDescent="0.25">
      <c r="A151" s="16"/>
      <c r="B151" s="16" t="str">
        <f t="shared" si="1"/>
        <v/>
      </c>
      <c r="C151" s="16"/>
      <c r="D151" s="40"/>
      <c r="E151" s="16"/>
      <c r="F151" s="41"/>
      <c r="G151" s="16"/>
      <c r="H151" s="16"/>
      <c r="I151" s="16"/>
      <c r="J151" s="22"/>
      <c r="K151" s="16"/>
      <c r="L151" s="50"/>
      <c r="M151" s="16"/>
      <c r="N151" s="19"/>
      <c r="O151" s="19"/>
      <c r="P151" s="19"/>
      <c r="Q151" s="19"/>
      <c r="R151" s="19"/>
      <c r="S151" s="19"/>
      <c r="T151" s="19"/>
      <c r="U151" s="19"/>
      <c r="V151" s="19"/>
      <c r="W151" s="20"/>
      <c r="X151" s="43"/>
    </row>
    <row r="152" spans="1:24" ht="15.75" hidden="1" customHeight="1" x14ac:dyDescent="0.25">
      <c r="A152" s="16"/>
      <c r="B152" s="16" t="str">
        <f t="shared" si="1"/>
        <v/>
      </c>
      <c r="C152" s="16"/>
      <c r="D152" s="40"/>
      <c r="E152" s="16"/>
      <c r="F152" s="41"/>
      <c r="G152" s="16"/>
      <c r="H152" s="16"/>
      <c r="I152" s="16"/>
      <c r="J152" s="22"/>
      <c r="K152" s="16"/>
      <c r="L152" s="50"/>
      <c r="M152" s="16"/>
      <c r="N152" s="19"/>
      <c r="O152" s="19"/>
      <c r="P152" s="19"/>
      <c r="Q152" s="19"/>
      <c r="R152" s="19"/>
      <c r="S152" s="19"/>
      <c r="T152" s="19"/>
      <c r="U152" s="19"/>
      <c r="V152" s="19"/>
      <c r="W152" s="20"/>
      <c r="X152" s="43"/>
    </row>
    <row r="153" spans="1:24" ht="15.75" hidden="1" customHeight="1" x14ac:dyDescent="0.25">
      <c r="A153" s="16"/>
      <c r="B153" s="16" t="str">
        <f t="shared" si="1"/>
        <v/>
      </c>
      <c r="C153" s="16"/>
      <c r="D153" s="40"/>
      <c r="E153" s="16"/>
      <c r="F153" s="41"/>
      <c r="G153" s="16"/>
      <c r="H153" s="16"/>
      <c r="I153" s="16"/>
      <c r="J153" s="22"/>
      <c r="K153" s="16"/>
      <c r="L153" s="50"/>
      <c r="M153" s="16"/>
      <c r="N153" s="19"/>
      <c r="O153" s="19"/>
      <c r="P153" s="19"/>
      <c r="Q153" s="19"/>
      <c r="R153" s="19"/>
      <c r="S153" s="19"/>
      <c r="T153" s="19"/>
      <c r="U153" s="19"/>
      <c r="V153" s="19"/>
      <c r="W153" s="20"/>
      <c r="X153" s="43"/>
    </row>
    <row r="154" spans="1:24" ht="15.75" hidden="1" customHeight="1" x14ac:dyDescent="0.25">
      <c r="A154" s="16"/>
      <c r="B154" s="16" t="str">
        <f t="shared" si="1"/>
        <v/>
      </c>
      <c r="C154" s="16"/>
      <c r="D154" s="40"/>
      <c r="E154" s="16"/>
      <c r="F154" s="41"/>
      <c r="G154" s="16"/>
      <c r="H154" s="16"/>
      <c r="I154" s="16"/>
      <c r="J154" s="22"/>
      <c r="K154" s="16"/>
      <c r="L154" s="50"/>
      <c r="M154" s="16"/>
      <c r="N154" s="19"/>
      <c r="O154" s="19"/>
      <c r="P154" s="19"/>
      <c r="Q154" s="19"/>
      <c r="R154" s="19"/>
      <c r="S154" s="19"/>
      <c r="T154" s="19"/>
      <c r="U154" s="19"/>
      <c r="V154" s="19"/>
      <c r="W154" s="20"/>
      <c r="X154" s="43"/>
    </row>
    <row r="155" spans="1:24" ht="15.75" hidden="1" customHeight="1" x14ac:dyDescent="0.25">
      <c r="A155" s="16"/>
      <c r="B155" s="16" t="str">
        <f t="shared" si="1"/>
        <v/>
      </c>
      <c r="C155" s="16"/>
      <c r="D155" s="40"/>
      <c r="E155" s="16"/>
      <c r="F155" s="41"/>
      <c r="G155" s="16"/>
      <c r="H155" s="16"/>
      <c r="I155" s="16"/>
      <c r="J155" s="22"/>
      <c r="K155" s="16"/>
      <c r="L155" s="50"/>
      <c r="M155" s="16"/>
      <c r="N155" s="19"/>
      <c r="O155" s="19"/>
      <c r="P155" s="19"/>
      <c r="Q155" s="19"/>
      <c r="R155" s="19"/>
      <c r="S155" s="19"/>
      <c r="T155" s="19"/>
      <c r="U155" s="19"/>
      <c r="V155" s="19"/>
      <c r="W155" s="20"/>
      <c r="X155" s="43"/>
    </row>
    <row r="156" spans="1:24" ht="15.75" hidden="1" customHeight="1" x14ac:dyDescent="0.25">
      <c r="A156" s="16"/>
      <c r="B156" s="16" t="str">
        <f t="shared" si="1"/>
        <v/>
      </c>
      <c r="C156" s="16"/>
      <c r="D156" s="40"/>
      <c r="E156" s="16"/>
      <c r="F156" s="41"/>
      <c r="G156" s="16"/>
      <c r="H156" s="16"/>
      <c r="I156" s="16"/>
      <c r="J156" s="22"/>
      <c r="K156" s="16"/>
      <c r="L156" s="50"/>
      <c r="M156" s="16"/>
      <c r="N156" s="19"/>
      <c r="O156" s="19"/>
      <c r="P156" s="19"/>
      <c r="Q156" s="19"/>
      <c r="R156" s="19"/>
      <c r="S156" s="19"/>
      <c r="T156" s="19"/>
      <c r="U156" s="19"/>
      <c r="V156" s="19"/>
      <c r="W156" s="20"/>
      <c r="X156" s="43"/>
    </row>
    <row r="157" spans="1:24" ht="15.75" hidden="1" customHeight="1" x14ac:dyDescent="0.25">
      <c r="A157" s="16"/>
      <c r="B157" s="16" t="str">
        <f t="shared" si="1"/>
        <v/>
      </c>
      <c r="C157" s="16"/>
      <c r="D157" s="40"/>
      <c r="E157" s="16"/>
      <c r="F157" s="41"/>
      <c r="G157" s="16"/>
      <c r="H157" s="16"/>
      <c r="I157" s="16"/>
      <c r="J157" s="22"/>
      <c r="K157" s="16"/>
      <c r="L157" s="50"/>
      <c r="M157" s="16"/>
      <c r="N157" s="19"/>
      <c r="O157" s="19"/>
      <c r="P157" s="19"/>
      <c r="Q157" s="19"/>
      <c r="R157" s="19"/>
      <c r="S157" s="19"/>
      <c r="T157" s="19"/>
      <c r="U157" s="19"/>
      <c r="V157" s="19"/>
      <c r="W157" s="20"/>
      <c r="X157" s="43"/>
    </row>
    <row r="158" spans="1:24" ht="15.75" hidden="1" customHeight="1" x14ac:dyDescent="0.25">
      <c r="A158" s="16"/>
      <c r="B158" s="16" t="str">
        <f t="shared" si="1"/>
        <v/>
      </c>
      <c r="C158" s="16"/>
      <c r="D158" s="40"/>
      <c r="E158" s="16"/>
      <c r="F158" s="41"/>
      <c r="G158" s="16"/>
      <c r="H158" s="16"/>
      <c r="I158" s="16"/>
      <c r="J158" s="22"/>
      <c r="K158" s="16"/>
      <c r="L158" s="50"/>
      <c r="M158" s="16"/>
      <c r="N158" s="19"/>
      <c r="O158" s="19"/>
      <c r="P158" s="19"/>
      <c r="Q158" s="19"/>
      <c r="R158" s="19"/>
      <c r="S158" s="19"/>
      <c r="T158" s="19"/>
      <c r="U158" s="19"/>
      <c r="V158" s="19"/>
      <c r="W158" s="20"/>
      <c r="X158" s="43"/>
    </row>
    <row r="159" spans="1:24" ht="15.75" hidden="1" customHeight="1" x14ac:dyDescent="0.25">
      <c r="A159" s="16"/>
      <c r="B159" s="16" t="str">
        <f t="shared" si="1"/>
        <v/>
      </c>
      <c r="C159" s="16"/>
      <c r="D159" s="40"/>
      <c r="E159" s="16"/>
      <c r="F159" s="41"/>
      <c r="G159" s="16"/>
      <c r="H159" s="16"/>
      <c r="I159" s="16"/>
      <c r="J159" s="22"/>
      <c r="K159" s="16"/>
      <c r="L159" s="50"/>
      <c r="M159" s="16"/>
      <c r="N159" s="19"/>
      <c r="O159" s="19"/>
      <c r="P159" s="19"/>
      <c r="Q159" s="19"/>
      <c r="R159" s="19"/>
      <c r="S159" s="19"/>
      <c r="T159" s="19"/>
      <c r="U159" s="19"/>
      <c r="V159" s="19"/>
      <c r="W159" s="20"/>
      <c r="X159" s="43"/>
    </row>
    <row r="160" spans="1:24" ht="15.75" hidden="1" customHeight="1" x14ac:dyDescent="0.25">
      <c r="A160" s="16"/>
      <c r="B160" s="16" t="str">
        <f t="shared" si="1"/>
        <v/>
      </c>
      <c r="C160" s="16"/>
      <c r="D160" s="40"/>
      <c r="E160" s="16"/>
      <c r="F160" s="41"/>
      <c r="G160" s="16"/>
      <c r="H160" s="16"/>
      <c r="I160" s="16"/>
      <c r="J160" s="22"/>
      <c r="K160" s="16"/>
      <c r="L160" s="50"/>
      <c r="M160" s="16"/>
      <c r="N160" s="19"/>
      <c r="O160" s="19"/>
      <c r="P160" s="19"/>
      <c r="Q160" s="19"/>
      <c r="R160" s="19"/>
      <c r="S160" s="19"/>
      <c r="T160" s="19"/>
      <c r="U160" s="19"/>
      <c r="V160" s="19"/>
      <c r="W160" s="20"/>
      <c r="X160" s="43"/>
    </row>
    <row r="161" spans="1:24" ht="15.75" hidden="1" customHeight="1" x14ac:dyDescent="0.25">
      <c r="A161" s="16"/>
      <c r="B161" s="16" t="str">
        <f t="shared" si="1"/>
        <v/>
      </c>
      <c r="C161" s="16"/>
      <c r="D161" s="40"/>
      <c r="E161" s="16"/>
      <c r="F161" s="41"/>
      <c r="G161" s="16"/>
      <c r="H161" s="16"/>
      <c r="I161" s="16"/>
      <c r="J161" s="22"/>
      <c r="K161" s="16"/>
      <c r="L161" s="50"/>
      <c r="M161" s="16"/>
      <c r="N161" s="19"/>
      <c r="O161" s="19"/>
      <c r="P161" s="19"/>
      <c r="Q161" s="19"/>
      <c r="R161" s="19"/>
      <c r="S161" s="19"/>
      <c r="T161" s="19"/>
      <c r="U161" s="19"/>
      <c r="V161" s="19"/>
      <c r="W161" s="20"/>
      <c r="X161" s="43"/>
    </row>
    <row r="162" spans="1:24" ht="15.75" hidden="1" customHeight="1" x14ac:dyDescent="0.25">
      <c r="A162" s="16"/>
      <c r="B162" s="16" t="str">
        <f t="shared" si="1"/>
        <v/>
      </c>
      <c r="C162" s="16"/>
      <c r="D162" s="40"/>
      <c r="E162" s="16"/>
      <c r="F162" s="41"/>
      <c r="G162" s="16"/>
      <c r="H162" s="16"/>
      <c r="I162" s="16"/>
      <c r="J162" s="22"/>
      <c r="K162" s="16"/>
      <c r="L162" s="50"/>
      <c r="M162" s="16"/>
      <c r="N162" s="19"/>
      <c r="O162" s="19"/>
      <c r="P162" s="19"/>
      <c r="Q162" s="19"/>
      <c r="R162" s="19"/>
      <c r="S162" s="19"/>
      <c r="T162" s="19"/>
      <c r="U162" s="19"/>
      <c r="V162" s="19"/>
      <c r="W162" s="20"/>
      <c r="X162" s="43"/>
    </row>
    <row r="163" spans="1:24" ht="15.75" hidden="1" customHeight="1" x14ac:dyDescent="0.25">
      <c r="A163" s="16"/>
      <c r="B163" s="16" t="str">
        <f t="shared" si="1"/>
        <v/>
      </c>
      <c r="C163" s="16"/>
      <c r="D163" s="40"/>
      <c r="E163" s="16"/>
      <c r="F163" s="41"/>
      <c r="G163" s="16"/>
      <c r="H163" s="16"/>
      <c r="I163" s="16"/>
      <c r="J163" s="22"/>
      <c r="K163" s="16"/>
      <c r="L163" s="50"/>
      <c r="M163" s="16"/>
      <c r="N163" s="19"/>
      <c r="O163" s="19"/>
      <c r="P163" s="19"/>
      <c r="Q163" s="19"/>
      <c r="R163" s="19"/>
      <c r="S163" s="19"/>
      <c r="T163" s="19"/>
      <c r="U163" s="19"/>
      <c r="V163" s="19"/>
      <c r="W163" s="20"/>
      <c r="X163" s="43"/>
    </row>
    <row r="164" spans="1:24" ht="15.75" hidden="1" customHeight="1" x14ac:dyDescent="0.25">
      <c r="A164" s="16"/>
      <c r="B164" s="16" t="str">
        <f t="shared" si="1"/>
        <v/>
      </c>
      <c r="C164" s="16"/>
      <c r="D164" s="40"/>
      <c r="E164" s="16"/>
      <c r="F164" s="41"/>
      <c r="G164" s="16"/>
      <c r="H164" s="16"/>
      <c r="I164" s="16"/>
      <c r="J164" s="22"/>
      <c r="K164" s="16"/>
      <c r="L164" s="50"/>
      <c r="M164" s="16"/>
      <c r="N164" s="19"/>
      <c r="O164" s="19"/>
      <c r="P164" s="19"/>
      <c r="Q164" s="19"/>
      <c r="R164" s="19"/>
      <c r="S164" s="19"/>
      <c r="T164" s="19"/>
      <c r="U164" s="19"/>
      <c r="V164" s="19"/>
      <c r="W164" s="20"/>
      <c r="X164" s="43"/>
    </row>
    <row r="165" spans="1:24" ht="15.75" hidden="1" customHeight="1" x14ac:dyDescent="0.25">
      <c r="A165" s="16"/>
      <c r="B165" s="16" t="str">
        <f t="shared" si="1"/>
        <v/>
      </c>
      <c r="C165" s="16"/>
      <c r="D165" s="40"/>
      <c r="E165" s="16"/>
      <c r="F165" s="41"/>
      <c r="G165" s="16"/>
      <c r="H165" s="16"/>
      <c r="I165" s="16"/>
      <c r="J165" s="22"/>
      <c r="K165" s="16"/>
      <c r="L165" s="50"/>
      <c r="M165" s="16"/>
      <c r="N165" s="19"/>
      <c r="O165" s="19"/>
      <c r="P165" s="19"/>
      <c r="Q165" s="19"/>
      <c r="R165" s="19"/>
      <c r="S165" s="19"/>
      <c r="T165" s="19"/>
      <c r="U165" s="19"/>
      <c r="V165" s="19"/>
      <c r="W165" s="20"/>
      <c r="X165" s="43"/>
    </row>
    <row r="166" spans="1:24" ht="15.75" hidden="1" customHeight="1" x14ac:dyDescent="0.25">
      <c r="A166" s="16"/>
      <c r="B166" s="16" t="str">
        <f t="shared" si="1"/>
        <v/>
      </c>
      <c r="C166" s="16"/>
      <c r="D166" s="40"/>
      <c r="E166" s="16"/>
      <c r="F166" s="41"/>
      <c r="G166" s="16"/>
      <c r="H166" s="16"/>
      <c r="I166" s="16"/>
      <c r="J166" s="22"/>
      <c r="K166" s="16"/>
      <c r="L166" s="50"/>
      <c r="M166" s="16"/>
      <c r="N166" s="19"/>
      <c r="O166" s="19"/>
      <c r="P166" s="19"/>
      <c r="Q166" s="19"/>
      <c r="R166" s="19"/>
      <c r="S166" s="19"/>
      <c r="T166" s="19"/>
      <c r="U166" s="19"/>
      <c r="V166" s="19"/>
      <c r="W166" s="20"/>
      <c r="X166" s="43"/>
    </row>
    <row r="167" spans="1:24" ht="15.75" hidden="1" customHeight="1" x14ac:dyDescent="0.25">
      <c r="A167" s="16"/>
      <c r="B167" s="16" t="str">
        <f t="shared" si="1"/>
        <v/>
      </c>
      <c r="C167" s="16"/>
      <c r="D167" s="40"/>
      <c r="E167" s="16"/>
      <c r="F167" s="41"/>
      <c r="G167" s="16"/>
      <c r="H167" s="16"/>
      <c r="I167" s="16"/>
      <c r="J167" s="22"/>
      <c r="K167" s="16"/>
      <c r="L167" s="50"/>
      <c r="M167" s="16"/>
      <c r="N167" s="19"/>
      <c r="O167" s="19"/>
      <c r="P167" s="19"/>
      <c r="Q167" s="19"/>
      <c r="R167" s="19"/>
      <c r="S167" s="19"/>
      <c r="T167" s="19"/>
      <c r="U167" s="19"/>
      <c r="V167" s="19"/>
      <c r="W167" s="20"/>
      <c r="X167" s="43"/>
    </row>
    <row r="168" spans="1:24" ht="15.75" hidden="1" customHeight="1" x14ac:dyDescent="0.25">
      <c r="A168" s="16"/>
      <c r="B168" s="16" t="str">
        <f t="shared" si="1"/>
        <v/>
      </c>
      <c r="C168" s="16"/>
      <c r="D168" s="40"/>
      <c r="E168" s="16"/>
      <c r="F168" s="41"/>
      <c r="G168" s="16"/>
      <c r="H168" s="16"/>
      <c r="I168" s="16"/>
      <c r="J168" s="22"/>
      <c r="K168" s="16"/>
      <c r="L168" s="50"/>
      <c r="M168" s="16"/>
      <c r="N168" s="19"/>
      <c r="O168" s="19"/>
      <c r="P168" s="19"/>
      <c r="Q168" s="19"/>
      <c r="R168" s="19"/>
      <c r="S168" s="19"/>
      <c r="T168" s="19"/>
      <c r="U168" s="19"/>
      <c r="V168" s="19"/>
      <c r="W168" s="20"/>
      <c r="X168" s="43"/>
    </row>
    <row r="169" spans="1:24" ht="15.75" hidden="1" customHeight="1" x14ac:dyDescent="0.25">
      <c r="A169" s="16"/>
      <c r="B169" s="16" t="str">
        <f t="shared" si="1"/>
        <v/>
      </c>
      <c r="C169" s="16"/>
      <c r="D169" s="40"/>
      <c r="E169" s="16"/>
      <c r="F169" s="41"/>
      <c r="G169" s="16"/>
      <c r="H169" s="16"/>
      <c r="I169" s="16"/>
      <c r="J169" s="22"/>
      <c r="K169" s="16"/>
      <c r="L169" s="50"/>
      <c r="M169" s="16"/>
      <c r="N169" s="19"/>
      <c r="O169" s="19"/>
      <c r="P169" s="19"/>
      <c r="Q169" s="19"/>
      <c r="R169" s="19"/>
      <c r="S169" s="19"/>
      <c r="T169" s="19"/>
      <c r="U169" s="19"/>
      <c r="V169" s="19"/>
      <c r="W169" s="20"/>
      <c r="X169" s="43"/>
    </row>
    <row r="170" spans="1:24" ht="15.75" hidden="1" customHeight="1" x14ac:dyDescent="0.25">
      <c r="A170" s="16"/>
      <c r="B170" s="16" t="str">
        <f t="shared" si="1"/>
        <v/>
      </c>
      <c r="C170" s="16"/>
      <c r="D170" s="40"/>
      <c r="E170" s="16"/>
      <c r="F170" s="41"/>
      <c r="G170" s="16"/>
      <c r="H170" s="16"/>
      <c r="I170" s="16"/>
      <c r="J170" s="22"/>
      <c r="K170" s="16"/>
      <c r="L170" s="50"/>
      <c r="M170" s="16"/>
      <c r="N170" s="19"/>
      <c r="O170" s="19"/>
      <c r="P170" s="19"/>
      <c r="Q170" s="19"/>
      <c r="R170" s="19"/>
      <c r="S170" s="19"/>
      <c r="T170" s="19"/>
      <c r="U170" s="19"/>
      <c r="V170" s="19"/>
      <c r="W170" s="20"/>
      <c r="X170" s="43"/>
    </row>
    <row r="171" spans="1:24" ht="15.75" hidden="1" customHeight="1" x14ac:dyDescent="0.25">
      <c r="A171" s="16"/>
      <c r="B171" s="16" t="str">
        <f t="shared" si="1"/>
        <v/>
      </c>
      <c r="C171" s="16"/>
      <c r="D171" s="40"/>
      <c r="E171" s="16"/>
      <c r="F171" s="41"/>
      <c r="G171" s="16"/>
      <c r="H171" s="16"/>
      <c r="I171" s="16"/>
      <c r="J171" s="22"/>
      <c r="K171" s="16"/>
      <c r="L171" s="50"/>
      <c r="M171" s="16"/>
      <c r="N171" s="19"/>
      <c r="O171" s="19"/>
      <c r="P171" s="19"/>
      <c r="Q171" s="19"/>
      <c r="R171" s="19"/>
      <c r="S171" s="19"/>
      <c r="T171" s="19"/>
      <c r="U171" s="19"/>
      <c r="V171" s="19"/>
      <c r="W171" s="20"/>
      <c r="X171" s="43"/>
    </row>
    <row r="172" spans="1:24" ht="15.75" hidden="1" customHeight="1" x14ac:dyDescent="0.25">
      <c r="A172" s="16"/>
      <c r="B172" s="16" t="str">
        <f t="shared" si="1"/>
        <v/>
      </c>
      <c r="C172" s="16"/>
      <c r="D172" s="40"/>
      <c r="E172" s="16"/>
      <c r="F172" s="41"/>
      <c r="G172" s="16"/>
      <c r="H172" s="16"/>
      <c r="I172" s="16"/>
      <c r="J172" s="22"/>
      <c r="K172" s="16"/>
      <c r="L172" s="50"/>
      <c r="M172" s="16"/>
      <c r="N172" s="19"/>
      <c r="O172" s="19"/>
      <c r="P172" s="19"/>
      <c r="Q172" s="19"/>
      <c r="R172" s="19"/>
      <c r="S172" s="19"/>
      <c r="T172" s="19"/>
      <c r="U172" s="19"/>
      <c r="V172" s="19"/>
      <c r="W172" s="20"/>
      <c r="X172" s="43"/>
    </row>
    <row r="173" spans="1:24" ht="15.75" hidden="1" customHeight="1" x14ac:dyDescent="0.25">
      <c r="A173" s="16"/>
      <c r="B173" s="16" t="str">
        <f t="shared" si="1"/>
        <v/>
      </c>
      <c r="C173" s="16"/>
      <c r="D173" s="40"/>
      <c r="E173" s="16"/>
      <c r="F173" s="41"/>
      <c r="G173" s="16"/>
      <c r="H173" s="16"/>
      <c r="I173" s="16"/>
      <c r="J173" s="22"/>
      <c r="K173" s="16"/>
      <c r="L173" s="50"/>
      <c r="M173" s="16"/>
      <c r="N173" s="19"/>
      <c r="O173" s="19"/>
      <c r="P173" s="19"/>
      <c r="Q173" s="19"/>
      <c r="R173" s="19"/>
      <c r="S173" s="19"/>
      <c r="T173" s="19"/>
      <c r="U173" s="19"/>
      <c r="V173" s="19"/>
      <c r="W173" s="20"/>
      <c r="X173" s="43"/>
    </row>
    <row r="174" spans="1:24" ht="15.75" hidden="1" customHeight="1" x14ac:dyDescent="0.25">
      <c r="A174" s="16"/>
      <c r="B174" s="16" t="str">
        <f t="shared" si="1"/>
        <v/>
      </c>
      <c r="C174" s="16"/>
      <c r="D174" s="40"/>
      <c r="E174" s="16"/>
      <c r="F174" s="41"/>
      <c r="G174" s="16"/>
      <c r="H174" s="16"/>
      <c r="I174" s="16"/>
      <c r="J174" s="22"/>
      <c r="K174" s="16"/>
      <c r="L174" s="50"/>
      <c r="M174" s="16"/>
      <c r="N174" s="19"/>
      <c r="O174" s="19"/>
      <c r="P174" s="19"/>
      <c r="Q174" s="19"/>
      <c r="R174" s="19"/>
      <c r="S174" s="19"/>
      <c r="T174" s="19"/>
      <c r="U174" s="19"/>
      <c r="V174" s="19"/>
      <c r="W174" s="20"/>
      <c r="X174" s="43"/>
    </row>
    <row r="175" spans="1:24" ht="15.75" hidden="1" customHeight="1" x14ac:dyDescent="0.25">
      <c r="A175" s="16"/>
      <c r="B175" s="16" t="str">
        <f t="shared" si="1"/>
        <v/>
      </c>
      <c r="C175" s="16"/>
      <c r="D175" s="40"/>
      <c r="E175" s="16"/>
      <c r="F175" s="41"/>
      <c r="G175" s="16"/>
      <c r="H175" s="16"/>
      <c r="I175" s="16"/>
      <c r="J175" s="22"/>
      <c r="K175" s="16"/>
      <c r="L175" s="50"/>
      <c r="M175" s="16"/>
      <c r="N175" s="19"/>
      <c r="O175" s="19"/>
      <c r="P175" s="19"/>
      <c r="Q175" s="19"/>
      <c r="R175" s="19"/>
      <c r="S175" s="19"/>
      <c r="T175" s="19"/>
      <c r="U175" s="19"/>
      <c r="V175" s="19"/>
      <c r="W175" s="20"/>
      <c r="X175" s="43"/>
    </row>
    <row r="176" spans="1:24" ht="15.75" hidden="1" customHeight="1" x14ac:dyDescent="0.25">
      <c r="A176" s="16"/>
      <c r="B176" s="16" t="str">
        <f t="shared" si="1"/>
        <v/>
      </c>
      <c r="C176" s="16"/>
      <c r="D176" s="40"/>
      <c r="E176" s="16"/>
      <c r="F176" s="41"/>
      <c r="G176" s="16"/>
      <c r="H176" s="16"/>
      <c r="I176" s="16"/>
      <c r="J176" s="22"/>
      <c r="K176" s="16"/>
      <c r="L176" s="50"/>
      <c r="M176" s="16"/>
      <c r="N176" s="19"/>
      <c r="O176" s="19"/>
      <c r="P176" s="19"/>
      <c r="Q176" s="19"/>
      <c r="R176" s="19"/>
      <c r="S176" s="19"/>
      <c r="T176" s="19"/>
      <c r="U176" s="19"/>
      <c r="V176" s="19"/>
      <c r="W176" s="20"/>
      <c r="X176" s="43"/>
    </row>
    <row r="177" spans="1:24" ht="15.75" hidden="1" customHeight="1" x14ac:dyDescent="0.25">
      <c r="A177" s="16"/>
      <c r="B177" s="16" t="str">
        <f t="shared" si="1"/>
        <v/>
      </c>
      <c r="C177" s="16"/>
      <c r="D177" s="40"/>
      <c r="E177" s="16"/>
      <c r="F177" s="41"/>
      <c r="G177" s="16"/>
      <c r="H177" s="16"/>
      <c r="I177" s="16"/>
      <c r="J177" s="22"/>
      <c r="K177" s="16"/>
      <c r="L177" s="50"/>
      <c r="M177" s="16"/>
      <c r="N177" s="19"/>
      <c r="O177" s="19"/>
      <c r="P177" s="19"/>
      <c r="Q177" s="19"/>
      <c r="R177" s="19"/>
      <c r="S177" s="19"/>
      <c r="T177" s="19"/>
      <c r="U177" s="19"/>
      <c r="V177" s="19"/>
      <c r="W177" s="20"/>
      <c r="X177" s="43"/>
    </row>
    <row r="178" spans="1:24" ht="15.75" hidden="1" customHeight="1" x14ac:dyDescent="0.25">
      <c r="A178" s="16"/>
      <c r="B178" s="16" t="str">
        <f t="shared" si="1"/>
        <v/>
      </c>
      <c r="C178" s="16"/>
      <c r="D178" s="40"/>
      <c r="E178" s="16"/>
      <c r="F178" s="41"/>
      <c r="G178" s="16"/>
      <c r="H178" s="16"/>
      <c r="I178" s="16"/>
      <c r="J178" s="22"/>
      <c r="K178" s="16"/>
      <c r="L178" s="50"/>
      <c r="M178" s="16"/>
      <c r="N178" s="19"/>
      <c r="O178" s="19"/>
      <c r="P178" s="19"/>
      <c r="Q178" s="19"/>
      <c r="R178" s="19"/>
      <c r="S178" s="19"/>
      <c r="T178" s="19"/>
      <c r="U178" s="19"/>
      <c r="V178" s="19"/>
      <c r="W178" s="20"/>
      <c r="X178" s="43"/>
    </row>
    <row r="179" spans="1:24" ht="15.75" hidden="1" customHeight="1" x14ac:dyDescent="0.25">
      <c r="A179" s="16"/>
      <c r="B179" s="16" t="str">
        <f t="shared" si="1"/>
        <v/>
      </c>
      <c r="C179" s="16"/>
      <c r="D179" s="40"/>
      <c r="E179" s="16"/>
      <c r="F179" s="41"/>
      <c r="G179" s="16"/>
      <c r="H179" s="16"/>
      <c r="I179" s="16"/>
      <c r="J179" s="22"/>
      <c r="K179" s="16"/>
      <c r="L179" s="50"/>
      <c r="M179" s="16"/>
      <c r="N179" s="19"/>
      <c r="O179" s="19"/>
      <c r="P179" s="19"/>
      <c r="Q179" s="19"/>
      <c r="R179" s="19"/>
      <c r="S179" s="19"/>
      <c r="T179" s="19"/>
      <c r="U179" s="19"/>
      <c r="V179" s="19"/>
      <c r="W179" s="20"/>
      <c r="X179" s="43"/>
    </row>
    <row r="180" spans="1:24" ht="15.75" hidden="1" customHeight="1" x14ac:dyDescent="0.25">
      <c r="A180" s="16"/>
      <c r="B180" s="16" t="str">
        <f t="shared" si="1"/>
        <v/>
      </c>
      <c r="C180" s="16"/>
      <c r="D180" s="40"/>
      <c r="E180" s="16"/>
      <c r="F180" s="41"/>
      <c r="G180" s="16"/>
      <c r="H180" s="16"/>
      <c r="I180" s="16"/>
      <c r="J180" s="22"/>
      <c r="K180" s="16"/>
      <c r="L180" s="50"/>
      <c r="M180" s="16"/>
      <c r="N180" s="19"/>
      <c r="O180" s="19"/>
      <c r="P180" s="19"/>
      <c r="Q180" s="19"/>
      <c r="R180" s="19"/>
      <c r="S180" s="19"/>
      <c r="T180" s="19"/>
      <c r="U180" s="19"/>
      <c r="V180" s="19"/>
      <c r="W180" s="20"/>
      <c r="X180" s="43"/>
    </row>
    <row r="181" spans="1:24" ht="15.75" hidden="1" customHeight="1" x14ac:dyDescent="0.25">
      <c r="A181" s="16"/>
      <c r="B181" s="16" t="str">
        <f t="shared" si="1"/>
        <v/>
      </c>
      <c r="C181" s="16"/>
      <c r="D181" s="40"/>
      <c r="E181" s="16"/>
      <c r="F181" s="41"/>
      <c r="G181" s="16"/>
      <c r="H181" s="16"/>
      <c r="I181" s="16"/>
      <c r="J181" s="22"/>
      <c r="K181" s="16"/>
      <c r="L181" s="50"/>
      <c r="M181" s="16"/>
      <c r="N181" s="19"/>
      <c r="O181" s="19"/>
      <c r="P181" s="19"/>
      <c r="Q181" s="19"/>
      <c r="R181" s="19"/>
      <c r="S181" s="19"/>
      <c r="T181" s="19"/>
      <c r="U181" s="19"/>
      <c r="V181" s="19"/>
      <c r="W181" s="20"/>
      <c r="X181" s="43"/>
    </row>
    <row r="182" spans="1:24" ht="15.75" hidden="1" customHeight="1" x14ac:dyDescent="0.25">
      <c r="A182" s="16"/>
      <c r="B182" s="16" t="str">
        <f t="shared" si="1"/>
        <v/>
      </c>
      <c r="C182" s="16"/>
      <c r="D182" s="40"/>
      <c r="E182" s="16"/>
      <c r="F182" s="41"/>
      <c r="G182" s="16"/>
      <c r="H182" s="16"/>
      <c r="I182" s="16"/>
      <c r="J182" s="22"/>
      <c r="K182" s="16"/>
      <c r="L182" s="50"/>
      <c r="M182" s="16"/>
      <c r="N182" s="19"/>
      <c r="O182" s="19"/>
      <c r="P182" s="19"/>
      <c r="Q182" s="19"/>
      <c r="R182" s="19"/>
      <c r="S182" s="19"/>
      <c r="T182" s="19"/>
      <c r="U182" s="19"/>
      <c r="V182" s="19"/>
      <c r="W182" s="20"/>
      <c r="X182" s="43"/>
    </row>
    <row r="183" spans="1:24" ht="15.75" hidden="1" customHeight="1" x14ac:dyDescent="0.25">
      <c r="A183" s="16"/>
      <c r="B183" s="16" t="str">
        <f t="shared" si="1"/>
        <v/>
      </c>
      <c r="C183" s="16"/>
      <c r="D183" s="40"/>
      <c r="E183" s="16"/>
      <c r="F183" s="41"/>
      <c r="G183" s="16"/>
      <c r="H183" s="16"/>
      <c r="I183" s="16"/>
      <c r="J183" s="22"/>
      <c r="K183" s="16"/>
      <c r="L183" s="50"/>
      <c r="M183" s="16"/>
      <c r="N183" s="19"/>
      <c r="O183" s="19"/>
      <c r="P183" s="19"/>
      <c r="Q183" s="19"/>
      <c r="R183" s="19"/>
      <c r="S183" s="19"/>
      <c r="T183" s="19"/>
      <c r="U183" s="19"/>
      <c r="V183" s="19"/>
      <c r="W183" s="20"/>
      <c r="X183" s="43"/>
    </row>
    <row r="184" spans="1:24" ht="15.75" hidden="1" customHeight="1" x14ac:dyDescent="0.25">
      <c r="A184" s="16"/>
      <c r="B184" s="16" t="str">
        <f t="shared" si="1"/>
        <v/>
      </c>
      <c r="C184" s="16"/>
      <c r="D184" s="40"/>
      <c r="E184" s="16"/>
      <c r="F184" s="41"/>
      <c r="G184" s="16"/>
      <c r="H184" s="16"/>
      <c r="I184" s="16"/>
      <c r="J184" s="22"/>
      <c r="K184" s="16"/>
      <c r="L184" s="50"/>
      <c r="M184" s="16"/>
      <c r="N184" s="19"/>
      <c r="O184" s="19"/>
      <c r="P184" s="19"/>
      <c r="Q184" s="19"/>
      <c r="R184" s="19"/>
      <c r="S184" s="19"/>
      <c r="T184" s="19"/>
      <c r="U184" s="19"/>
      <c r="V184" s="19"/>
      <c r="W184" s="20"/>
      <c r="X184" s="43"/>
    </row>
    <row r="185" spans="1:24" ht="15.75" hidden="1" customHeight="1" x14ac:dyDescent="0.25">
      <c r="A185" s="16"/>
      <c r="B185" s="16" t="str">
        <f t="shared" si="1"/>
        <v/>
      </c>
      <c r="C185" s="16"/>
      <c r="D185" s="40"/>
      <c r="E185" s="16"/>
      <c r="F185" s="41"/>
      <c r="G185" s="16"/>
      <c r="H185" s="16"/>
      <c r="I185" s="16"/>
      <c r="J185" s="22"/>
      <c r="K185" s="16"/>
      <c r="L185" s="50"/>
      <c r="M185" s="16"/>
      <c r="N185" s="19"/>
      <c r="O185" s="19"/>
      <c r="P185" s="19"/>
      <c r="Q185" s="19"/>
      <c r="R185" s="19"/>
      <c r="S185" s="19"/>
      <c r="T185" s="19"/>
      <c r="U185" s="19"/>
      <c r="V185" s="19"/>
      <c r="W185" s="20"/>
      <c r="X185" s="43"/>
    </row>
    <row r="186" spans="1:24" ht="15.75" hidden="1" customHeight="1" x14ac:dyDescent="0.25">
      <c r="A186" s="16"/>
      <c r="B186" s="16" t="str">
        <f t="shared" si="1"/>
        <v/>
      </c>
      <c r="C186" s="16"/>
      <c r="D186" s="40"/>
      <c r="E186" s="16"/>
      <c r="F186" s="41"/>
      <c r="G186" s="16"/>
      <c r="H186" s="16"/>
      <c r="I186" s="16"/>
      <c r="J186" s="22"/>
      <c r="K186" s="16"/>
      <c r="L186" s="50"/>
      <c r="M186" s="16"/>
      <c r="N186" s="19"/>
      <c r="O186" s="19"/>
      <c r="P186" s="19"/>
      <c r="Q186" s="19"/>
      <c r="R186" s="19"/>
      <c r="S186" s="19"/>
      <c r="T186" s="19"/>
      <c r="U186" s="19"/>
      <c r="V186" s="19"/>
      <c r="W186" s="20"/>
      <c r="X186" s="43"/>
    </row>
    <row r="187" spans="1:24" ht="15.75" hidden="1" customHeight="1" x14ac:dyDescent="0.25">
      <c r="A187" s="16"/>
      <c r="B187" s="16" t="str">
        <f t="shared" si="1"/>
        <v/>
      </c>
      <c r="C187" s="16"/>
      <c r="D187" s="40"/>
      <c r="E187" s="16"/>
      <c r="F187" s="41"/>
      <c r="G187" s="16"/>
      <c r="H187" s="16"/>
      <c r="I187" s="16"/>
      <c r="J187" s="22"/>
      <c r="K187" s="16"/>
      <c r="L187" s="50"/>
      <c r="M187" s="16"/>
      <c r="N187" s="19"/>
      <c r="O187" s="19"/>
      <c r="P187" s="19"/>
      <c r="Q187" s="19"/>
      <c r="R187" s="19"/>
      <c r="S187" s="19"/>
      <c r="T187" s="19"/>
      <c r="U187" s="19"/>
      <c r="V187" s="19"/>
      <c r="W187" s="20"/>
      <c r="X187" s="43"/>
    </row>
    <row r="188" spans="1:24" ht="15.75" hidden="1" customHeight="1" x14ac:dyDescent="0.25">
      <c r="A188" s="16"/>
      <c r="B188" s="16" t="str">
        <f t="shared" si="1"/>
        <v/>
      </c>
      <c r="C188" s="16"/>
      <c r="D188" s="40"/>
      <c r="E188" s="16"/>
      <c r="F188" s="41"/>
      <c r="G188" s="16"/>
      <c r="H188" s="16"/>
      <c r="I188" s="16"/>
      <c r="J188" s="22"/>
      <c r="K188" s="16"/>
      <c r="L188" s="50"/>
      <c r="M188" s="16"/>
      <c r="N188" s="19"/>
      <c r="O188" s="19"/>
      <c r="P188" s="19"/>
      <c r="Q188" s="19"/>
      <c r="R188" s="19"/>
      <c r="S188" s="19"/>
      <c r="T188" s="19"/>
      <c r="U188" s="19"/>
      <c r="V188" s="19"/>
      <c r="W188" s="20"/>
      <c r="X188" s="43"/>
    </row>
    <row r="189" spans="1:24" ht="15.75" hidden="1" customHeight="1" x14ac:dyDescent="0.25">
      <c r="A189" s="16"/>
      <c r="B189" s="16" t="str">
        <f t="shared" si="1"/>
        <v/>
      </c>
      <c r="C189" s="16"/>
      <c r="D189" s="40"/>
      <c r="E189" s="16"/>
      <c r="F189" s="41"/>
      <c r="G189" s="16"/>
      <c r="H189" s="16"/>
      <c r="I189" s="16"/>
      <c r="J189" s="22"/>
      <c r="K189" s="16"/>
      <c r="L189" s="50"/>
      <c r="M189" s="16"/>
      <c r="N189" s="19"/>
      <c r="O189" s="19"/>
      <c r="P189" s="19"/>
      <c r="Q189" s="19"/>
      <c r="R189" s="19"/>
      <c r="S189" s="19"/>
      <c r="T189" s="19"/>
      <c r="U189" s="19"/>
      <c r="V189" s="19"/>
      <c r="W189" s="20"/>
      <c r="X189" s="43"/>
    </row>
    <row r="190" spans="1:24" ht="15.75" hidden="1" customHeight="1" x14ac:dyDescent="0.25">
      <c r="A190" s="16"/>
      <c r="B190" s="16" t="str">
        <f t="shared" si="1"/>
        <v/>
      </c>
      <c r="C190" s="16"/>
      <c r="D190" s="40"/>
      <c r="E190" s="16"/>
      <c r="F190" s="41"/>
      <c r="G190" s="16"/>
      <c r="H190" s="16"/>
      <c r="I190" s="16"/>
      <c r="J190" s="22"/>
      <c r="K190" s="16"/>
      <c r="L190" s="50"/>
      <c r="M190" s="16"/>
      <c r="N190" s="19"/>
      <c r="O190" s="19"/>
      <c r="P190" s="19"/>
      <c r="Q190" s="19"/>
      <c r="R190" s="19"/>
      <c r="S190" s="19"/>
      <c r="T190" s="19"/>
      <c r="U190" s="19"/>
      <c r="V190" s="19"/>
      <c r="W190" s="20"/>
      <c r="X190" s="43"/>
    </row>
    <row r="191" spans="1:24" ht="15.75" hidden="1" customHeight="1" x14ac:dyDescent="0.25">
      <c r="A191" s="16"/>
      <c r="B191" s="16" t="str">
        <f t="shared" si="1"/>
        <v/>
      </c>
      <c r="C191" s="16"/>
      <c r="D191" s="40"/>
      <c r="E191" s="16"/>
      <c r="F191" s="41"/>
      <c r="G191" s="16"/>
      <c r="H191" s="16"/>
      <c r="I191" s="16"/>
      <c r="J191" s="22"/>
      <c r="K191" s="16"/>
      <c r="L191" s="50"/>
      <c r="M191" s="16"/>
      <c r="N191" s="19"/>
      <c r="O191" s="19"/>
      <c r="P191" s="19"/>
      <c r="Q191" s="19"/>
      <c r="R191" s="19"/>
      <c r="S191" s="19"/>
      <c r="T191" s="19"/>
      <c r="U191" s="19"/>
      <c r="V191" s="19"/>
      <c r="W191" s="20"/>
      <c r="X191" s="43"/>
    </row>
    <row r="192" spans="1:24" ht="15.75" hidden="1" customHeight="1" x14ac:dyDescent="0.25">
      <c r="A192" s="16"/>
      <c r="B192" s="16" t="str">
        <f t="shared" si="1"/>
        <v/>
      </c>
      <c r="C192" s="16"/>
      <c r="D192" s="40"/>
      <c r="E192" s="16"/>
      <c r="F192" s="41"/>
      <c r="G192" s="16"/>
      <c r="H192" s="16"/>
      <c r="I192" s="16"/>
      <c r="J192" s="22"/>
      <c r="K192" s="16"/>
      <c r="L192" s="50"/>
      <c r="M192" s="16"/>
      <c r="N192" s="19"/>
      <c r="O192" s="19"/>
      <c r="P192" s="19"/>
      <c r="Q192" s="19"/>
      <c r="R192" s="19"/>
      <c r="S192" s="19"/>
      <c r="T192" s="19"/>
      <c r="U192" s="19"/>
      <c r="V192" s="19"/>
      <c r="W192" s="20"/>
      <c r="X192" s="43"/>
    </row>
    <row r="193" spans="1:24" ht="15.75" hidden="1" customHeight="1" x14ac:dyDescent="0.25">
      <c r="A193" s="16"/>
      <c r="B193" s="16" t="str">
        <f t="shared" si="1"/>
        <v/>
      </c>
      <c r="C193" s="16"/>
      <c r="D193" s="40"/>
      <c r="E193" s="16"/>
      <c r="F193" s="41"/>
      <c r="G193" s="16"/>
      <c r="H193" s="16"/>
      <c r="I193" s="16"/>
      <c r="J193" s="22"/>
      <c r="K193" s="16"/>
      <c r="L193" s="50"/>
      <c r="M193" s="16"/>
      <c r="N193" s="19"/>
      <c r="O193" s="19"/>
      <c r="P193" s="19"/>
      <c r="Q193" s="19"/>
      <c r="R193" s="19"/>
      <c r="S193" s="19"/>
      <c r="T193" s="19"/>
      <c r="U193" s="19"/>
      <c r="V193" s="19"/>
      <c r="W193" s="20"/>
      <c r="X193" s="43"/>
    </row>
    <row r="194" spans="1:24" ht="15.75" hidden="1" customHeight="1" x14ac:dyDescent="0.25">
      <c r="A194" s="16"/>
      <c r="B194" s="16" t="str">
        <f t="shared" si="1"/>
        <v/>
      </c>
      <c r="C194" s="16"/>
      <c r="D194" s="40"/>
      <c r="E194" s="16"/>
      <c r="F194" s="41"/>
      <c r="G194" s="16"/>
      <c r="H194" s="16"/>
      <c r="I194" s="16"/>
      <c r="J194" s="22"/>
      <c r="K194" s="16"/>
      <c r="L194" s="50"/>
      <c r="M194" s="16"/>
      <c r="N194" s="19"/>
      <c r="O194" s="19"/>
      <c r="P194" s="19"/>
      <c r="Q194" s="19"/>
      <c r="R194" s="19"/>
      <c r="S194" s="19"/>
      <c r="T194" s="19"/>
      <c r="U194" s="19"/>
      <c r="V194" s="19"/>
      <c r="W194" s="20"/>
      <c r="X194" s="43"/>
    </row>
    <row r="195" spans="1:24" ht="15.75" hidden="1" customHeight="1" x14ac:dyDescent="0.25">
      <c r="A195" s="16"/>
      <c r="B195" s="16" t="str">
        <f t="shared" si="1"/>
        <v/>
      </c>
      <c r="C195" s="16"/>
      <c r="D195" s="40"/>
      <c r="E195" s="16"/>
      <c r="F195" s="41"/>
      <c r="G195" s="16"/>
      <c r="H195" s="16"/>
      <c r="I195" s="16"/>
      <c r="J195" s="22"/>
      <c r="K195" s="16"/>
      <c r="L195" s="50"/>
      <c r="M195" s="16"/>
      <c r="N195" s="19"/>
      <c r="O195" s="19"/>
      <c r="P195" s="19"/>
      <c r="Q195" s="19"/>
      <c r="R195" s="19"/>
      <c r="S195" s="19"/>
      <c r="T195" s="19"/>
      <c r="U195" s="19"/>
      <c r="V195" s="19"/>
      <c r="W195" s="20"/>
      <c r="X195" s="43"/>
    </row>
    <row r="196" spans="1:24" ht="15.75" hidden="1" customHeight="1" x14ac:dyDescent="0.25">
      <c r="A196" s="16"/>
      <c r="B196" s="16" t="str">
        <f t="shared" si="1"/>
        <v/>
      </c>
      <c r="C196" s="16"/>
      <c r="D196" s="40"/>
      <c r="E196" s="16"/>
      <c r="F196" s="41"/>
      <c r="G196" s="16"/>
      <c r="H196" s="16"/>
      <c r="I196" s="16"/>
      <c r="J196" s="22"/>
      <c r="K196" s="16"/>
      <c r="L196" s="50"/>
      <c r="M196" s="16"/>
      <c r="N196" s="19"/>
      <c r="O196" s="19"/>
      <c r="P196" s="19"/>
      <c r="Q196" s="19"/>
      <c r="R196" s="19"/>
      <c r="S196" s="19"/>
      <c r="T196" s="19"/>
      <c r="U196" s="19"/>
      <c r="V196" s="19"/>
      <c r="W196" s="20"/>
      <c r="X196" s="43"/>
    </row>
    <row r="197" spans="1:24" ht="15.75" hidden="1" customHeight="1" x14ac:dyDescent="0.25">
      <c r="A197" s="16"/>
      <c r="B197" s="16" t="str">
        <f t="shared" si="1"/>
        <v/>
      </c>
      <c r="C197" s="16"/>
      <c r="D197" s="40"/>
      <c r="E197" s="16"/>
      <c r="F197" s="41"/>
      <c r="G197" s="16"/>
      <c r="H197" s="16"/>
      <c r="I197" s="16"/>
      <c r="J197" s="22"/>
      <c r="K197" s="16"/>
      <c r="L197" s="50"/>
      <c r="M197" s="16"/>
      <c r="N197" s="19"/>
      <c r="O197" s="19"/>
      <c r="P197" s="19"/>
      <c r="Q197" s="19"/>
      <c r="R197" s="19"/>
      <c r="S197" s="19"/>
      <c r="T197" s="19"/>
      <c r="U197" s="19"/>
      <c r="V197" s="19"/>
      <c r="W197" s="20"/>
      <c r="X197" s="43"/>
    </row>
    <row r="198" spans="1:24" ht="15.75" hidden="1" customHeight="1" x14ac:dyDescent="0.25">
      <c r="A198" s="16"/>
      <c r="B198" s="16" t="str">
        <f t="shared" si="1"/>
        <v/>
      </c>
      <c r="C198" s="16"/>
      <c r="D198" s="40"/>
      <c r="E198" s="16"/>
      <c r="F198" s="41"/>
      <c r="G198" s="16"/>
      <c r="H198" s="16"/>
      <c r="I198" s="16"/>
      <c r="J198" s="22"/>
      <c r="K198" s="16"/>
      <c r="L198" s="50"/>
      <c r="M198" s="16"/>
      <c r="N198" s="19"/>
      <c r="O198" s="19"/>
      <c r="P198" s="19"/>
      <c r="Q198" s="19"/>
      <c r="R198" s="19"/>
      <c r="S198" s="19"/>
      <c r="T198" s="19"/>
      <c r="U198" s="19"/>
      <c r="V198" s="19"/>
      <c r="W198" s="20"/>
      <c r="X198" s="43"/>
    </row>
    <row r="199" spans="1:24" ht="15.75" hidden="1" customHeight="1" x14ac:dyDescent="0.25">
      <c r="A199" s="16"/>
      <c r="B199" s="16" t="str">
        <f t="shared" si="1"/>
        <v/>
      </c>
      <c r="C199" s="16"/>
      <c r="D199" s="40"/>
      <c r="E199" s="16"/>
      <c r="F199" s="41"/>
      <c r="G199" s="16"/>
      <c r="H199" s="16"/>
      <c r="I199" s="16"/>
      <c r="J199" s="22"/>
      <c r="K199" s="16"/>
      <c r="L199" s="50"/>
      <c r="M199" s="16"/>
      <c r="N199" s="19"/>
      <c r="O199" s="19"/>
      <c r="P199" s="19"/>
      <c r="Q199" s="19"/>
      <c r="R199" s="19"/>
      <c r="S199" s="19"/>
      <c r="T199" s="19"/>
      <c r="U199" s="19"/>
      <c r="V199" s="19"/>
      <c r="W199" s="20"/>
      <c r="X199" s="43"/>
    </row>
    <row r="200" spans="1:24" ht="15.75" hidden="1" customHeight="1" x14ac:dyDescent="0.25">
      <c r="A200" s="16"/>
      <c r="B200" s="16" t="str">
        <f t="shared" si="1"/>
        <v/>
      </c>
      <c r="C200" s="16"/>
      <c r="D200" s="40"/>
      <c r="E200" s="16"/>
      <c r="F200" s="41"/>
      <c r="G200" s="16"/>
      <c r="H200" s="16"/>
      <c r="I200" s="16"/>
      <c r="J200" s="22"/>
      <c r="K200" s="16"/>
      <c r="L200" s="50"/>
      <c r="M200" s="16"/>
      <c r="N200" s="19"/>
      <c r="O200" s="19"/>
      <c r="P200" s="19"/>
      <c r="Q200" s="19"/>
      <c r="R200" s="19"/>
      <c r="S200" s="19"/>
      <c r="T200" s="19"/>
      <c r="U200" s="19"/>
      <c r="V200" s="19"/>
      <c r="W200" s="20"/>
      <c r="X200" s="43"/>
    </row>
    <row r="201" spans="1:24" ht="15.75" hidden="1" customHeight="1" x14ac:dyDescent="0.25">
      <c r="A201" s="16"/>
      <c r="B201" s="16" t="str">
        <f t="shared" si="1"/>
        <v/>
      </c>
      <c r="C201" s="16"/>
      <c r="D201" s="40"/>
      <c r="E201" s="16"/>
      <c r="F201" s="41"/>
      <c r="G201" s="16"/>
      <c r="H201" s="16"/>
      <c r="I201" s="16"/>
      <c r="J201" s="22"/>
      <c r="K201" s="16"/>
      <c r="L201" s="50"/>
      <c r="M201" s="16"/>
      <c r="N201" s="19"/>
      <c r="O201" s="19"/>
      <c r="P201" s="19"/>
      <c r="Q201" s="19"/>
      <c r="R201" s="19"/>
      <c r="S201" s="19"/>
      <c r="T201" s="19"/>
      <c r="U201" s="19"/>
      <c r="V201" s="19"/>
      <c r="W201" s="20"/>
      <c r="X201" s="43"/>
    </row>
    <row r="202" spans="1:24" ht="15.75" hidden="1" customHeight="1" x14ac:dyDescent="0.25">
      <c r="A202" s="16"/>
      <c r="B202" s="16" t="str">
        <f t="shared" si="1"/>
        <v/>
      </c>
      <c r="C202" s="16"/>
      <c r="D202" s="40"/>
      <c r="E202" s="16"/>
      <c r="F202" s="41"/>
      <c r="G202" s="16"/>
      <c r="H202" s="16"/>
      <c r="I202" s="16"/>
      <c r="J202" s="22"/>
      <c r="K202" s="16"/>
      <c r="L202" s="50"/>
      <c r="M202" s="16"/>
      <c r="N202" s="19"/>
      <c r="O202" s="19"/>
      <c r="P202" s="19"/>
      <c r="Q202" s="19"/>
      <c r="R202" s="19"/>
      <c r="S202" s="19"/>
      <c r="T202" s="19"/>
      <c r="U202" s="19"/>
      <c r="V202" s="19"/>
      <c r="W202" s="20"/>
      <c r="X202" s="43"/>
    </row>
    <row r="203" spans="1:24" ht="15.75" hidden="1" customHeight="1" x14ac:dyDescent="0.25">
      <c r="A203" s="16"/>
      <c r="B203" s="16" t="str">
        <f t="shared" si="1"/>
        <v/>
      </c>
      <c r="C203" s="16"/>
      <c r="D203" s="40"/>
      <c r="E203" s="16"/>
      <c r="F203" s="41"/>
      <c r="G203" s="16"/>
      <c r="H203" s="16"/>
      <c r="I203" s="16"/>
      <c r="J203" s="22"/>
      <c r="K203" s="16"/>
      <c r="L203" s="50"/>
      <c r="M203" s="16"/>
      <c r="N203" s="19"/>
      <c r="O203" s="19"/>
      <c r="P203" s="19"/>
      <c r="Q203" s="19"/>
      <c r="R203" s="19"/>
      <c r="S203" s="19"/>
      <c r="T203" s="19"/>
      <c r="U203" s="19"/>
      <c r="V203" s="19"/>
      <c r="W203" s="20"/>
      <c r="X203" s="43"/>
    </row>
    <row r="204" spans="1:24" ht="15.75" hidden="1" customHeight="1" x14ac:dyDescent="0.25">
      <c r="A204" s="16"/>
      <c r="B204" s="16" t="str">
        <f t="shared" si="1"/>
        <v/>
      </c>
      <c r="C204" s="16"/>
      <c r="D204" s="40"/>
      <c r="E204" s="16"/>
      <c r="F204" s="41"/>
      <c r="G204" s="16"/>
      <c r="H204" s="16"/>
      <c r="I204" s="16"/>
      <c r="J204" s="22"/>
      <c r="K204" s="16"/>
      <c r="L204" s="50"/>
      <c r="M204" s="16"/>
      <c r="N204" s="19"/>
      <c r="O204" s="19"/>
      <c r="P204" s="19"/>
      <c r="Q204" s="19"/>
      <c r="R204" s="19"/>
      <c r="S204" s="19"/>
      <c r="T204" s="19"/>
      <c r="U204" s="19"/>
      <c r="V204" s="19"/>
      <c r="W204" s="20"/>
      <c r="X204" s="43"/>
    </row>
    <row r="205" spans="1:24" ht="15.75" hidden="1" customHeight="1" x14ac:dyDescent="0.25">
      <c r="A205" s="16"/>
      <c r="B205" s="16" t="str">
        <f t="shared" si="1"/>
        <v/>
      </c>
      <c r="C205" s="16"/>
      <c r="D205" s="40"/>
      <c r="E205" s="16"/>
      <c r="F205" s="41"/>
      <c r="G205" s="16"/>
      <c r="H205" s="16"/>
      <c r="I205" s="16"/>
      <c r="J205" s="22"/>
      <c r="K205" s="16"/>
      <c r="L205" s="50"/>
      <c r="M205" s="16"/>
      <c r="N205" s="19"/>
      <c r="O205" s="19"/>
      <c r="P205" s="19"/>
      <c r="Q205" s="19"/>
      <c r="R205" s="19"/>
      <c r="S205" s="19"/>
      <c r="T205" s="19"/>
      <c r="U205" s="19"/>
      <c r="V205" s="19"/>
      <c r="W205" s="20"/>
      <c r="X205" s="43"/>
    </row>
    <row r="206" spans="1:24" ht="15.75" hidden="1" customHeight="1" x14ac:dyDescent="0.25">
      <c r="A206" s="16"/>
      <c r="B206" s="16" t="str">
        <f t="shared" si="1"/>
        <v/>
      </c>
      <c r="C206" s="16"/>
      <c r="D206" s="40"/>
      <c r="E206" s="16"/>
      <c r="F206" s="41"/>
      <c r="G206" s="16"/>
      <c r="H206" s="16"/>
      <c r="I206" s="16"/>
      <c r="J206" s="22"/>
      <c r="K206" s="16"/>
      <c r="L206" s="50"/>
      <c r="M206" s="16"/>
      <c r="N206" s="19"/>
      <c r="O206" s="19"/>
      <c r="P206" s="19"/>
      <c r="Q206" s="19"/>
      <c r="R206" s="19"/>
      <c r="S206" s="19"/>
      <c r="T206" s="19"/>
      <c r="U206" s="19"/>
      <c r="V206" s="19"/>
      <c r="W206" s="20"/>
      <c r="X206" s="43"/>
    </row>
    <row r="207" spans="1:24" ht="15.75" hidden="1" customHeight="1" x14ac:dyDescent="0.25">
      <c r="A207" s="16"/>
      <c r="B207" s="16" t="str">
        <f t="shared" si="1"/>
        <v/>
      </c>
      <c r="C207" s="16"/>
      <c r="D207" s="40"/>
      <c r="E207" s="16"/>
      <c r="F207" s="41"/>
      <c r="G207" s="16"/>
      <c r="H207" s="16"/>
      <c r="I207" s="16"/>
      <c r="J207" s="22"/>
      <c r="K207" s="16"/>
      <c r="L207" s="50"/>
      <c r="M207" s="16"/>
      <c r="N207" s="19"/>
      <c r="O207" s="19"/>
      <c r="P207" s="19"/>
      <c r="Q207" s="19"/>
      <c r="R207" s="19"/>
      <c r="S207" s="19"/>
      <c r="T207" s="19"/>
      <c r="U207" s="19"/>
      <c r="V207" s="19"/>
      <c r="W207" s="20"/>
      <c r="X207" s="43"/>
    </row>
    <row r="208" spans="1:24" ht="15.75" hidden="1" customHeight="1" x14ac:dyDescent="0.25">
      <c r="A208" s="16"/>
      <c r="B208" s="16" t="str">
        <f t="shared" si="1"/>
        <v/>
      </c>
      <c r="C208" s="16"/>
      <c r="D208" s="40"/>
      <c r="E208" s="16"/>
      <c r="F208" s="41"/>
      <c r="G208" s="16"/>
      <c r="H208" s="16"/>
      <c r="I208" s="16"/>
      <c r="J208" s="22"/>
      <c r="K208" s="16"/>
      <c r="L208" s="50"/>
      <c r="M208" s="16"/>
      <c r="N208" s="19"/>
      <c r="O208" s="19"/>
      <c r="P208" s="19"/>
      <c r="Q208" s="19"/>
      <c r="R208" s="19"/>
      <c r="S208" s="19"/>
      <c r="T208" s="19"/>
      <c r="U208" s="19"/>
      <c r="V208" s="19"/>
      <c r="W208" s="20"/>
      <c r="X208" s="43"/>
    </row>
    <row r="209" spans="1:24" ht="15.75" hidden="1" customHeight="1" x14ac:dyDescent="0.25">
      <c r="A209" s="16"/>
      <c r="B209" s="16" t="str">
        <f t="shared" si="1"/>
        <v/>
      </c>
      <c r="C209" s="16"/>
      <c r="D209" s="40"/>
      <c r="E209" s="16"/>
      <c r="F209" s="41"/>
      <c r="G209" s="16"/>
      <c r="H209" s="16"/>
      <c r="I209" s="16"/>
      <c r="J209" s="22"/>
      <c r="K209" s="16"/>
      <c r="L209" s="50"/>
      <c r="M209" s="16"/>
      <c r="N209" s="19"/>
      <c r="O209" s="19"/>
      <c r="P209" s="19"/>
      <c r="Q209" s="19"/>
      <c r="R209" s="19"/>
      <c r="S209" s="19"/>
      <c r="T209" s="19"/>
      <c r="U209" s="19"/>
      <c r="V209" s="19"/>
      <c r="W209" s="20"/>
      <c r="X209" s="43"/>
    </row>
    <row r="210" spans="1:24" ht="15.75" hidden="1" customHeight="1" x14ac:dyDescent="0.25">
      <c r="A210" s="16"/>
      <c r="B210" s="16" t="str">
        <f t="shared" si="1"/>
        <v/>
      </c>
      <c r="C210" s="16"/>
      <c r="D210" s="40"/>
      <c r="E210" s="16"/>
      <c r="F210" s="41"/>
      <c r="G210" s="16"/>
      <c r="H210" s="16"/>
      <c r="I210" s="16"/>
      <c r="J210" s="22"/>
      <c r="K210" s="16"/>
      <c r="L210" s="50"/>
      <c r="M210" s="16"/>
      <c r="N210" s="19"/>
      <c r="O210" s="19"/>
      <c r="P210" s="19"/>
      <c r="Q210" s="19"/>
      <c r="R210" s="19"/>
      <c r="S210" s="19"/>
      <c r="T210" s="19"/>
      <c r="U210" s="19"/>
      <c r="V210" s="19"/>
      <c r="W210" s="20"/>
      <c r="X210" s="43"/>
    </row>
    <row r="211" spans="1:24" ht="15.75" hidden="1" customHeight="1" x14ac:dyDescent="0.25">
      <c r="A211" s="16"/>
      <c r="B211" s="16" t="str">
        <f t="shared" si="1"/>
        <v/>
      </c>
      <c r="C211" s="16"/>
      <c r="D211" s="40"/>
      <c r="E211" s="16"/>
      <c r="F211" s="41"/>
      <c r="G211" s="16"/>
      <c r="H211" s="16"/>
      <c r="I211" s="16"/>
      <c r="J211" s="22"/>
      <c r="K211" s="16"/>
      <c r="L211" s="50"/>
      <c r="M211" s="16"/>
      <c r="N211" s="19"/>
      <c r="O211" s="19"/>
      <c r="P211" s="19"/>
      <c r="Q211" s="19"/>
      <c r="R211" s="19"/>
      <c r="S211" s="19"/>
      <c r="T211" s="19"/>
      <c r="U211" s="19"/>
      <c r="V211" s="19"/>
      <c r="W211" s="20"/>
      <c r="X211" s="43"/>
    </row>
    <row r="212" spans="1:24" ht="15.75" hidden="1" customHeight="1" x14ac:dyDescent="0.25">
      <c r="A212" s="16"/>
      <c r="B212" s="16" t="str">
        <f t="shared" si="1"/>
        <v/>
      </c>
      <c r="C212" s="16"/>
      <c r="D212" s="40"/>
      <c r="E212" s="16"/>
      <c r="F212" s="41"/>
      <c r="G212" s="16"/>
      <c r="H212" s="16"/>
      <c r="I212" s="16"/>
      <c r="J212" s="22"/>
      <c r="K212" s="16"/>
      <c r="L212" s="50"/>
      <c r="M212" s="16"/>
      <c r="N212" s="19"/>
      <c r="O212" s="19"/>
      <c r="P212" s="19"/>
      <c r="Q212" s="19"/>
      <c r="R212" s="19"/>
      <c r="S212" s="19"/>
      <c r="T212" s="19"/>
      <c r="U212" s="19"/>
      <c r="V212" s="19"/>
      <c r="W212" s="20"/>
      <c r="X212" s="43"/>
    </row>
    <row r="213" spans="1:24" ht="15.75" hidden="1" customHeight="1" x14ac:dyDescent="0.25">
      <c r="A213" s="16"/>
      <c r="B213" s="16" t="str">
        <f t="shared" si="1"/>
        <v/>
      </c>
      <c r="C213" s="16"/>
      <c r="D213" s="40"/>
      <c r="E213" s="16"/>
      <c r="F213" s="41"/>
      <c r="G213" s="16"/>
      <c r="H213" s="16"/>
      <c r="I213" s="16"/>
      <c r="J213" s="22"/>
      <c r="K213" s="16"/>
      <c r="L213" s="50"/>
      <c r="M213" s="16"/>
      <c r="N213" s="19"/>
      <c r="O213" s="19"/>
      <c r="P213" s="19"/>
      <c r="Q213" s="19"/>
      <c r="R213" s="19"/>
      <c r="S213" s="19"/>
      <c r="T213" s="19"/>
      <c r="U213" s="19"/>
      <c r="V213" s="19"/>
      <c r="W213" s="20"/>
      <c r="X213" s="43"/>
    </row>
    <row r="214" spans="1:24" ht="15.75" hidden="1" customHeight="1" x14ac:dyDescent="0.25">
      <c r="A214" s="16"/>
      <c r="B214" s="16" t="str">
        <f t="shared" si="1"/>
        <v/>
      </c>
      <c r="C214" s="16"/>
      <c r="D214" s="40"/>
      <c r="E214" s="16"/>
      <c r="F214" s="41"/>
      <c r="G214" s="16"/>
      <c r="H214" s="16"/>
      <c r="I214" s="16"/>
      <c r="J214" s="22"/>
      <c r="K214" s="16"/>
      <c r="L214" s="50"/>
      <c r="M214" s="16"/>
      <c r="N214" s="19"/>
      <c r="O214" s="19"/>
      <c r="P214" s="19"/>
      <c r="Q214" s="19"/>
      <c r="R214" s="19"/>
      <c r="S214" s="19"/>
      <c r="T214" s="19"/>
      <c r="U214" s="19"/>
      <c r="V214" s="19"/>
      <c r="W214" s="20"/>
      <c r="X214" s="43"/>
    </row>
    <row r="215" spans="1:24" ht="15.75" hidden="1" customHeight="1" x14ac:dyDescent="0.25">
      <c r="A215" s="16"/>
      <c r="B215" s="16" t="str">
        <f t="shared" si="1"/>
        <v/>
      </c>
      <c r="C215" s="16"/>
      <c r="D215" s="40"/>
      <c r="E215" s="16"/>
      <c r="F215" s="41"/>
      <c r="G215" s="16"/>
      <c r="H215" s="16"/>
      <c r="I215" s="16"/>
      <c r="J215" s="22"/>
      <c r="K215" s="16"/>
      <c r="L215" s="50"/>
      <c r="M215" s="16"/>
      <c r="N215" s="19"/>
      <c r="O215" s="19"/>
      <c r="P215" s="19"/>
      <c r="Q215" s="19"/>
      <c r="R215" s="19"/>
      <c r="S215" s="19"/>
      <c r="T215" s="19"/>
      <c r="U215" s="19"/>
      <c r="V215" s="19"/>
      <c r="W215" s="20"/>
      <c r="X215" s="43"/>
    </row>
    <row r="216" spans="1:24" ht="15.75" hidden="1" customHeight="1" x14ac:dyDescent="0.25">
      <c r="A216" s="16"/>
      <c r="B216" s="16" t="str">
        <f t="shared" si="1"/>
        <v/>
      </c>
      <c r="C216" s="16"/>
      <c r="D216" s="40"/>
      <c r="E216" s="16"/>
      <c r="F216" s="41"/>
      <c r="G216" s="16"/>
      <c r="H216" s="16"/>
      <c r="I216" s="16"/>
      <c r="J216" s="22"/>
      <c r="K216" s="16"/>
      <c r="L216" s="50"/>
      <c r="M216" s="16"/>
      <c r="N216" s="19"/>
      <c r="O216" s="19"/>
      <c r="P216" s="19"/>
      <c r="Q216" s="19"/>
      <c r="R216" s="19"/>
      <c r="S216" s="19"/>
      <c r="T216" s="19"/>
      <c r="U216" s="19"/>
      <c r="V216" s="19"/>
      <c r="W216" s="20"/>
      <c r="X216" s="43"/>
    </row>
    <row r="217" spans="1:24" ht="15.75" hidden="1" customHeight="1" x14ac:dyDescent="0.25">
      <c r="A217" s="16"/>
      <c r="B217" s="16" t="str">
        <f t="shared" si="1"/>
        <v/>
      </c>
      <c r="C217" s="16"/>
      <c r="D217" s="40"/>
      <c r="E217" s="16"/>
      <c r="F217" s="41"/>
      <c r="G217" s="16"/>
      <c r="H217" s="16"/>
      <c r="I217" s="16"/>
      <c r="J217" s="22"/>
      <c r="K217" s="16"/>
      <c r="L217" s="50"/>
      <c r="M217" s="16"/>
      <c r="N217" s="19"/>
      <c r="O217" s="19"/>
      <c r="P217" s="19"/>
      <c r="Q217" s="19"/>
      <c r="R217" s="19"/>
      <c r="S217" s="19"/>
      <c r="T217" s="19"/>
      <c r="U217" s="19"/>
      <c r="V217" s="19"/>
      <c r="W217" s="20"/>
      <c r="X217" s="43"/>
    </row>
    <row r="218" spans="1:24" ht="15.75" hidden="1" customHeight="1" x14ac:dyDescent="0.25">
      <c r="A218" s="16"/>
      <c r="B218" s="16" t="str">
        <f t="shared" si="1"/>
        <v/>
      </c>
      <c r="C218" s="16"/>
      <c r="D218" s="40"/>
      <c r="E218" s="16"/>
      <c r="F218" s="41"/>
      <c r="G218" s="16"/>
      <c r="H218" s="16"/>
      <c r="I218" s="16"/>
      <c r="J218" s="22"/>
      <c r="K218" s="16"/>
      <c r="L218" s="50"/>
      <c r="M218" s="16"/>
      <c r="N218" s="19"/>
      <c r="O218" s="19"/>
      <c r="P218" s="19"/>
      <c r="Q218" s="19"/>
      <c r="R218" s="19"/>
      <c r="S218" s="19"/>
      <c r="T218" s="19"/>
      <c r="U218" s="19"/>
      <c r="V218" s="19"/>
      <c r="W218" s="20"/>
      <c r="X218" s="43"/>
    </row>
    <row r="219" spans="1:24" ht="15.75" hidden="1" customHeight="1" x14ac:dyDescent="0.25">
      <c r="A219" s="16"/>
      <c r="B219" s="16" t="str">
        <f t="shared" si="1"/>
        <v/>
      </c>
      <c r="C219" s="16"/>
      <c r="D219" s="40"/>
      <c r="E219" s="16"/>
      <c r="F219" s="41"/>
      <c r="G219" s="16"/>
      <c r="H219" s="16"/>
      <c r="I219" s="16"/>
      <c r="J219" s="22"/>
      <c r="K219" s="16"/>
      <c r="L219" s="50"/>
      <c r="M219" s="16"/>
      <c r="N219" s="19"/>
      <c r="O219" s="19"/>
      <c r="P219" s="19"/>
      <c r="Q219" s="19"/>
      <c r="R219" s="19"/>
      <c r="S219" s="19"/>
      <c r="T219" s="19"/>
      <c r="U219" s="19"/>
      <c r="V219" s="19"/>
      <c r="W219" s="20"/>
      <c r="X219" s="43"/>
    </row>
    <row r="220" spans="1:24" ht="15.75" hidden="1" customHeight="1" x14ac:dyDescent="0.25">
      <c r="A220" s="16"/>
      <c r="B220" s="16" t="str">
        <f t="shared" si="1"/>
        <v/>
      </c>
      <c r="C220" s="16"/>
      <c r="D220" s="40"/>
      <c r="E220" s="16"/>
      <c r="F220" s="41"/>
      <c r="G220" s="16"/>
      <c r="H220" s="16"/>
      <c r="I220" s="16"/>
      <c r="J220" s="22"/>
      <c r="K220" s="16"/>
      <c r="L220" s="50"/>
      <c r="M220" s="16"/>
      <c r="N220" s="19"/>
      <c r="O220" s="19"/>
      <c r="P220" s="19"/>
      <c r="Q220" s="19"/>
      <c r="R220" s="19"/>
      <c r="S220" s="19"/>
      <c r="T220" s="19"/>
      <c r="U220" s="19"/>
      <c r="V220" s="19"/>
      <c r="W220" s="20"/>
      <c r="X220" s="43"/>
    </row>
    <row r="221" spans="1:24" ht="15.75" hidden="1" customHeight="1" x14ac:dyDescent="0.25">
      <c r="A221" s="16"/>
      <c r="B221" s="16" t="str">
        <f t="shared" si="1"/>
        <v/>
      </c>
      <c r="C221" s="16"/>
      <c r="D221" s="40"/>
      <c r="E221" s="16"/>
      <c r="F221" s="41"/>
      <c r="G221" s="16"/>
      <c r="H221" s="16"/>
      <c r="I221" s="16"/>
      <c r="J221" s="22"/>
      <c r="K221" s="16"/>
      <c r="L221" s="50"/>
      <c r="M221" s="16"/>
      <c r="N221" s="19"/>
      <c r="O221" s="19"/>
      <c r="P221" s="19"/>
      <c r="Q221" s="19"/>
      <c r="R221" s="19"/>
      <c r="S221" s="19"/>
      <c r="T221" s="19"/>
      <c r="U221" s="19"/>
      <c r="V221" s="19"/>
      <c r="W221" s="20"/>
      <c r="X221" s="43"/>
    </row>
    <row r="222" spans="1:24" ht="15.75" hidden="1" customHeight="1" x14ac:dyDescent="0.25">
      <c r="A222" s="16"/>
      <c r="B222" s="16" t="str">
        <f t="shared" si="1"/>
        <v/>
      </c>
      <c r="C222" s="16"/>
      <c r="D222" s="40"/>
      <c r="E222" s="16"/>
      <c r="F222" s="41"/>
      <c r="G222" s="16"/>
      <c r="H222" s="16"/>
      <c r="I222" s="16"/>
      <c r="J222" s="22"/>
      <c r="K222" s="16"/>
      <c r="L222" s="50"/>
      <c r="M222" s="16"/>
      <c r="N222" s="19"/>
      <c r="O222" s="19"/>
      <c r="P222" s="19"/>
      <c r="Q222" s="19"/>
      <c r="R222" s="19"/>
      <c r="S222" s="19"/>
      <c r="T222" s="19"/>
      <c r="U222" s="19"/>
      <c r="V222" s="19"/>
      <c r="W222" s="20"/>
      <c r="X222" s="43"/>
    </row>
    <row r="223" spans="1:24" ht="15.75" hidden="1" customHeight="1" x14ac:dyDescent="0.25">
      <c r="A223" s="16"/>
      <c r="B223" s="16" t="str">
        <f t="shared" si="1"/>
        <v/>
      </c>
      <c r="C223" s="16"/>
      <c r="D223" s="40"/>
      <c r="E223" s="16"/>
      <c r="F223" s="41"/>
      <c r="G223" s="16"/>
      <c r="H223" s="16"/>
      <c r="I223" s="16"/>
      <c r="J223" s="22"/>
      <c r="K223" s="16"/>
      <c r="L223" s="50"/>
      <c r="M223" s="16"/>
      <c r="N223" s="19"/>
      <c r="O223" s="19"/>
      <c r="P223" s="19"/>
      <c r="Q223" s="19"/>
      <c r="R223" s="19"/>
      <c r="S223" s="19"/>
      <c r="T223" s="19"/>
      <c r="U223" s="19"/>
      <c r="V223" s="19"/>
      <c r="W223" s="20"/>
      <c r="X223" s="43"/>
    </row>
    <row r="224" spans="1:24" ht="15.75" hidden="1" customHeight="1" x14ac:dyDescent="0.25">
      <c r="A224" s="16"/>
      <c r="B224" s="16" t="str">
        <f t="shared" si="1"/>
        <v/>
      </c>
      <c r="C224" s="16"/>
      <c r="D224" s="40"/>
      <c r="E224" s="16"/>
      <c r="F224" s="41"/>
      <c r="G224" s="16"/>
      <c r="H224" s="16"/>
      <c r="I224" s="16"/>
      <c r="J224" s="22"/>
      <c r="K224" s="16"/>
      <c r="L224" s="50"/>
      <c r="M224" s="16"/>
      <c r="N224" s="19"/>
      <c r="O224" s="19"/>
      <c r="P224" s="19"/>
      <c r="Q224" s="19"/>
      <c r="R224" s="19"/>
      <c r="S224" s="19"/>
      <c r="T224" s="19"/>
      <c r="U224" s="19"/>
      <c r="V224" s="19"/>
      <c r="W224" s="20"/>
      <c r="X224" s="43"/>
    </row>
    <row r="225" spans="1:24" ht="15.75" hidden="1" customHeight="1" x14ac:dyDescent="0.25">
      <c r="A225" s="16"/>
      <c r="B225" s="16" t="str">
        <f t="shared" si="1"/>
        <v/>
      </c>
      <c r="C225" s="16"/>
      <c r="D225" s="40"/>
      <c r="E225" s="16"/>
      <c r="F225" s="41"/>
      <c r="G225" s="16"/>
      <c r="H225" s="16"/>
      <c r="I225" s="16"/>
      <c r="J225" s="22"/>
      <c r="K225" s="16"/>
      <c r="L225" s="50"/>
      <c r="M225" s="16"/>
      <c r="N225" s="19"/>
      <c r="O225" s="19"/>
      <c r="P225" s="19"/>
      <c r="Q225" s="19"/>
      <c r="R225" s="19"/>
      <c r="S225" s="19"/>
      <c r="T225" s="19"/>
      <c r="U225" s="19"/>
      <c r="V225" s="19"/>
      <c r="W225" s="20"/>
      <c r="X225" s="43"/>
    </row>
    <row r="226" spans="1:24" ht="15.75" hidden="1" customHeight="1" x14ac:dyDescent="0.25">
      <c r="A226" s="16"/>
      <c r="B226" s="16" t="str">
        <f t="shared" si="1"/>
        <v/>
      </c>
      <c r="C226" s="16"/>
      <c r="D226" s="40"/>
      <c r="E226" s="16"/>
      <c r="F226" s="41"/>
      <c r="G226" s="16"/>
      <c r="H226" s="16"/>
      <c r="I226" s="16"/>
      <c r="J226" s="22"/>
      <c r="K226" s="16"/>
      <c r="L226" s="50"/>
      <c r="M226" s="16"/>
      <c r="N226" s="19"/>
      <c r="O226" s="19"/>
      <c r="P226" s="19"/>
      <c r="Q226" s="19"/>
      <c r="R226" s="19"/>
      <c r="S226" s="19"/>
      <c r="T226" s="19"/>
      <c r="U226" s="19"/>
      <c r="V226" s="19"/>
      <c r="W226" s="20"/>
      <c r="X226" s="43"/>
    </row>
    <row r="227" spans="1:24" ht="15.75" hidden="1" customHeight="1" x14ac:dyDescent="0.25">
      <c r="A227" s="16"/>
      <c r="B227" s="16" t="str">
        <f t="shared" si="1"/>
        <v/>
      </c>
      <c r="C227" s="16"/>
      <c r="D227" s="40"/>
      <c r="E227" s="16"/>
      <c r="F227" s="41"/>
      <c r="G227" s="16"/>
      <c r="H227" s="16"/>
      <c r="I227" s="16"/>
      <c r="J227" s="22"/>
      <c r="K227" s="16"/>
      <c r="L227" s="50"/>
      <c r="M227" s="16"/>
      <c r="N227" s="19"/>
      <c r="O227" s="19"/>
      <c r="P227" s="19"/>
      <c r="Q227" s="19"/>
      <c r="R227" s="19"/>
      <c r="S227" s="19"/>
      <c r="T227" s="19"/>
      <c r="U227" s="19"/>
      <c r="V227" s="19"/>
      <c r="W227" s="20"/>
      <c r="X227" s="43"/>
    </row>
    <row r="228" spans="1:24" ht="15.75" hidden="1" customHeight="1" x14ac:dyDescent="0.25">
      <c r="A228" s="16"/>
      <c r="B228" s="16" t="str">
        <f t="shared" si="1"/>
        <v/>
      </c>
      <c r="C228" s="16"/>
      <c r="D228" s="40"/>
      <c r="E228" s="16"/>
      <c r="F228" s="41"/>
      <c r="G228" s="16"/>
      <c r="H228" s="16"/>
      <c r="I228" s="16"/>
      <c r="J228" s="22"/>
      <c r="K228" s="16"/>
      <c r="L228" s="50"/>
      <c r="M228" s="16"/>
      <c r="N228" s="19"/>
      <c r="O228" s="19"/>
      <c r="P228" s="19"/>
      <c r="Q228" s="19"/>
      <c r="R228" s="19"/>
      <c r="S228" s="19"/>
      <c r="T228" s="19"/>
      <c r="U228" s="19"/>
      <c r="V228" s="19"/>
      <c r="W228" s="20"/>
      <c r="X228" s="43"/>
    </row>
    <row r="229" spans="1:24" ht="15.75" hidden="1" customHeight="1" x14ac:dyDescent="0.25">
      <c r="A229" s="16"/>
      <c r="B229" s="16" t="str">
        <f t="shared" si="1"/>
        <v/>
      </c>
      <c r="C229" s="16"/>
      <c r="D229" s="40"/>
      <c r="E229" s="16"/>
      <c r="F229" s="41"/>
      <c r="G229" s="16"/>
      <c r="H229" s="16"/>
      <c r="I229" s="16"/>
      <c r="J229" s="22"/>
      <c r="K229" s="16"/>
      <c r="L229" s="50"/>
      <c r="M229" s="16"/>
      <c r="N229" s="19"/>
      <c r="O229" s="19"/>
      <c r="P229" s="19"/>
      <c r="Q229" s="19"/>
      <c r="R229" s="19"/>
      <c r="S229" s="19"/>
      <c r="T229" s="19"/>
      <c r="U229" s="19"/>
      <c r="V229" s="19"/>
      <c r="W229" s="20"/>
      <c r="X229" s="43"/>
    </row>
    <row r="230" spans="1:24" ht="15.75" hidden="1" customHeight="1" x14ac:dyDescent="0.25">
      <c r="A230" s="16"/>
      <c r="B230" s="16" t="str">
        <f t="shared" si="1"/>
        <v/>
      </c>
      <c r="C230" s="16"/>
      <c r="D230" s="40"/>
      <c r="E230" s="16"/>
      <c r="F230" s="41"/>
      <c r="G230" s="16"/>
      <c r="H230" s="16"/>
      <c r="I230" s="16"/>
      <c r="J230" s="22"/>
      <c r="K230" s="16"/>
      <c r="L230" s="50"/>
      <c r="M230" s="16"/>
      <c r="N230" s="19"/>
      <c r="O230" s="19"/>
      <c r="P230" s="19"/>
      <c r="Q230" s="19"/>
      <c r="R230" s="19"/>
      <c r="S230" s="19"/>
      <c r="T230" s="19"/>
      <c r="U230" s="19"/>
      <c r="V230" s="19"/>
      <c r="W230" s="20"/>
      <c r="X230" s="43"/>
    </row>
    <row r="231" spans="1:24" ht="15.75" hidden="1" customHeight="1" x14ac:dyDescent="0.25">
      <c r="A231" s="16"/>
      <c r="B231" s="16" t="str">
        <f t="shared" si="1"/>
        <v/>
      </c>
      <c r="C231" s="16"/>
      <c r="D231" s="40"/>
      <c r="E231" s="16"/>
      <c r="F231" s="41"/>
      <c r="G231" s="16"/>
      <c r="H231" s="16"/>
      <c r="I231" s="16"/>
      <c r="J231" s="22"/>
      <c r="K231" s="16"/>
      <c r="L231" s="50"/>
      <c r="M231" s="16"/>
      <c r="N231" s="19"/>
      <c r="O231" s="19"/>
      <c r="P231" s="19"/>
      <c r="Q231" s="19"/>
      <c r="R231" s="19"/>
      <c r="S231" s="19"/>
      <c r="T231" s="19"/>
      <c r="U231" s="19"/>
      <c r="V231" s="19"/>
      <c r="W231" s="20"/>
      <c r="X231" s="43"/>
    </row>
    <row r="232" spans="1:24" ht="15.75" hidden="1" customHeight="1" x14ac:dyDescent="0.25">
      <c r="A232" s="16"/>
      <c r="B232" s="16" t="str">
        <f t="shared" si="1"/>
        <v/>
      </c>
      <c r="C232" s="16"/>
      <c r="D232" s="40"/>
      <c r="E232" s="16"/>
      <c r="F232" s="41"/>
      <c r="G232" s="16"/>
      <c r="H232" s="16"/>
      <c r="I232" s="16"/>
      <c r="J232" s="22"/>
      <c r="K232" s="16"/>
      <c r="L232" s="50"/>
      <c r="M232" s="16"/>
      <c r="N232" s="19"/>
      <c r="O232" s="19"/>
      <c r="P232" s="19"/>
      <c r="Q232" s="19"/>
      <c r="R232" s="19"/>
      <c r="S232" s="19"/>
      <c r="T232" s="19"/>
      <c r="U232" s="19"/>
      <c r="V232" s="19"/>
      <c r="W232" s="20"/>
      <c r="X232" s="43"/>
    </row>
    <row r="233" spans="1:24" ht="15.75" hidden="1" customHeight="1" x14ac:dyDescent="0.25">
      <c r="A233" s="16"/>
      <c r="B233" s="16" t="str">
        <f t="shared" si="1"/>
        <v/>
      </c>
      <c r="C233" s="16"/>
      <c r="D233" s="40"/>
      <c r="E233" s="16"/>
      <c r="F233" s="41"/>
      <c r="G233" s="16"/>
      <c r="H233" s="16"/>
      <c r="I233" s="16"/>
      <c r="J233" s="22"/>
      <c r="K233" s="16"/>
      <c r="L233" s="50"/>
      <c r="M233" s="16"/>
      <c r="N233" s="19"/>
      <c r="O233" s="19"/>
      <c r="P233" s="19"/>
      <c r="Q233" s="19"/>
      <c r="R233" s="19"/>
      <c r="S233" s="19"/>
      <c r="T233" s="19"/>
      <c r="U233" s="19"/>
      <c r="V233" s="19"/>
      <c r="W233" s="20"/>
      <c r="X233" s="43"/>
    </row>
    <row r="234" spans="1:24" ht="15.75" hidden="1" customHeight="1" x14ac:dyDescent="0.25">
      <c r="A234" s="16"/>
      <c r="B234" s="16" t="str">
        <f t="shared" si="1"/>
        <v/>
      </c>
      <c r="C234" s="16"/>
      <c r="D234" s="40"/>
      <c r="E234" s="16"/>
      <c r="F234" s="41"/>
      <c r="G234" s="16"/>
      <c r="H234" s="16"/>
      <c r="I234" s="16"/>
      <c r="J234" s="22"/>
      <c r="K234" s="16"/>
      <c r="L234" s="50"/>
      <c r="M234" s="16"/>
      <c r="N234" s="19"/>
      <c r="O234" s="19"/>
      <c r="P234" s="19"/>
      <c r="Q234" s="19"/>
      <c r="R234" s="19"/>
      <c r="S234" s="19"/>
      <c r="T234" s="19"/>
      <c r="U234" s="19"/>
      <c r="V234" s="19"/>
      <c r="W234" s="20"/>
      <c r="X234" s="43"/>
    </row>
    <row r="235" spans="1:24" ht="15.75" hidden="1" customHeight="1" x14ac:dyDescent="0.25">
      <c r="A235" s="16"/>
      <c r="B235" s="16" t="str">
        <f t="shared" si="1"/>
        <v/>
      </c>
      <c r="C235" s="16"/>
      <c r="D235" s="40"/>
      <c r="E235" s="16"/>
      <c r="F235" s="41"/>
      <c r="G235" s="16"/>
      <c r="H235" s="16"/>
      <c r="I235" s="16"/>
      <c r="J235" s="22"/>
      <c r="K235" s="16"/>
      <c r="L235" s="50"/>
      <c r="M235" s="16"/>
      <c r="N235" s="19"/>
      <c r="O235" s="19"/>
      <c r="P235" s="19"/>
      <c r="Q235" s="19"/>
      <c r="R235" s="19"/>
      <c r="S235" s="19"/>
      <c r="T235" s="19"/>
      <c r="U235" s="19"/>
      <c r="V235" s="19"/>
      <c r="W235" s="20"/>
      <c r="X235" s="43"/>
    </row>
    <row r="236" spans="1:24" ht="15.75" hidden="1" customHeight="1" x14ac:dyDescent="0.25">
      <c r="A236" s="16"/>
      <c r="B236" s="16" t="str">
        <f t="shared" si="1"/>
        <v/>
      </c>
      <c r="C236" s="16"/>
      <c r="D236" s="40"/>
      <c r="E236" s="16"/>
      <c r="F236" s="41"/>
      <c r="G236" s="16"/>
      <c r="H236" s="16"/>
      <c r="I236" s="16"/>
      <c r="J236" s="22"/>
      <c r="K236" s="16"/>
      <c r="L236" s="50"/>
      <c r="M236" s="16"/>
      <c r="N236" s="19"/>
      <c r="O236" s="19"/>
      <c r="P236" s="19"/>
      <c r="Q236" s="19"/>
      <c r="R236" s="19"/>
      <c r="S236" s="19"/>
      <c r="T236" s="19"/>
      <c r="U236" s="19"/>
      <c r="V236" s="19"/>
      <c r="W236" s="20"/>
      <c r="X236" s="43"/>
    </row>
    <row r="237" spans="1:24" ht="15.75" hidden="1" customHeight="1" x14ac:dyDescent="0.25">
      <c r="A237" s="16"/>
      <c r="B237" s="16" t="str">
        <f t="shared" si="1"/>
        <v/>
      </c>
      <c r="C237" s="16"/>
      <c r="D237" s="40"/>
      <c r="E237" s="16"/>
      <c r="F237" s="41"/>
      <c r="G237" s="16"/>
      <c r="H237" s="16"/>
      <c r="I237" s="16"/>
      <c r="J237" s="22"/>
      <c r="K237" s="16"/>
      <c r="L237" s="50"/>
      <c r="M237" s="16"/>
      <c r="N237" s="19"/>
      <c r="O237" s="19"/>
      <c r="P237" s="19"/>
      <c r="Q237" s="19"/>
      <c r="R237" s="19"/>
      <c r="S237" s="19"/>
      <c r="T237" s="19"/>
      <c r="U237" s="19"/>
      <c r="V237" s="19"/>
      <c r="W237" s="20"/>
      <c r="X237" s="43"/>
    </row>
    <row r="238" spans="1:24" ht="15.75" hidden="1" customHeight="1" x14ac:dyDescent="0.25">
      <c r="A238" s="16"/>
      <c r="B238" s="16" t="str">
        <f t="shared" si="1"/>
        <v/>
      </c>
      <c r="C238" s="16"/>
      <c r="D238" s="40"/>
      <c r="E238" s="16"/>
      <c r="F238" s="41"/>
      <c r="G238" s="16"/>
      <c r="H238" s="16"/>
      <c r="I238" s="16"/>
      <c r="J238" s="22"/>
      <c r="K238" s="16"/>
      <c r="L238" s="50"/>
      <c r="M238" s="16"/>
      <c r="N238" s="19"/>
      <c r="O238" s="19"/>
      <c r="P238" s="19"/>
      <c r="Q238" s="19"/>
      <c r="R238" s="19"/>
      <c r="S238" s="19"/>
      <c r="T238" s="19"/>
      <c r="U238" s="19"/>
      <c r="V238" s="19"/>
      <c r="W238" s="20"/>
      <c r="X238" s="43"/>
    </row>
    <row r="239" spans="1:24" ht="15.75" hidden="1" customHeight="1" x14ac:dyDescent="0.25">
      <c r="A239" s="16"/>
      <c r="B239" s="16" t="str">
        <f t="shared" si="1"/>
        <v/>
      </c>
      <c r="C239" s="16"/>
      <c r="D239" s="40"/>
      <c r="E239" s="16"/>
      <c r="F239" s="41"/>
      <c r="G239" s="16"/>
      <c r="H239" s="16"/>
      <c r="I239" s="16"/>
      <c r="J239" s="22"/>
      <c r="K239" s="16"/>
      <c r="L239" s="50"/>
      <c r="M239" s="16"/>
      <c r="N239" s="19"/>
      <c r="O239" s="19"/>
      <c r="P239" s="19"/>
      <c r="Q239" s="19"/>
      <c r="R239" s="19"/>
      <c r="S239" s="19"/>
      <c r="T239" s="19"/>
      <c r="U239" s="19"/>
      <c r="V239" s="19"/>
      <c r="W239" s="20"/>
      <c r="X239" s="43"/>
    </row>
    <row r="240" spans="1:24" ht="15.75" hidden="1" customHeight="1" x14ac:dyDescent="0.25">
      <c r="A240" s="16"/>
      <c r="B240" s="16" t="str">
        <f t="shared" si="1"/>
        <v/>
      </c>
      <c r="C240" s="16"/>
      <c r="D240" s="40"/>
      <c r="E240" s="16"/>
      <c r="F240" s="41"/>
      <c r="G240" s="16"/>
      <c r="H240" s="16"/>
      <c r="I240" s="16"/>
      <c r="J240" s="22"/>
      <c r="K240" s="16"/>
      <c r="L240" s="50"/>
      <c r="M240" s="16"/>
      <c r="N240" s="19"/>
      <c r="O240" s="19"/>
      <c r="P240" s="19"/>
      <c r="Q240" s="19"/>
      <c r="R240" s="19"/>
      <c r="S240" s="19"/>
      <c r="T240" s="19"/>
      <c r="U240" s="19"/>
      <c r="V240" s="19"/>
      <c r="W240" s="20"/>
      <c r="X240" s="43"/>
    </row>
    <row r="241" spans="1:24" ht="15.75" hidden="1" customHeight="1" x14ac:dyDescent="0.25">
      <c r="A241" s="16"/>
      <c r="B241" s="16" t="str">
        <f t="shared" si="1"/>
        <v/>
      </c>
      <c r="C241" s="16"/>
      <c r="D241" s="40"/>
      <c r="E241" s="16"/>
      <c r="F241" s="41"/>
      <c r="G241" s="16"/>
      <c r="H241" s="16"/>
      <c r="I241" s="16"/>
      <c r="J241" s="22"/>
      <c r="K241" s="16"/>
      <c r="L241" s="50"/>
      <c r="M241" s="16"/>
      <c r="N241" s="19"/>
      <c r="O241" s="19"/>
      <c r="P241" s="19"/>
      <c r="Q241" s="19"/>
      <c r="R241" s="19"/>
      <c r="S241" s="19"/>
      <c r="T241" s="19"/>
      <c r="U241" s="19"/>
      <c r="V241" s="19"/>
      <c r="W241" s="20"/>
      <c r="X241" s="43"/>
    </row>
    <row r="242" spans="1:24" ht="15.75" hidden="1" customHeight="1" x14ac:dyDescent="0.25">
      <c r="A242" s="16"/>
      <c r="B242" s="16" t="str">
        <f t="shared" si="1"/>
        <v/>
      </c>
      <c r="C242" s="16"/>
      <c r="D242" s="40"/>
      <c r="E242" s="16"/>
      <c r="F242" s="41"/>
      <c r="G242" s="16"/>
      <c r="H242" s="16"/>
      <c r="I242" s="16"/>
      <c r="J242" s="22"/>
      <c r="K242" s="16"/>
      <c r="L242" s="50"/>
      <c r="M242" s="16"/>
      <c r="N242" s="19"/>
      <c r="O242" s="19"/>
      <c r="P242" s="19"/>
      <c r="Q242" s="19"/>
      <c r="R242" s="19"/>
      <c r="S242" s="19"/>
      <c r="T242" s="19"/>
      <c r="U242" s="19"/>
      <c r="V242" s="19"/>
      <c r="W242" s="20"/>
      <c r="X242" s="43"/>
    </row>
    <row r="243" spans="1:24" ht="15.75" hidden="1" customHeight="1" x14ac:dyDescent="0.25">
      <c r="A243" s="16"/>
      <c r="B243" s="16" t="str">
        <f t="shared" si="1"/>
        <v/>
      </c>
      <c r="C243" s="16"/>
      <c r="D243" s="40"/>
      <c r="E243" s="16"/>
      <c r="F243" s="41"/>
      <c r="G243" s="16"/>
      <c r="H243" s="16"/>
      <c r="I243" s="16"/>
      <c r="J243" s="22"/>
      <c r="K243" s="16"/>
      <c r="L243" s="50"/>
      <c r="M243" s="16"/>
      <c r="N243" s="19"/>
      <c r="O243" s="19"/>
      <c r="P243" s="19"/>
      <c r="Q243" s="19"/>
      <c r="R243" s="19"/>
      <c r="S243" s="19"/>
      <c r="T243" s="19"/>
      <c r="U243" s="19"/>
      <c r="V243" s="19"/>
      <c r="W243" s="20"/>
      <c r="X243" s="43"/>
    </row>
    <row r="244" spans="1:24" ht="15.75" hidden="1" customHeight="1" x14ac:dyDescent="0.25">
      <c r="A244" s="16"/>
      <c r="B244" s="16" t="str">
        <f t="shared" si="1"/>
        <v/>
      </c>
      <c r="C244" s="16"/>
      <c r="D244" s="40"/>
      <c r="E244" s="16"/>
      <c r="F244" s="41"/>
      <c r="G244" s="16"/>
      <c r="H244" s="16"/>
      <c r="I244" s="16"/>
      <c r="J244" s="22"/>
      <c r="K244" s="16"/>
      <c r="L244" s="50"/>
      <c r="M244" s="16"/>
      <c r="N244" s="19"/>
      <c r="O244" s="19"/>
      <c r="P244" s="19"/>
      <c r="Q244" s="19"/>
      <c r="R244" s="19"/>
      <c r="S244" s="19"/>
      <c r="T244" s="19"/>
      <c r="U244" s="19"/>
      <c r="V244" s="19"/>
      <c r="W244" s="20"/>
      <c r="X244" s="43"/>
    </row>
    <row r="245" spans="1:24" ht="15.75" hidden="1" customHeight="1" x14ac:dyDescent="0.25">
      <c r="A245" s="16"/>
      <c r="B245" s="16" t="str">
        <f t="shared" si="1"/>
        <v/>
      </c>
      <c r="C245" s="16"/>
      <c r="D245" s="40"/>
      <c r="E245" s="16"/>
      <c r="F245" s="41"/>
      <c r="G245" s="16"/>
      <c r="H245" s="16"/>
      <c r="I245" s="16"/>
      <c r="J245" s="22"/>
      <c r="K245" s="16"/>
      <c r="L245" s="50"/>
      <c r="M245" s="16"/>
      <c r="N245" s="19"/>
      <c r="O245" s="19"/>
      <c r="P245" s="19"/>
      <c r="Q245" s="19"/>
      <c r="R245" s="19"/>
      <c r="S245" s="19"/>
      <c r="T245" s="19"/>
      <c r="U245" s="19"/>
      <c r="V245" s="19"/>
      <c r="W245" s="20"/>
      <c r="X245" s="43"/>
    </row>
    <row r="246" spans="1:24" ht="15.75" hidden="1" customHeight="1" x14ac:dyDescent="0.25">
      <c r="A246" s="16"/>
      <c r="B246" s="16" t="str">
        <f t="shared" si="1"/>
        <v/>
      </c>
      <c r="C246" s="16"/>
      <c r="D246" s="40"/>
      <c r="E246" s="16"/>
      <c r="F246" s="41"/>
      <c r="G246" s="16"/>
      <c r="H246" s="16"/>
      <c r="I246" s="16"/>
      <c r="J246" s="22"/>
      <c r="K246" s="16"/>
      <c r="L246" s="50"/>
      <c r="M246" s="16"/>
      <c r="N246" s="19"/>
      <c r="O246" s="19"/>
      <c r="P246" s="19"/>
      <c r="Q246" s="19"/>
      <c r="R246" s="19"/>
      <c r="S246" s="19"/>
      <c r="T246" s="19"/>
      <c r="U246" s="19"/>
      <c r="V246" s="19"/>
      <c r="W246" s="20"/>
      <c r="X246" s="43"/>
    </row>
    <row r="247" spans="1:24" ht="15.75" hidden="1" customHeight="1" x14ac:dyDescent="0.25">
      <c r="A247" s="16"/>
      <c r="B247" s="16" t="str">
        <f t="shared" si="1"/>
        <v/>
      </c>
      <c r="C247" s="16"/>
      <c r="D247" s="40"/>
      <c r="E247" s="16"/>
      <c r="F247" s="41"/>
      <c r="G247" s="16"/>
      <c r="H247" s="16"/>
      <c r="I247" s="16"/>
      <c r="J247" s="22"/>
      <c r="K247" s="16"/>
      <c r="L247" s="50"/>
      <c r="M247" s="16"/>
      <c r="N247" s="19"/>
      <c r="O247" s="19"/>
      <c r="P247" s="19"/>
      <c r="Q247" s="19"/>
      <c r="R247" s="19"/>
      <c r="S247" s="19"/>
      <c r="T247" s="19"/>
      <c r="U247" s="19"/>
      <c r="V247" s="19"/>
      <c r="W247" s="20"/>
      <c r="X247" s="43"/>
    </row>
    <row r="248" spans="1:24" ht="15.75" hidden="1" customHeight="1" x14ac:dyDescent="0.25">
      <c r="A248" s="16"/>
      <c r="B248" s="16" t="str">
        <f t="shared" si="1"/>
        <v/>
      </c>
      <c r="C248" s="16"/>
      <c r="D248" s="40"/>
      <c r="E248" s="16"/>
      <c r="F248" s="41"/>
      <c r="G248" s="16"/>
      <c r="H248" s="16"/>
      <c r="I248" s="16"/>
      <c r="J248" s="22"/>
      <c r="K248" s="16"/>
      <c r="L248" s="50"/>
      <c r="M248" s="16"/>
      <c r="N248" s="19"/>
      <c r="O248" s="19"/>
      <c r="P248" s="19"/>
      <c r="Q248" s="19"/>
      <c r="R248" s="19"/>
      <c r="S248" s="19"/>
      <c r="T248" s="19"/>
      <c r="U248" s="19"/>
      <c r="V248" s="19"/>
      <c r="W248" s="20"/>
      <c r="X248" s="43"/>
    </row>
    <row r="249" spans="1:24" ht="15.75" hidden="1" customHeight="1" x14ac:dyDescent="0.25">
      <c r="A249" s="16"/>
      <c r="B249" s="16" t="str">
        <f t="shared" si="1"/>
        <v/>
      </c>
      <c r="C249" s="16"/>
      <c r="D249" s="40"/>
      <c r="E249" s="16"/>
      <c r="F249" s="41"/>
      <c r="G249" s="16"/>
      <c r="H249" s="16"/>
      <c r="I249" s="16"/>
      <c r="J249" s="22"/>
      <c r="K249" s="16"/>
      <c r="L249" s="50"/>
      <c r="M249" s="16"/>
      <c r="N249" s="19"/>
      <c r="O249" s="19"/>
      <c r="P249" s="19"/>
      <c r="Q249" s="19"/>
      <c r="R249" s="19"/>
      <c r="S249" s="19"/>
      <c r="T249" s="19"/>
      <c r="U249" s="19"/>
      <c r="V249" s="19"/>
      <c r="W249" s="20"/>
      <c r="X249" s="43"/>
    </row>
    <row r="250" spans="1:24" ht="15.75" hidden="1" customHeight="1" x14ac:dyDescent="0.25">
      <c r="A250" s="16"/>
      <c r="B250" s="16" t="str">
        <f t="shared" si="1"/>
        <v/>
      </c>
      <c r="C250" s="16"/>
      <c r="D250" s="40"/>
      <c r="E250" s="16"/>
      <c r="F250" s="41"/>
      <c r="G250" s="16"/>
      <c r="H250" s="16"/>
      <c r="I250" s="16"/>
      <c r="J250" s="22"/>
      <c r="K250" s="16"/>
      <c r="L250" s="50"/>
      <c r="M250" s="16"/>
      <c r="N250" s="19"/>
      <c r="O250" s="19"/>
      <c r="P250" s="19"/>
      <c r="Q250" s="19"/>
      <c r="R250" s="19"/>
      <c r="S250" s="19"/>
      <c r="T250" s="19"/>
      <c r="U250" s="19"/>
      <c r="V250" s="19"/>
      <c r="W250" s="20"/>
      <c r="X250" s="43"/>
    </row>
    <row r="251" spans="1:24" ht="15.75" hidden="1" customHeight="1" x14ac:dyDescent="0.25">
      <c r="A251" s="16"/>
      <c r="B251" s="16" t="str">
        <f t="shared" si="1"/>
        <v/>
      </c>
      <c r="C251" s="16"/>
      <c r="D251" s="40"/>
      <c r="E251" s="16"/>
      <c r="F251" s="41"/>
      <c r="G251" s="16"/>
      <c r="H251" s="16"/>
      <c r="I251" s="16"/>
      <c r="J251" s="22"/>
      <c r="K251" s="16"/>
      <c r="L251" s="50"/>
      <c r="M251" s="16"/>
      <c r="N251" s="19"/>
      <c r="O251" s="19"/>
      <c r="P251" s="19"/>
      <c r="Q251" s="19"/>
      <c r="R251" s="19"/>
      <c r="S251" s="19"/>
      <c r="T251" s="19"/>
      <c r="U251" s="19"/>
      <c r="V251" s="19"/>
      <c r="W251" s="20"/>
      <c r="X251" s="43"/>
    </row>
    <row r="252" spans="1:24" ht="15.75" hidden="1" customHeight="1" x14ac:dyDescent="0.25">
      <c r="A252" s="16"/>
      <c r="B252" s="16" t="str">
        <f t="shared" si="1"/>
        <v/>
      </c>
      <c r="C252" s="16"/>
      <c r="D252" s="40"/>
      <c r="E252" s="16"/>
      <c r="F252" s="41"/>
      <c r="G252" s="16"/>
      <c r="H252" s="16"/>
      <c r="I252" s="16"/>
      <c r="J252" s="22"/>
      <c r="K252" s="16"/>
      <c r="L252" s="50"/>
      <c r="M252" s="16"/>
      <c r="N252" s="19"/>
      <c r="O252" s="19"/>
      <c r="P252" s="19"/>
      <c r="Q252" s="19"/>
      <c r="R252" s="19"/>
      <c r="S252" s="19"/>
      <c r="T252" s="19"/>
      <c r="U252" s="19"/>
      <c r="V252" s="19"/>
      <c r="W252" s="20"/>
      <c r="X252" s="43"/>
    </row>
    <row r="253" spans="1:24" ht="15.75" hidden="1" customHeight="1" x14ac:dyDescent="0.25">
      <c r="A253" s="16"/>
      <c r="B253" s="16" t="str">
        <f t="shared" si="1"/>
        <v/>
      </c>
      <c r="C253" s="16"/>
      <c r="D253" s="40"/>
      <c r="E253" s="16"/>
      <c r="F253" s="41"/>
      <c r="G253" s="16"/>
      <c r="H253" s="16"/>
      <c r="I253" s="16"/>
      <c r="J253" s="22"/>
      <c r="K253" s="16"/>
      <c r="L253" s="50"/>
      <c r="M253" s="16"/>
      <c r="N253" s="19"/>
      <c r="O253" s="19"/>
      <c r="P253" s="19"/>
      <c r="Q253" s="19"/>
      <c r="R253" s="19"/>
      <c r="S253" s="19"/>
      <c r="T253" s="19"/>
      <c r="U253" s="19"/>
      <c r="V253" s="19"/>
      <c r="W253" s="20"/>
      <c r="X253" s="43"/>
    </row>
    <row r="254" spans="1:24" ht="15.75" hidden="1" customHeight="1" x14ac:dyDescent="0.25">
      <c r="A254" s="16"/>
      <c r="B254" s="16" t="str">
        <f t="shared" si="1"/>
        <v/>
      </c>
      <c r="C254" s="16"/>
      <c r="D254" s="40"/>
      <c r="E254" s="16"/>
      <c r="F254" s="41"/>
      <c r="G254" s="16"/>
      <c r="H254" s="16"/>
      <c r="I254" s="16"/>
      <c r="J254" s="22"/>
      <c r="K254" s="16"/>
      <c r="L254" s="50"/>
      <c r="M254" s="16"/>
      <c r="N254" s="19"/>
      <c r="O254" s="19"/>
      <c r="P254" s="19"/>
      <c r="Q254" s="19"/>
      <c r="R254" s="19"/>
      <c r="S254" s="19"/>
      <c r="T254" s="19"/>
      <c r="U254" s="19"/>
      <c r="V254" s="19"/>
      <c r="W254" s="20"/>
      <c r="X254" s="43"/>
    </row>
    <row r="255" spans="1:24" ht="15.75" hidden="1" customHeight="1" x14ac:dyDescent="0.25">
      <c r="A255" s="16"/>
      <c r="B255" s="16" t="str">
        <f t="shared" si="1"/>
        <v/>
      </c>
      <c r="C255" s="16"/>
      <c r="D255" s="40"/>
      <c r="E255" s="16"/>
      <c r="F255" s="41"/>
      <c r="G255" s="16"/>
      <c r="H255" s="16"/>
      <c r="I255" s="16"/>
      <c r="J255" s="22"/>
      <c r="K255" s="16"/>
      <c r="L255" s="50"/>
      <c r="M255" s="16"/>
      <c r="N255" s="19"/>
      <c r="O255" s="19"/>
      <c r="P255" s="19"/>
      <c r="Q255" s="19"/>
      <c r="R255" s="19"/>
      <c r="S255" s="19"/>
      <c r="T255" s="19"/>
      <c r="U255" s="19"/>
      <c r="V255" s="19"/>
      <c r="W255" s="20"/>
      <c r="X255" s="43"/>
    </row>
    <row r="256" spans="1:24" ht="15.75" hidden="1" customHeight="1" x14ac:dyDescent="0.25">
      <c r="A256" s="16"/>
      <c r="B256" s="16" t="str">
        <f t="shared" si="1"/>
        <v/>
      </c>
      <c r="C256" s="16"/>
      <c r="D256" s="40"/>
      <c r="E256" s="16"/>
      <c r="F256" s="41"/>
      <c r="G256" s="16"/>
      <c r="H256" s="16"/>
      <c r="I256" s="16"/>
      <c r="J256" s="22"/>
      <c r="K256" s="16"/>
      <c r="L256" s="50"/>
      <c r="M256" s="16"/>
      <c r="N256" s="19"/>
      <c r="O256" s="19"/>
      <c r="P256" s="19"/>
      <c r="Q256" s="19"/>
      <c r="R256" s="19"/>
      <c r="S256" s="19"/>
      <c r="T256" s="19"/>
      <c r="U256" s="19"/>
      <c r="V256" s="19"/>
      <c r="W256" s="20"/>
      <c r="X256" s="43"/>
    </row>
    <row r="257" spans="1:24" ht="15.75" hidden="1" customHeight="1" x14ac:dyDescent="0.25">
      <c r="A257" s="16"/>
      <c r="B257" s="16" t="str">
        <f t="shared" si="1"/>
        <v/>
      </c>
      <c r="C257" s="16"/>
      <c r="D257" s="40"/>
      <c r="E257" s="16"/>
      <c r="F257" s="41"/>
      <c r="G257" s="16"/>
      <c r="H257" s="16"/>
      <c r="I257" s="16"/>
      <c r="J257" s="22"/>
      <c r="K257" s="16"/>
      <c r="L257" s="50"/>
      <c r="M257" s="16"/>
      <c r="N257" s="19"/>
      <c r="O257" s="19"/>
      <c r="P257" s="19"/>
      <c r="Q257" s="19"/>
      <c r="R257" s="19"/>
      <c r="S257" s="19"/>
      <c r="T257" s="19"/>
      <c r="U257" s="19"/>
      <c r="V257" s="19"/>
      <c r="W257" s="20"/>
      <c r="X257" s="43"/>
    </row>
    <row r="258" spans="1:24" ht="15.75" hidden="1" customHeight="1" x14ac:dyDescent="0.25">
      <c r="A258" s="16"/>
      <c r="B258" s="16" t="str">
        <f t="shared" si="1"/>
        <v/>
      </c>
      <c r="C258" s="16"/>
      <c r="D258" s="40"/>
      <c r="E258" s="16"/>
      <c r="F258" s="41"/>
      <c r="G258" s="16"/>
      <c r="H258" s="16"/>
      <c r="I258" s="16"/>
      <c r="J258" s="22"/>
      <c r="K258" s="16"/>
      <c r="L258" s="50"/>
      <c r="M258" s="16"/>
      <c r="N258" s="19"/>
      <c r="O258" s="19"/>
      <c r="P258" s="19"/>
      <c r="Q258" s="19"/>
      <c r="R258" s="19"/>
      <c r="S258" s="19"/>
      <c r="T258" s="19"/>
      <c r="U258" s="19"/>
      <c r="V258" s="19"/>
      <c r="W258" s="20"/>
      <c r="X258" s="43"/>
    </row>
    <row r="259" spans="1:24" ht="15.75" hidden="1" customHeight="1" x14ac:dyDescent="0.25">
      <c r="A259" s="16"/>
      <c r="B259" s="16" t="str">
        <f t="shared" si="1"/>
        <v/>
      </c>
      <c r="C259" s="16"/>
      <c r="D259" s="40"/>
      <c r="E259" s="16"/>
      <c r="F259" s="41"/>
      <c r="G259" s="16"/>
      <c r="H259" s="16"/>
      <c r="I259" s="16"/>
      <c r="J259" s="22"/>
      <c r="K259" s="16"/>
      <c r="L259" s="50"/>
      <c r="M259" s="16"/>
      <c r="N259" s="19"/>
      <c r="O259" s="19"/>
      <c r="P259" s="19"/>
      <c r="Q259" s="19"/>
      <c r="R259" s="19"/>
      <c r="S259" s="19"/>
      <c r="T259" s="19"/>
      <c r="U259" s="19"/>
      <c r="V259" s="19"/>
      <c r="W259" s="20"/>
      <c r="X259" s="43"/>
    </row>
    <row r="260" spans="1:24" ht="15.75" hidden="1" customHeight="1" x14ac:dyDescent="0.25">
      <c r="A260" s="16"/>
      <c r="B260" s="16" t="str">
        <f t="shared" si="1"/>
        <v/>
      </c>
      <c r="C260" s="16"/>
      <c r="D260" s="40"/>
      <c r="E260" s="16"/>
      <c r="F260" s="41"/>
      <c r="G260" s="16"/>
      <c r="H260" s="16"/>
      <c r="I260" s="16"/>
      <c r="J260" s="22"/>
      <c r="K260" s="16"/>
      <c r="L260" s="50"/>
      <c r="M260" s="16"/>
      <c r="N260" s="19"/>
      <c r="O260" s="19"/>
      <c r="P260" s="19"/>
      <c r="Q260" s="19"/>
      <c r="R260" s="19"/>
      <c r="S260" s="19"/>
      <c r="T260" s="19"/>
      <c r="U260" s="19"/>
      <c r="V260" s="19"/>
      <c r="W260" s="20"/>
      <c r="X260" s="43"/>
    </row>
    <row r="261" spans="1:24" ht="15.75" hidden="1" customHeight="1" x14ac:dyDescent="0.25">
      <c r="A261" s="16"/>
      <c r="B261" s="16" t="str">
        <f t="shared" si="1"/>
        <v/>
      </c>
      <c r="C261" s="16"/>
      <c r="D261" s="40"/>
      <c r="E261" s="16"/>
      <c r="F261" s="41"/>
      <c r="G261" s="16"/>
      <c r="H261" s="16"/>
      <c r="I261" s="16"/>
      <c r="J261" s="22"/>
      <c r="K261" s="16"/>
      <c r="L261" s="50"/>
      <c r="M261" s="16"/>
      <c r="N261" s="19"/>
      <c r="O261" s="19"/>
      <c r="P261" s="19"/>
      <c r="Q261" s="19"/>
      <c r="R261" s="19"/>
      <c r="S261" s="19"/>
      <c r="T261" s="19"/>
      <c r="U261" s="19"/>
      <c r="V261" s="19"/>
      <c r="W261" s="20"/>
      <c r="X261" s="43"/>
    </row>
    <row r="262" spans="1:24" ht="15.75" hidden="1" customHeight="1" x14ac:dyDescent="0.25">
      <c r="A262" s="16"/>
      <c r="B262" s="16" t="str">
        <f t="shared" si="1"/>
        <v/>
      </c>
      <c r="C262" s="16"/>
      <c r="D262" s="40"/>
      <c r="E262" s="16"/>
      <c r="F262" s="41"/>
      <c r="G262" s="16"/>
      <c r="H262" s="16"/>
      <c r="I262" s="16"/>
      <c r="J262" s="22"/>
      <c r="K262" s="16"/>
      <c r="L262" s="50"/>
      <c r="M262" s="16"/>
      <c r="N262" s="19"/>
      <c r="O262" s="19"/>
      <c r="P262" s="19"/>
      <c r="Q262" s="19"/>
      <c r="R262" s="19"/>
      <c r="S262" s="19"/>
      <c r="T262" s="19"/>
      <c r="U262" s="19"/>
      <c r="V262" s="19"/>
      <c r="W262" s="20"/>
      <c r="X262" s="43"/>
    </row>
    <row r="263" spans="1:24" ht="15.75" hidden="1" customHeight="1" x14ac:dyDescent="0.25">
      <c r="A263" s="16"/>
      <c r="B263" s="16" t="str">
        <f t="shared" si="1"/>
        <v/>
      </c>
      <c r="C263" s="16"/>
      <c r="D263" s="40"/>
      <c r="E263" s="16"/>
      <c r="F263" s="41"/>
      <c r="G263" s="16"/>
      <c r="H263" s="16"/>
      <c r="I263" s="16"/>
      <c r="J263" s="22"/>
      <c r="K263" s="16"/>
      <c r="L263" s="50"/>
      <c r="M263" s="16"/>
      <c r="N263" s="19"/>
      <c r="O263" s="19"/>
      <c r="P263" s="19"/>
      <c r="Q263" s="19"/>
      <c r="R263" s="19"/>
      <c r="S263" s="19"/>
      <c r="T263" s="19"/>
      <c r="U263" s="19"/>
      <c r="V263" s="19"/>
      <c r="W263" s="20"/>
      <c r="X263" s="43"/>
    </row>
    <row r="264" spans="1:24" ht="15.75" hidden="1" customHeight="1" x14ac:dyDescent="0.25">
      <c r="A264" s="16"/>
      <c r="B264" s="16" t="str">
        <f t="shared" si="1"/>
        <v/>
      </c>
      <c r="C264" s="16"/>
      <c r="D264" s="40"/>
      <c r="E264" s="16"/>
      <c r="F264" s="41"/>
      <c r="G264" s="16"/>
      <c r="H264" s="16"/>
      <c r="I264" s="16"/>
      <c r="J264" s="22"/>
      <c r="K264" s="16"/>
      <c r="L264" s="50"/>
      <c r="M264" s="16"/>
      <c r="N264" s="19"/>
      <c r="O264" s="19"/>
      <c r="P264" s="19"/>
      <c r="Q264" s="19"/>
      <c r="R264" s="19"/>
      <c r="S264" s="19"/>
      <c r="T264" s="19"/>
      <c r="U264" s="19"/>
      <c r="V264" s="19"/>
      <c r="W264" s="20"/>
      <c r="X264" s="43"/>
    </row>
    <row r="265" spans="1:24" ht="15.75" hidden="1" customHeight="1" x14ac:dyDescent="0.25">
      <c r="A265" s="16"/>
      <c r="B265" s="16" t="str">
        <f t="shared" si="1"/>
        <v/>
      </c>
      <c r="C265" s="16"/>
      <c r="D265" s="40"/>
      <c r="E265" s="16"/>
      <c r="F265" s="41"/>
      <c r="G265" s="16"/>
      <c r="H265" s="16"/>
      <c r="I265" s="16"/>
      <c r="J265" s="22"/>
      <c r="K265" s="16"/>
      <c r="L265" s="50"/>
      <c r="M265" s="16"/>
      <c r="N265" s="19"/>
      <c r="O265" s="19"/>
      <c r="P265" s="19"/>
      <c r="Q265" s="19"/>
      <c r="R265" s="19"/>
      <c r="S265" s="19"/>
      <c r="T265" s="19"/>
      <c r="U265" s="19"/>
      <c r="V265" s="19"/>
      <c r="W265" s="20"/>
      <c r="X265" s="43"/>
    </row>
    <row r="266" spans="1:24" ht="15.75" hidden="1" customHeight="1" x14ac:dyDescent="0.25">
      <c r="A266" s="16"/>
      <c r="B266" s="16" t="str">
        <f t="shared" si="1"/>
        <v/>
      </c>
      <c r="C266" s="16"/>
      <c r="D266" s="40"/>
      <c r="E266" s="16"/>
      <c r="F266" s="41"/>
      <c r="G266" s="16"/>
      <c r="H266" s="16"/>
      <c r="I266" s="16"/>
      <c r="J266" s="22"/>
      <c r="K266" s="16"/>
      <c r="L266" s="50"/>
      <c r="M266" s="16"/>
      <c r="N266" s="19"/>
      <c r="O266" s="19"/>
      <c r="P266" s="19"/>
      <c r="Q266" s="19"/>
      <c r="R266" s="19"/>
      <c r="S266" s="19"/>
      <c r="T266" s="19"/>
      <c r="U266" s="19"/>
      <c r="V266" s="19"/>
      <c r="W266" s="20"/>
      <c r="X266" s="43"/>
    </row>
    <row r="267" spans="1:24" ht="15.75" hidden="1" customHeight="1" x14ac:dyDescent="0.25">
      <c r="A267" s="16"/>
      <c r="B267" s="16" t="str">
        <f t="shared" si="1"/>
        <v/>
      </c>
      <c r="C267" s="16"/>
      <c r="D267" s="40"/>
      <c r="E267" s="16"/>
      <c r="F267" s="41"/>
      <c r="G267" s="16"/>
      <c r="H267" s="16"/>
      <c r="I267" s="16"/>
      <c r="J267" s="22"/>
      <c r="K267" s="16"/>
      <c r="L267" s="50"/>
      <c r="M267" s="16"/>
      <c r="N267" s="19"/>
      <c r="O267" s="19"/>
      <c r="P267" s="19"/>
      <c r="Q267" s="19"/>
      <c r="R267" s="19"/>
      <c r="S267" s="19"/>
      <c r="T267" s="19"/>
      <c r="U267" s="19"/>
      <c r="V267" s="19"/>
      <c r="W267" s="20"/>
      <c r="X267" s="43"/>
    </row>
    <row r="268" spans="1:24" ht="15.75" hidden="1" customHeight="1" x14ac:dyDescent="0.25">
      <c r="A268" s="16"/>
      <c r="B268" s="16" t="str">
        <f t="shared" si="1"/>
        <v/>
      </c>
      <c r="C268" s="16"/>
      <c r="D268" s="40"/>
      <c r="E268" s="16"/>
      <c r="F268" s="41"/>
      <c r="G268" s="16"/>
      <c r="H268" s="16"/>
      <c r="I268" s="16"/>
      <c r="J268" s="22"/>
      <c r="K268" s="16"/>
      <c r="L268" s="50"/>
      <c r="M268" s="16"/>
      <c r="N268" s="19"/>
      <c r="O268" s="19"/>
      <c r="P268" s="19"/>
      <c r="Q268" s="19"/>
      <c r="R268" s="19"/>
      <c r="S268" s="19"/>
      <c r="T268" s="19"/>
      <c r="U268" s="19"/>
      <c r="V268" s="19"/>
      <c r="W268" s="20"/>
      <c r="X268" s="43"/>
    </row>
    <row r="269" spans="1:24" ht="15.75" hidden="1" customHeight="1" x14ac:dyDescent="0.25">
      <c r="A269" s="16"/>
      <c r="B269" s="16" t="str">
        <f t="shared" si="1"/>
        <v/>
      </c>
      <c r="C269" s="16"/>
      <c r="D269" s="40"/>
      <c r="E269" s="16"/>
      <c r="F269" s="41"/>
      <c r="G269" s="16"/>
      <c r="H269" s="16"/>
      <c r="I269" s="16"/>
      <c r="J269" s="22"/>
      <c r="K269" s="16"/>
      <c r="L269" s="50"/>
      <c r="M269" s="16"/>
      <c r="N269" s="19"/>
      <c r="O269" s="19"/>
      <c r="P269" s="19"/>
      <c r="Q269" s="19"/>
      <c r="R269" s="19"/>
      <c r="S269" s="19"/>
      <c r="T269" s="19"/>
      <c r="U269" s="19"/>
      <c r="V269" s="19"/>
      <c r="W269" s="20"/>
      <c r="X269" s="43"/>
    </row>
    <row r="270" spans="1:24" ht="15.75" hidden="1" customHeight="1" x14ac:dyDescent="0.25">
      <c r="A270" s="16"/>
      <c r="B270" s="16" t="str">
        <f t="shared" si="1"/>
        <v/>
      </c>
      <c r="C270" s="16"/>
      <c r="D270" s="40"/>
      <c r="E270" s="16"/>
      <c r="F270" s="41"/>
      <c r="G270" s="16"/>
      <c r="H270" s="16"/>
      <c r="I270" s="16"/>
      <c r="J270" s="22"/>
      <c r="K270" s="16"/>
      <c r="L270" s="50"/>
      <c r="M270" s="16"/>
      <c r="N270" s="19"/>
      <c r="O270" s="19"/>
      <c r="P270" s="19"/>
      <c r="Q270" s="19"/>
      <c r="R270" s="19"/>
      <c r="S270" s="19"/>
      <c r="T270" s="19"/>
      <c r="U270" s="19"/>
      <c r="V270" s="19"/>
      <c r="W270" s="20"/>
      <c r="X270" s="43"/>
    </row>
    <row r="271" spans="1:24" ht="15.75" hidden="1" customHeight="1" x14ac:dyDescent="0.25">
      <c r="A271" s="16"/>
      <c r="B271" s="16" t="str">
        <f t="shared" si="1"/>
        <v/>
      </c>
      <c r="C271" s="16"/>
      <c r="D271" s="40"/>
      <c r="E271" s="16"/>
      <c r="F271" s="41"/>
      <c r="G271" s="16"/>
      <c r="H271" s="16"/>
      <c r="I271" s="16"/>
      <c r="J271" s="22"/>
      <c r="K271" s="16"/>
      <c r="L271" s="50"/>
      <c r="M271" s="16"/>
      <c r="N271" s="19"/>
      <c r="O271" s="19"/>
      <c r="P271" s="19"/>
      <c r="Q271" s="19"/>
      <c r="R271" s="19"/>
      <c r="S271" s="19"/>
      <c r="T271" s="19"/>
      <c r="U271" s="19"/>
      <c r="V271" s="19"/>
      <c r="W271" s="20"/>
      <c r="X271" s="43"/>
    </row>
    <row r="272" spans="1:24" ht="15.75" hidden="1" customHeight="1" x14ac:dyDescent="0.25">
      <c r="A272" s="16"/>
      <c r="B272" s="16" t="str">
        <f t="shared" si="1"/>
        <v/>
      </c>
      <c r="C272" s="16"/>
      <c r="D272" s="40"/>
      <c r="E272" s="16"/>
      <c r="F272" s="41"/>
      <c r="G272" s="16"/>
      <c r="H272" s="16"/>
      <c r="I272" s="16"/>
      <c r="J272" s="22"/>
      <c r="K272" s="16"/>
      <c r="L272" s="50"/>
      <c r="M272" s="16"/>
      <c r="N272" s="19"/>
      <c r="O272" s="19"/>
      <c r="P272" s="19"/>
      <c r="Q272" s="19"/>
      <c r="R272" s="19"/>
      <c r="S272" s="19"/>
      <c r="T272" s="19"/>
      <c r="U272" s="19"/>
      <c r="V272" s="19"/>
      <c r="W272" s="20"/>
      <c r="X272" s="43"/>
    </row>
    <row r="273" spans="1:24" ht="15.75" hidden="1" customHeight="1" x14ac:dyDescent="0.25">
      <c r="A273" s="16"/>
      <c r="B273" s="16" t="str">
        <f t="shared" si="1"/>
        <v/>
      </c>
      <c r="C273" s="16"/>
      <c r="D273" s="40"/>
      <c r="E273" s="16"/>
      <c r="F273" s="41"/>
      <c r="G273" s="16"/>
      <c r="H273" s="16"/>
      <c r="I273" s="16"/>
      <c r="J273" s="22"/>
      <c r="K273" s="16"/>
      <c r="L273" s="50"/>
      <c r="M273" s="16"/>
      <c r="N273" s="19"/>
      <c r="O273" s="19"/>
      <c r="P273" s="19"/>
      <c r="Q273" s="19"/>
      <c r="R273" s="19"/>
      <c r="S273" s="19"/>
      <c r="T273" s="19"/>
      <c r="U273" s="19"/>
      <c r="V273" s="19"/>
      <c r="W273" s="20"/>
      <c r="X273" s="43"/>
    </row>
    <row r="274" spans="1:24" ht="15.75" hidden="1" customHeight="1" x14ac:dyDescent="0.25">
      <c r="A274" s="16"/>
      <c r="B274" s="16" t="str">
        <f t="shared" si="1"/>
        <v/>
      </c>
      <c r="C274" s="16"/>
      <c r="D274" s="40"/>
      <c r="E274" s="16"/>
      <c r="F274" s="41"/>
      <c r="G274" s="16"/>
      <c r="H274" s="16"/>
      <c r="I274" s="16"/>
      <c r="J274" s="22"/>
      <c r="K274" s="16"/>
      <c r="L274" s="50"/>
      <c r="M274" s="16"/>
      <c r="N274" s="19"/>
      <c r="O274" s="19"/>
      <c r="P274" s="19"/>
      <c r="Q274" s="19"/>
      <c r="R274" s="19"/>
      <c r="S274" s="19"/>
      <c r="T274" s="19"/>
      <c r="U274" s="19"/>
      <c r="V274" s="19"/>
      <c r="W274" s="20"/>
      <c r="X274" s="43"/>
    </row>
    <row r="275" spans="1:24" ht="15.75" hidden="1" customHeight="1" x14ac:dyDescent="0.25">
      <c r="A275" s="16"/>
      <c r="B275" s="16" t="str">
        <f t="shared" si="1"/>
        <v/>
      </c>
      <c r="C275" s="16"/>
      <c r="D275" s="40"/>
      <c r="E275" s="16"/>
      <c r="F275" s="41"/>
      <c r="G275" s="16"/>
      <c r="H275" s="16"/>
      <c r="I275" s="16"/>
      <c r="J275" s="22"/>
      <c r="K275" s="16"/>
      <c r="L275" s="50"/>
      <c r="M275" s="16"/>
      <c r="N275" s="19"/>
      <c r="O275" s="19"/>
      <c r="P275" s="19"/>
      <c r="Q275" s="19"/>
      <c r="R275" s="19"/>
      <c r="S275" s="19"/>
      <c r="T275" s="19"/>
      <c r="U275" s="19"/>
      <c r="V275" s="19"/>
      <c r="W275" s="20"/>
      <c r="X275" s="43"/>
    </row>
    <row r="276" spans="1:24" ht="15.75" hidden="1" customHeight="1" x14ac:dyDescent="0.25">
      <c r="A276" s="16"/>
      <c r="B276" s="16" t="str">
        <f t="shared" si="1"/>
        <v/>
      </c>
      <c r="C276" s="16"/>
      <c r="D276" s="40"/>
      <c r="E276" s="16"/>
      <c r="F276" s="41"/>
      <c r="G276" s="16"/>
      <c r="H276" s="16"/>
      <c r="I276" s="16"/>
      <c r="J276" s="22"/>
      <c r="K276" s="16"/>
      <c r="L276" s="50"/>
      <c r="M276" s="16"/>
      <c r="N276" s="19"/>
      <c r="O276" s="19"/>
      <c r="P276" s="19"/>
      <c r="Q276" s="19"/>
      <c r="R276" s="19"/>
      <c r="S276" s="19"/>
      <c r="T276" s="19"/>
      <c r="U276" s="19"/>
      <c r="V276" s="19"/>
      <c r="W276" s="20"/>
      <c r="X276" s="43"/>
    </row>
    <row r="277" spans="1:24" ht="15.75" hidden="1" customHeight="1" x14ac:dyDescent="0.25">
      <c r="A277" s="16"/>
      <c r="B277" s="16" t="str">
        <f t="shared" si="1"/>
        <v/>
      </c>
      <c r="C277" s="16"/>
      <c r="D277" s="40"/>
      <c r="E277" s="16"/>
      <c r="F277" s="41"/>
      <c r="G277" s="16"/>
      <c r="H277" s="16"/>
      <c r="I277" s="16"/>
      <c r="J277" s="22"/>
      <c r="K277" s="16"/>
      <c r="L277" s="50"/>
      <c r="M277" s="16"/>
      <c r="N277" s="19"/>
      <c r="O277" s="19"/>
      <c r="P277" s="19"/>
      <c r="Q277" s="19"/>
      <c r="R277" s="19"/>
      <c r="S277" s="19"/>
      <c r="T277" s="19"/>
      <c r="U277" s="19"/>
      <c r="V277" s="19"/>
      <c r="W277" s="20"/>
      <c r="X277" s="43"/>
    </row>
    <row r="278" spans="1:24" ht="15.75" hidden="1" customHeight="1" x14ac:dyDescent="0.25">
      <c r="A278" s="16"/>
      <c r="B278" s="16" t="str">
        <f t="shared" si="1"/>
        <v/>
      </c>
      <c r="C278" s="16"/>
      <c r="D278" s="40"/>
      <c r="E278" s="16"/>
      <c r="F278" s="41"/>
      <c r="G278" s="16"/>
      <c r="H278" s="16"/>
      <c r="I278" s="16"/>
      <c r="J278" s="22"/>
      <c r="K278" s="16"/>
      <c r="L278" s="50"/>
      <c r="M278" s="16"/>
      <c r="N278" s="19"/>
      <c r="O278" s="19"/>
      <c r="P278" s="19"/>
      <c r="Q278" s="19"/>
      <c r="R278" s="19"/>
      <c r="S278" s="19"/>
      <c r="T278" s="19"/>
      <c r="U278" s="19"/>
      <c r="V278" s="19"/>
      <c r="W278" s="20"/>
      <c r="X278" s="43"/>
    </row>
    <row r="279" spans="1:24" ht="15.75" hidden="1" customHeight="1" x14ac:dyDescent="0.25">
      <c r="A279" s="16"/>
      <c r="B279" s="16" t="str">
        <f t="shared" si="1"/>
        <v/>
      </c>
      <c r="C279" s="16"/>
      <c r="D279" s="40"/>
      <c r="E279" s="16"/>
      <c r="F279" s="41"/>
      <c r="G279" s="16"/>
      <c r="H279" s="16"/>
      <c r="I279" s="16"/>
      <c r="J279" s="22"/>
      <c r="K279" s="16"/>
      <c r="L279" s="50"/>
      <c r="M279" s="16"/>
      <c r="N279" s="19"/>
      <c r="O279" s="19"/>
      <c r="P279" s="19"/>
      <c r="Q279" s="19"/>
      <c r="R279" s="19"/>
      <c r="S279" s="19"/>
      <c r="T279" s="19"/>
      <c r="U279" s="19"/>
      <c r="V279" s="19"/>
      <c r="W279" s="20"/>
      <c r="X279" s="43"/>
    </row>
    <row r="280" spans="1:24" ht="15.75" hidden="1" customHeight="1" x14ac:dyDescent="0.25">
      <c r="A280" s="16"/>
      <c r="B280" s="16" t="str">
        <f t="shared" si="1"/>
        <v/>
      </c>
      <c r="C280" s="16"/>
      <c r="D280" s="40"/>
      <c r="E280" s="16"/>
      <c r="F280" s="41"/>
      <c r="G280" s="16"/>
      <c r="H280" s="16"/>
      <c r="I280" s="16"/>
      <c r="J280" s="22"/>
      <c r="K280" s="16"/>
      <c r="L280" s="50"/>
      <c r="M280" s="16"/>
      <c r="N280" s="19"/>
      <c r="O280" s="19"/>
      <c r="P280" s="19"/>
      <c r="Q280" s="19"/>
      <c r="R280" s="19"/>
      <c r="S280" s="19"/>
      <c r="T280" s="19"/>
      <c r="U280" s="19"/>
      <c r="V280" s="19"/>
      <c r="W280" s="20"/>
      <c r="X280" s="43"/>
    </row>
    <row r="281" spans="1:24" ht="15.75" hidden="1" customHeight="1" x14ac:dyDescent="0.25">
      <c r="A281" s="16"/>
      <c r="B281" s="16" t="str">
        <f t="shared" si="1"/>
        <v/>
      </c>
      <c r="C281" s="16"/>
      <c r="D281" s="40"/>
      <c r="E281" s="16"/>
      <c r="F281" s="41"/>
      <c r="G281" s="16"/>
      <c r="H281" s="16"/>
      <c r="I281" s="16"/>
      <c r="J281" s="22"/>
      <c r="K281" s="16"/>
      <c r="L281" s="50"/>
      <c r="M281" s="16"/>
      <c r="N281" s="19"/>
      <c r="O281" s="19"/>
      <c r="P281" s="19"/>
      <c r="Q281" s="19"/>
      <c r="R281" s="19"/>
      <c r="S281" s="19"/>
      <c r="T281" s="19"/>
      <c r="U281" s="19"/>
      <c r="V281" s="19"/>
      <c r="W281" s="20"/>
      <c r="X281" s="43"/>
    </row>
    <row r="282" spans="1:24" ht="15.75" hidden="1" customHeight="1" x14ac:dyDescent="0.25">
      <c r="A282" s="16"/>
      <c r="B282" s="16" t="str">
        <f t="shared" si="1"/>
        <v/>
      </c>
      <c r="C282" s="16"/>
      <c r="D282" s="40"/>
      <c r="E282" s="16"/>
      <c r="F282" s="41"/>
      <c r="G282" s="16"/>
      <c r="H282" s="16"/>
      <c r="I282" s="16"/>
      <c r="J282" s="22"/>
      <c r="K282" s="16"/>
      <c r="L282" s="50"/>
      <c r="M282" s="16"/>
      <c r="N282" s="19"/>
      <c r="O282" s="19"/>
      <c r="P282" s="19"/>
      <c r="Q282" s="19"/>
      <c r="R282" s="19"/>
      <c r="S282" s="19"/>
      <c r="T282" s="19"/>
      <c r="U282" s="19"/>
      <c r="V282" s="19"/>
      <c r="W282" s="20"/>
      <c r="X282" s="43"/>
    </row>
    <row r="283" spans="1:24" ht="15.75" hidden="1" customHeight="1" x14ac:dyDescent="0.25">
      <c r="A283" s="16"/>
      <c r="B283" s="16" t="str">
        <f t="shared" si="1"/>
        <v/>
      </c>
      <c r="C283" s="16"/>
      <c r="D283" s="40"/>
      <c r="E283" s="16"/>
      <c r="F283" s="41"/>
      <c r="G283" s="16"/>
      <c r="H283" s="16"/>
      <c r="I283" s="16"/>
      <c r="J283" s="22"/>
      <c r="K283" s="16"/>
      <c r="L283" s="50"/>
      <c r="M283" s="16"/>
      <c r="N283" s="19"/>
      <c r="O283" s="19"/>
      <c r="P283" s="19"/>
      <c r="Q283" s="19"/>
      <c r="R283" s="19"/>
      <c r="S283" s="19"/>
      <c r="T283" s="19"/>
      <c r="U283" s="19"/>
      <c r="V283" s="19"/>
      <c r="W283" s="20"/>
      <c r="X283" s="43"/>
    </row>
    <row r="284" spans="1:24" ht="15.75" hidden="1" customHeight="1" x14ac:dyDescent="0.25">
      <c r="A284" s="16"/>
      <c r="B284" s="16" t="str">
        <f t="shared" si="1"/>
        <v/>
      </c>
      <c r="C284" s="16"/>
      <c r="D284" s="40"/>
      <c r="E284" s="16"/>
      <c r="F284" s="41"/>
      <c r="G284" s="16"/>
      <c r="H284" s="16"/>
      <c r="I284" s="16"/>
      <c r="J284" s="22"/>
      <c r="K284" s="16"/>
      <c r="L284" s="50"/>
      <c r="M284" s="16"/>
      <c r="N284" s="19"/>
      <c r="O284" s="19"/>
      <c r="P284" s="19"/>
      <c r="Q284" s="19"/>
      <c r="R284" s="19"/>
      <c r="S284" s="19"/>
      <c r="T284" s="19"/>
      <c r="U284" s="19"/>
      <c r="V284" s="19"/>
      <c r="W284" s="20"/>
      <c r="X284" s="43"/>
    </row>
    <row r="285" spans="1:24" ht="15.75" hidden="1" customHeight="1" x14ac:dyDescent="0.25">
      <c r="A285" s="16"/>
      <c r="B285" s="16" t="str">
        <f t="shared" si="1"/>
        <v/>
      </c>
      <c r="C285" s="16"/>
      <c r="D285" s="40"/>
      <c r="E285" s="16"/>
      <c r="F285" s="41"/>
      <c r="G285" s="16"/>
      <c r="H285" s="16"/>
      <c r="I285" s="16"/>
      <c r="J285" s="22"/>
      <c r="K285" s="16"/>
      <c r="L285" s="50"/>
      <c r="M285" s="16"/>
      <c r="N285" s="19"/>
      <c r="O285" s="19"/>
      <c r="P285" s="19"/>
      <c r="Q285" s="19"/>
      <c r="R285" s="19"/>
      <c r="S285" s="19"/>
      <c r="T285" s="19"/>
      <c r="U285" s="19"/>
      <c r="V285" s="19"/>
      <c r="W285" s="20"/>
      <c r="X285" s="43"/>
    </row>
    <row r="286" spans="1:24" ht="15.75" hidden="1" customHeight="1" x14ac:dyDescent="0.25">
      <c r="A286" s="16"/>
      <c r="B286" s="16" t="str">
        <f t="shared" si="1"/>
        <v/>
      </c>
      <c r="C286" s="16"/>
      <c r="D286" s="40"/>
      <c r="E286" s="16"/>
      <c r="F286" s="41"/>
      <c r="G286" s="16"/>
      <c r="H286" s="16"/>
      <c r="I286" s="16"/>
      <c r="J286" s="22"/>
      <c r="K286" s="16"/>
      <c r="L286" s="50"/>
      <c r="M286" s="16"/>
      <c r="N286" s="19"/>
      <c r="O286" s="19"/>
      <c r="P286" s="19"/>
      <c r="Q286" s="19"/>
      <c r="R286" s="19"/>
      <c r="S286" s="19"/>
      <c r="T286" s="19"/>
      <c r="U286" s="19"/>
      <c r="V286" s="19"/>
      <c r="W286" s="20"/>
      <c r="X286" s="43"/>
    </row>
    <row r="287" spans="1:24" ht="15.75" hidden="1" customHeight="1" x14ac:dyDescent="0.25">
      <c r="A287" s="16"/>
      <c r="B287" s="16" t="str">
        <f t="shared" si="1"/>
        <v/>
      </c>
      <c r="C287" s="16"/>
      <c r="D287" s="40"/>
      <c r="E287" s="16"/>
      <c r="F287" s="41"/>
      <c r="G287" s="16"/>
      <c r="H287" s="16"/>
      <c r="I287" s="16"/>
      <c r="J287" s="22"/>
      <c r="K287" s="16"/>
      <c r="L287" s="50"/>
      <c r="M287" s="16"/>
      <c r="N287" s="19"/>
      <c r="O287" s="19"/>
      <c r="P287" s="19"/>
      <c r="Q287" s="19"/>
      <c r="R287" s="19"/>
      <c r="S287" s="19"/>
      <c r="T287" s="19"/>
      <c r="U287" s="19"/>
      <c r="V287" s="19"/>
      <c r="W287" s="20"/>
      <c r="X287" s="43"/>
    </row>
    <row r="288" spans="1:24" ht="15.75" hidden="1" customHeight="1" x14ac:dyDescent="0.25">
      <c r="A288" s="16"/>
      <c r="B288" s="16" t="str">
        <f t="shared" si="1"/>
        <v/>
      </c>
      <c r="C288" s="16"/>
      <c r="D288" s="40"/>
      <c r="E288" s="16"/>
      <c r="F288" s="41"/>
      <c r="G288" s="16"/>
      <c r="H288" s="16"/>
      <c r="I288" s="16"/>
      <c r="J288" s="22"/>
      <c r="K288" s="16"/>
      <c r="L288" s="50"/>
      <c r="M288" s="16"/>
      <c r="N288" s="19"/>
      <c r="O288" s="19"/>
      <c r="P288" s="19"/>
      <c r="Q288" s="19"/>
      <c r="R288" s="19"/>
      <c r="S288" s="19"/>
      <c r="T288" s="19"/>
      <c r="U288" s="19"/>
      <c r="V288" s="19"/>
      <c r="W288" s="20"/>
      <c r="X288" s="43"/>
    </row>
    <row r="289" spans="1:24" ht="15.75" hidden="1" customHeight="1" x14ac:dyDescent="0.25">
      <c r="A289" s="16"/>
      <c r="B289" s="16" t="str">
        <f t="shared" si="1"/>
        <v/>
      </c>
      <c r="C289" s="16"/>
      <c r="D289" s="40"/>
      <c r="E289" s="16"/>
      <c r="F289" s="41"/>
      <c r="G289" s="16"/>
      <c r="H289" s="16"/>
      <c r="I289" s="16"/>
      <c r="J289" s="22"/>
      <c r="K289" s="16"/>
      <c r="L289" s="50"/>
      <c r="M289" s="16"/>
      <c r="N289" s="19"/>
      <c r="O289" s="19"/>
      <c r="P289" s="19"/>
      <c r="Q289" s="19"/>
      <c r="R289" s="19"/>
      <c r="S289" s="19"/>
      <c r="T289" s="19"/>
      <c r="U289" s="19"/>
      <c r="V289" s="19"/>
      <c r="W289" s="20"/>
      <c r="X289" s="43"/>
    </row>
    <row r="290" spans="1:24" ht="15.75" hidden="1" customHeight="1" x14ac:dyDescent="0.25">
      <c r="A290" s="16"/>
      <c r="B290" s="16" t="str">
        <f t="shared" si="1"/>
        <v/>
      </c>
      <c r="C290" s="16"/>
      <c r="D290" s="40"/>
      <c r="E290" s="16"/>
      <c r="F290" s="41"/>
      <c r="G290" s="16"/>
      <c r="H290" s="16"/>
      <c r="I290" s="16"/>
      <c r="J290" s="22"/>
      <c r="K290" s="16"/>
      <c r="L290" s="50"/>
      <c r="M290" s="16"/>
      <c r="N290" s="19"/>
      <c r="O290" s="19"/>
      <c r="P290" s="19"/>
      <c r="Q290" s="19"/>
      <c r="R290" s="19"/>
      <c r="S290" s="19"/>
      <c r="T290" s="19"/>
      <c r="U290" s="19"/>
      <c r="V290" s="19"/>
      <c r="W290" s="20"/>
      <c r="X290" s="43"/>
    </row>
    <row r="291" spans="1:24" ht="15.75" hidden="1" customHeight="1" x14ac:dyDescent="0.25">
      <c r="A291" s="16"/>
      <c r="B291" s="16" t="str">
        <f t="shared" si="1"/>
        <v/>
      </c>
      <c r="C291" s="16"/>
      <c r="D291" s="40"/>
      <c r="E291" s="16"/>
      <c r="F291" s="41"/>
      <c r="G291" s="16"/>
      <c r="H291" s="16"/>
      <c r="I291" s="16"/>
      <c r="J291" s="22"/>
      <c r="K291" s="16"/>
      <c r="L291" s="50"/>
      <c r="M291" s="16"/>
      <c r="N291" s="19"/>
      <c r="O291" s="19"/>
      <c r="P291" s="19"/>
      <c r="Q291" s="19"/>
      <c r="R291" s="19"/>
      <c r="S291" s="19"/>
      <c r="T291" s="19"/>
      <c r="U291" s="19"/>
      <c r="V291" s="19"/>
      <c r="W291" s="20"/>
      <c r="X291" s="43"/>
    </row>
    <row r="292" spans="1:24" ht="15.75" hidden="1" customHeight="1" x14ac:dyDescent="0.25">
      <c r="A292" s="16"/>
      <c r="B292" s="16" t="str">
        <f t="shared" si="1"/>
        <v/>
      </c>
      <c r="C292" s="16"/>
      <c r="D292" s="40"/>
      <c r="E292" s="16"/>
      <c r="F292" s="41"/>
      <c r="G292" s="16"/>
      <c r="H292" s="16"/>
      <c r="I292" s="16"/>
      <c r="J292" s="22"/>
      <c r="K292" s="16"/>
      <c r="L292" s="50"/>
      <c r="M292" s="16"/>
      <c r="N292" s="19"/>
      <c r="O292" s="19"/>
      <c r="P292" s="19"/>
      <c r="Q292" s="19"/>
      <c r="R292" s="19"/>
      <c r="S292" s="19"/>
      <c r="T292" s="19"/>
      <c r="U292" s="19"/>
      <c r="V292" s="19"/>
      <c r="W292" s="20"/>
      <c r="X292" s="43"/>
    </row>
    <row r="293" spans="1:24" ht="15.75" hidden="1" customHeight="1" x14ac:dyDescent="0.25">
      <c r="A293" s="16"/>
      <c r="B293" s="16" t="str">
        <f t="shared" si="1"/>
        <v/>
      </c>
      <c r="C293" s="16"/>
      <c r="D293" s="40"/>
      <c r="E293" s="16"/>
      <c r="F293" s="41"/>
      <c r="G293" s="16"/>
      <c r="H293" s="16"/>
      <c r="I293" s="16"/>
      <c r="J293" s="22"/>
      <c r="K293" s="16"/>
      <c r="L293" s="50"/>
      <c r="M293" s="16"/>
      <c r="N293" s="19"/>
      <c r="O293" s="19"/>
      <c r="P293" s="19"/>
      <c r="Q293" s="19"/>
      <c r="R293" s="19"/>
      <c r="S293" s="19"/>
      <c r="T293" s="19"/>
      <c r="U293" s="19"/>
      <c r="V293" s="19"/>
      <c r="W293" s="20"/>
      <c r="X293" s="43"/>
    </row>
    <row r="294" spans="1:24" ht="15.75" hidden="1" customHeight="1" x14ac:dyDescent="0.25">
      <c r="A294" s="16"/>
      <c r="B294" s="16" t="str">
        <f t="shared" si="1"/>
        <v/>
      </c>
      <c r="C294" s="16"/>
      <c r="D294" s="40"/>
      <c r="E294" s="16"/>
      <c r="F294" s="41"/>
      <c r="G294" s="16"/>
      <c r="H294" s="16"/>
      <c r="I294" s="16"/>
      <c r="J294" s="22"/>
      <c r="K294" s="16"/>
      <c r="L294" s="50"/>
      <c r="M294" s="16"/>
      <c r="N294" s="19"/>
      <c r="O294" s="19"/>
      <c r="P294" s="19"/>
      <c r="Q294" s="19"/>
      <c r="R294" s="19"/>
      <c r="S294" s="19"/>
      <c r="T294" s="19"/>
      <c r="U294" s="19"/>
      <c r="V294" s="19"/>
      <c r="W294" s="20"/>
      <c r="X294" s="43"/>
    </row>
    <row r="295" spans="1:24" ht="15.75" hidden="1" customHeight="1" x14ac:dyDescent="0.25">
      <c r="A295" s="16"/>
      <c r="B295" s="16" t="str">
        <f t="shared" si="1"/>
        <v/>
      </c>
      <c r="C295" s="16"/>
      <c r="D295" s="40"/>
      <c r="E295" s="16"/>
      <c r="F295" s="41"/>
      <c r="G295" s="16"/>
      <c r="H295" s="16"/>
      <c r="I295" s="16"/>
      <c r="J295" s="22"/>
      <c r="K295" s="16"/>
      <c r="L295" s="50"/>
      <c r="M295" s="16"/>
      <c r="N295" s="19"/>
      <c r="O295" s="19"/>
      <c r="P295" s="19"/>
      <c r="Q295" s="19"/>
      <c r="R295" s="19"/>
      <c r="S295" s="19"/>
      <c r="T295" s="19"/>
      <c r="U295" s="19"/>
      <c r="V295" s="19"/>
      <c r="W295" s="20"/>
      <c r="X295" s="43"/>
    </row>
    <row r="296" spans="1:24" ht="15.75" hidden="1" customHeight="1" x14ac:dyDescent="0.25">
      <c r="A296" s="16"/>
      <c r="B296" s="16" t="str">
        <f t="shared" si="1"/>
        <v/>
      </c>
      <c r="C296" s="16"/>
      <c r="D296" s="40"/>
      <c r="E296" s="16"/>
      <c r="F296" s="41"/>
      <c r="G296" s="16"/>
      <c r="H296" s="16"/>
      <c r="I296" s="16"/>
      <c r="J296" s="22"/>
      <c r="K296" s="16"/>
      <c r="L296" s="50"/>
      <c r="M296" s="16"/>
      <c r="N296" s="19"/>
      <c r="O296" s="19"/>
      <c r="P296" s="19"/>
      <c r="Q296" s="19"/>
      <c r="R296" s="19"/>
      <c r="S296" s="19"/>
      <c r="T296" s="19"/>
      <c r="U296" s="19"/>
      <c r="V296" s="19"/>
      <c r="W296" s="20"/>
      <c r="X296" s="43"/>
    </row>
    <row r="297" spans="1:24" ht="15.75" hidden="1" customHeight="1" x14ac:dyDescent="0.25">
      <c r="A297" s="16"/>
      <c r="B297" s="16" t="str">
        <f t="shared" si="1"/>
        <v/>
      </c>
      <c r="C297" s="16"/>
      <c r="D297" s="40"/>
      <c r="E297" s="16"/>
      <c r="F297" s="41"/>
      <c r="G297" s="16"/>
      <c r="H297" s="16"/>
      <c r="I297" s="16"/>
      <c r="J297" s="22"/>
      <c r="K297" s="16"/>
      <c r="L297" s="50"/>
      <c r="M297" s="16"/>
      <c r="N297" s="19"/>
      <c r="O297" s="19"/>
      <c r="P297" s="19"/>
      <c r="Q297" s="19"/>
      <c r="R297" s="19"/>
      <c r="S297" s="19"/>
      <c r="T297" s="19"/>
      <c r="U297" s="19"/>
      <c r="V297" s="19"/>
      <c r="W297" s="20"/>
      <c r="X297" s="43"/>
    </row>
    <row r="298" spans="1:24" ht="15.75" hidden="1" customHeight="1" x14ac:dyDescent="0.25">
      <c r="A298" s="16"/>
      <c r="B298" s="16" t="str">
        <f t="shared" si="1"/>
        <v/>
      </c>
      <c r="C298" s="16"/>
      <c r="D298" s="40"/>
      <c r="E298" s="16"/>
      <c r="F298" s="41"/>
      <c r="G298" s="16"/>
      <c r="H298" s="16"/>
      <c r="I298" s="16"/>
      <c r="J298" s="22"/>
      <c r="K298" s="16"/>
      <c r="L298" s="50"/>
      <c r="M298" s="16"/>
      <c r="N298" s="19"/>
      <c r="O298" s="19"/>
      <c r="P298" s="19"/>
      <c r="Q298" s="19"/>
      <c r="R298" s="19"/>
      <c r="S298" s="19"/>
      <c r="T298" s="19"/>
      <c r="U298" s="19"/>
      <c r="V298" s="19"/>
      <c r="W298" s="20"/>
      <c r="X298" s="43"/>
    </row>
    <row r="299" spans="1:24" ht="15.75" hidden="1" customHeight="1" x14ac:dyDescent="0.25">
      <c r="A299" s="16"/>
      <c r="B299" s="16" t="str">
        <f t="shared" si="1"/>
        <v/>
      </c>
      <c r="C299" s="16"/>
      <c r="D299" s="40"/>
      <c r="E299" s="16"/>
      <c r="F299" s="41"/>
      <c r="G299" s="16"/>
      <c r="H299" s="16"/>
      <c r="I299" s="16"/>
      <c r="J299" s="22"/>
      <c r="K299" s="16"/>
      <c r="L299" s="50"/>
      <c r="M299" s="16"/>
      <c r="N299" s="19"/>
      <c r="O299" s="19"/>
      <c r="P299" s="19"/>
      <c r="Q299" s="19"/>
      <c r="R299" s="19"/>
      <c r="S299" s="19"/>
      <c r="T299" s="19"/>
      <c r="U299" s="19"/>
      <c r="V299" s="19"/>
      <c r="W299" s="20"/>
      <c r="X299" s="43"/>
    </row>
    <row r="300" spans="1:24" ht="15.75" hidden="1" customHeight="1" x14ac:dyDescent="0.25">
      <c r="A300" s="16"/>
      <c r="B300" s="16" t="str">
        <f t="shared" si="1"/>
        <v/>
      </c>
      <c r="C300" s="16"/>
      <c r="D300" s="40"/>
      <c r="E300" s="16"/>
      <c r="F300" s="41"/>
      <c r="G300" s="16"/>
      <c r="H300" s="16"/>
      <c r="I300" s="16"/>
      <c r="J300" s="22"/>
      <c r="K300" s="16"/>
      <c r="L300" s="50"/>
      <c r="M300" s="16"/>
      <c r="N300" s="19"/>
      <c r="O300" s="19"/>
      <c r="P300" s="19"/>
      <c r="Q300" s="19"/>
      <c r="R300" s="19"/>
      <c r="S300" s="19"/>
      <c r="T300" s="19"/>
      <c r="U300" s="19"/>
      <c r="V300" s="19"/>
      <c r="W300" s="20"/>
      <c r="X300" s="43"/>
    </row>
    <row r="301" spans="1:24" ht="15.75" hidden="1" customHeight="1" x14ac:dyDescent="0.25">
      <c r="A301" s="16"/>
      <c r="B301" s="16" t="str">
        <f t="shared" si="1"/>
        <v/>
      </c>
      <c r="C301" s="16"/>
      <c r="D301" s="40"/>
      <c r="E301" s="16"/>
      <c r="F301" s="41"/>
      <c r="G301" s="16"/>
      <c r="H301" s="16"/>
      <c r="I301" s="16"/>
      <c r="J301" s="22"/>
      <c r="K301" s="16"/>
      <c r="L301" s="50"/>
      <c r="M301" s="16"/>
      <c r="N301" s="19"/>
      <c r="O301" s="19"/>
      <c r="P301" s="19"/>
      <c r="Q301" s="19"/>
      <c r="R301" s="19"/>
      <c r="S301" s="19"/>
      <c r="T301" s="19"/>
      <c r="U301" s="19"/>
      <c r="V301" s="19"/>
      <c r="W301" s="20"/>
      <c r="X301" s="43"/>
    </row>
    <row r="302" spans="1:24" ht="15.75" hidden="1" customHeight="1" x14ac:dyDescent="0.25">
      <c r="A302" s="16"/>
      <c r="B302" s="16" t="str">
        <f t="shared" si="1"/>
        <v/>
      </c>
      <c r="C302" s="16"/>
      <c r="D302" s="40"/>
      <c r="E302" s="16"/>
      <c r="F302" s="41"/>
      <c r="G302" s="16"/>
      <c r="H302" s="16"/>
      <c r="I302" s="16"/>
      <c r="J302" s="22"/>
      <c r="K302" s="16"/>
      <c r="L302" s="50"/>
      <c r="M302" s="16"/>
      <c r="N302" s="19"/>
      <c r="O302" s="19"/>
      <c r="P302" s="19"/>
      <c r="Q302" s="19"/>
      <c r="R302" s="19"/>
      <c r="S302" s="19"/>
      <c r="T302" s="19"/>
      <c r="U302" s="19"/>
      <c r="V302" s="19"/>
      <c r="W302" s="20"/>
      <c r="X302" s="43"/>
    </row>
    <row r="303" spans="1:24" ht="15.75" hidden="1" customHeight="1" x14ac:dyDescent="0.25">
      <c r="A303" s="16"/>
      <c r="B303" s="16" t="str">
        <f t="shared" si="1"/>
        <v/>
      </c>
      <c r="C303" s="16"/>
      <c r="D303" s="40"/>
      <c r="E303" s="16"/>
      <c r="F303" s="41"/>
      <c r="G303" s="16"/>
      <c r="H303" s="16"/>
      <c r="I303" s="16"/>
      <c r="J303" s="22"/>
      <c r="K303" s="16"/>
      <c r="L303" s="50"/>
      <c r="M303" s="16"/>
      <c r="N303" s="19"/>
      <c r="O303" s="19"/>
      <c r="P303" s="19"/>
      <c r="Q303" s="19"/>
      <c r="R303" s="19"/>
      <c r="S303" s="19"/>
      <c r="T303" s="19"/>
      <c r="U303" s="19"/>
      <c r="V303" s="19"/>
      <c r="W303" s="20"/>
      <c r="X303" s="43"/>
    </row>
    <row r="304" spans="1:24" ht="15.75" hidden="1" customHeight="1" x14ac:dyDescent="0.25">
      <c r="A304" s="16"/>
      <c r="B304" s="16" t="str">
        <f t="shared" si="1"/>
        <v/>
      </c>
      <c r="C304" s="16"/>
      <c r="D304" s="40"/>
      <c r="E304" s="16"/>
      <c r="F304" s="41"/>
      <c r="G304" s="16"/>
      <c r="H304" s="16"/>
      <c r="I304" s="16"/>
      <c r="J304" s="22"/>
      <c r="K304" s="16"/>
      <c r="L304" s="50"/>
      <c r="M304" s="16"/>
      <c r="N304" s="19"/>
      <c r="O304" s="19"/>
      <c r="P304" s="19"/>
      <c r="Q304" s="19"/>
      <c r="R304" s="19"/>
      <c r="S304" s="19"/>
      <c r="T304" s="19"/>
      <c r="U304" s="19"/>
      <c r="V304" s="19"/>
      <c r="W304" s="20"/>
      <c r="X304" s="43"/>
    </row>
    <row r="305" spans="1:24" ht="15.75" hidden="1" customHeight="1" x14ac:dyDescent="0.25">
      <c r="A305" s="16"/>
      <c r="B305" s="16" t="str">
        <f t="shared" ref="B305:B559" si="2">MID(X305,17,30)</f>
        <v/>
      </c>
      <c r="C305" s="16"/>
      <c r="D305" s="40"/>
      <c r="E305" s="16"/>
      <c r="F305" s="41"/>
      <c r="G305" s="16"/>
      <c r="H305" s="16"/>
      <c r="I305" s="16"/>
      <c r="J305" s="22"/>
      <c r="K305" s="16"/>
      <c r="L305" s="50"/>
      <c r="M305" s="16"/>
      <c r="N305" s="19"/>
      <c r="O305" s="19"/>
      <c r="P305" s="19"/>
      <c r="Q305" s="19"/>
      <c r="R305" s="19"/>
      <c r="S305" s="19"/>
      <c r="T305" s="19"/>
      <c r="U305" s="19"/>
      <c r="V305" s="19"/>
      <c r="W305" s="20"/>
      <c r="X305" s="43"/>
    </row>
    <row r="306" spans="1:24" ht="15.75" hidden="1" customHeight="1" x14ac:dyDescent="0.25">
      <c r="A306" s="16"/>
      <c r="B306" s="16" t="str">
        <f t="shared" si="2"/>
        <v/>
      </c>
      <c r="C306" s="16"/>
      <c r="D306" s="40"/>
      <c r="E306" s="16"/>
      <c r="F306" s="41"/>
      <c r="G306" s="16"/>
      <c r="H306" s="16"/>
      <c r="I306" s="16"/>
      <c r="J306" s="22"/>
      <c r="K306" s="16"/>
      <c r="L306" s="50"/>
      <c r="M306" s="16"/>
      <c r="N306" s="19"/>
      <c r="O306" s="19"/>
      <c r="P306" s="19"/>
      <c r="Q306" s="19"/>
      <c r="R306" s="19"/>
      <c r="S306" s="19"/>
      <c r="T306" s="19"/>
      <c r="U306" s="19"/>
      <c r="V306" s="19"/>
      <c r="W306" s="20"/>
      <c r="X306" s="43"/>
    </row>
    <row r="307" spans="1:24" ht="15.75" hidden="1" customHeight="1" x14ac:dyDescent="0.25">
      <c r="A307" s="16"/>
      <c r="B307" s="16" t="str">
        <f t="shared" si="2"/>
        <v/>
      </c>
      <c r="C307" s="16"/>
      <c r="D307" s="40"/>
      <c r="E307" s="16"/>
      <c r="F307" s="41"/>
      <c r="G307" s="16"/>
      <c r="H307" s="16"/>
      <c r="I307" s="16"/>
      <c r="J307" s="22"/>
      <c r="K307" s="16"/>
      <c r="L307" s="50"/>
      <c r="M307" s="16"/>
      <c r="N307" s="19"/>
      <c r="O307" s="19"/>
      <c r="P307" s="19"/>
      <c r="Q307" s="19"/>
      <c r="R307" s="19"/>
      <c r="S307" s="19"/>
      <c r="T307" s="19"/>
      <c r="U307" s="19"/>
      <c r="V307" s="19"/>
      <c r="W307" s="20"/>
      <c r="X307" s="43"/>
    </row>
    <row r="308" spans="1:24" ht="15.75" hidden="1" customHeight="1" x14ac:dyDescent="0.25">
      <c r="A308" s="16"/>
      <c r="B308" s="16" t="str">
        <f t="shared" si="2"/>
        <v/>
      </c>
      <c r="C308" s="16"/>
      <c r="D308" s="40"/>
      <c r="E308" s="16"/>
      <c r="F308" s="41"/>
      <c r="G308" s="16"/>
      <c r="H308" s="16"/>
      <c r="I308" s="16"/>
      <c r="J308" s="22"/>
      <c r="K308" s="16"/>
      <c r="L308" s="50"/>
      <c r="M308" s="16"/>
      <c r="N308" s="19"/>
      <c r="O308" s="19"/>
      <c r="P308" s="19"/>
      <c r="Q308" s="19"/>
      <c r="R308" s="19"/>
      <c r="S308" s="19"/>
      <c r="T308" s="19"/>
      <c r="U308" s="19"/>
      <c r="V308" s="19"/>
      <c r="W308" s="20"/>
      <c r="X308" s="43"/>
    </row>
    <row r="309" spans="1:24" ht="15.75" hidden="1" customHeight="1" x14ac:dyDescent="0.25">
      <c r="A309" s="16"/>
      <c r="B309" s="16" t="str">
        <f t="shared" si="2"/>
        <v/>
      </c>
      <c r="C309" s="16"/>
      <c r="D309" s="40"/>
      <c r="E309" s="16"/>
      <c r="F309" s="41"/>
      <c r="G309" s="16"/>
      <c r="H309" s="16"/>
      <c r="I309" s="16"/>
      <c r="J309" s="22"/>
      <c r="K309" s="16"/>
      <c r="L309" s="50"/>
      <c r="M309" s="16"/>
      <c r="N309" s="19"/>
      <c r="O309" s="19"/>
      <c r="P309" s="19"/>
      <c r="Q309" s="19"/>
      <c r="R309" s="19"/>
      <c r="S309" s="19"/>
      <c r="T309" s="19"/>
      <c r="U309" s="19"/>
      <c r="V309" s="19"/>
      <c r="W309" s="20"/>
      <c r="X309" s="43"/>
    </row>
    <row r="310" spans="1:24" ht="15.75" hidden="1" customHeight="1" x14ac:dyDescent="0.25">
      <c r="A310" s="16"/>
      <c r="B310" s="16" t="str">
        <f t="shared" si="2"/>
        <v/>
      </c>
      <c r="C310" s="16"/>
      <c r="D310" s="40"/>
      <c r="E310" s="16"/>
      <c r="F310" s="41"/>
      <c r="G310" s="16"/>
      <c r="H310" s="16"/>
      <c r="I310" s="16"/>
      <c r="J310" s="22"/>
      <c r="K310" s="16"/>
      <c r="L310" s="50"/>
      <c r="M310" s="16"/>
      <c r="N310" s="19"/>
      <c r="O310" s="19"/>
      <c r="P310" s="19"/>
      <c r="Q310" s="19"/>
      <c r="R310" s="19"/>
      <c r="S310" s="19"/>
      <c r="T310" s="19"/>
      <c r="U310" s="19"/>
      <c r="V310" s="19"/>
      <c r="W310" s="20"/>
      <c r="X310" s="43"/>
    </row>
    <row r="311" spans="1:24" ht="15.75" hidden="1" customHeight="1" x14ac:dyDescent="0.25">
      <c r="A311" s="16"/>
      <c r="B311" s="16" t="str">
        <f t="shared" si="2"/>
        <v/>
      </c>
      <c r="C311" s="16"/>
      <c r="D311" s="40"/>
      <c r="E311" s="16"/>
      <c r="F311" s="41"/>
      <c r="G311" s="16"/>
      <c r="H311" s="16"/>
      <c r="I311" s="16"/>
      <c r="J311" s="22"/>
      <c r="K311" s="16"/>
      <c r="L311" s="50"/>
      <c r="M311" s="16"/>
      <c r="N311" s="19"/>
      <c r="O311" s="19"/>
      <c r="P311" s="19"/>
      <c r="Q311" s="19"/>
      <c r="R311" s="19"/>
      <c r="S311" s="19"/>
      <c r="T311" s="19"/>
      <c r="U311" s="19"/>
      <c r="V311" s="19"/>
      <c r="W311" s="20"/>
      <c r="X311" s="43"/>
    </row>
    <row r="312" spans="1:24" ht="15.75" hidden="1" customHeight="1" x14ac:dyDescent="0.25">
      <c r="A312" s="16"/>
      <c r="B312" s="16" t="str">
        <f t="shared" si="2"/>
        <v/>
      </c>
      <c r="C312" s="16"/>
      <c r="D312" s="40"/>
      <c r="E312" s="16"/>
      <c r="F312" s="41"/>
      <c r="G312" s="16"/>
      <c r="H312" s="16"/>
      <c r="I312" s="16"/>
      <c r="J312" s="22"/>
      <c r="K312" s="16"/>
      <c r="L312" s="50"/>
      <c r="M312" s="16"/>
      <c r="N312" s="19"/>
      <c r="O312" s="19"/>
      <c r="P312" s="19"/>
      <c r="Q312" s="19"/>
      <c r="R312" s="19"/>
      <c r="S312" s="19"/>
      <c r="T312" s="19"/>
      <c r="U312" s="19"/>
      <c r="V312" s="19"/>
      <c r="W312" s="20"/>
      <c r="X312" s="43"/>
    </row>
    <row r="313" spans="1:24" ht="15.75" hidden="1" customHeight="1" x14ac:dyDescent="0.25">
      <c r="A313" s="16"/>
      <c r="B313" s="16" t="str">
        <f t="shared" si="2"/>
        <v/>
      </c>
      <c r="C313" s="16"/>
      <c r="D313" s="40"/>
      <c r="E313" s="16"/>
      <c r="F313" s="41"/>
      <c r="G313" s="16"/>
      <c r="H313" s="16"/>
      <c r="I313" s="16"/>
      <c r="J313" s="22"/>
      <c r="K313" s="16"/>
      <c r="L313" s="50"/>
      <c r="M313" s="16"/>
      <c r="N313" s="19"/>
      <c r="O313" s="19"/>
      <c r="P313" s="19"/>
      <c r="Q313" s="19"/>
      <c r="R313" s="19"/>
      <c r="S313" s="19"/>
      <c r="T313" s="19"/>
      <c r="U313" s="19"/>
      <c r="V313" s="19"/>
      <c r="W313" s="20"/>
      <c r="X313" s="43"/>
    </row>
    <row r="314" spans="1:24" ht="15.75" hidden="1" customHeight="1" x14ac:dyDescent="0.25">
      <c r="A314" s="16"/>
      <c r="B314" s="16" t="str">
        <f t="shared" si="2"/>
        <v/>
      </c>
      <c r="C314" s="16"/>
      <c r="D314" s="40"/>
      <c r="E314" s="16"/>
      <c r="F314" s="41"/>
      <c r="G314" s="16"/>
      <c r="H314" s="16"/>
      <c r="I314" s="16"/>
      <c r="J314" s="22"/>
      <c r="K314" s="16"/>
      <c r="L314" s="50"/>
      <c r="M314" s="16"/>
      <c r="N314" s="19"/>
      <c r="O314" s="19"/>
      <c r="P314" s="19"/>
      <c r="Q314" s="19"/>
      <c r="R314" s="19"/>
      <c r="S314" s="19"/>
      <c r="T314" s="19"/>
      <c r="U314" s="19"/>
      <c r="V314" s="19"/>
      <c r="W314" s="20"/>
      <c r="X314" s="43"/>
    </row>
    <row r="315" spans="1:24" ht="15.75" hidden="1" customHeight="1" x14ac:dyDescent="0.25">
      <c r="A315" s="16"/>
      <c r="B315" s="16" t="str">
        <f t="shared" si="2"/>
        <v/>
      </c>
      <c r="C315" s="16"/>
      <c r="D315" s="40"/>
      <c r="E315" s="16"/>
      <c r="F315" s="41"/>
      <c r="G315" s="16"/>
      <c r="H315" s="16"/>
      <c r="I315" s="16"/>
      <c r="J315" s="22"/>
      <c r="K315" s="16"/>
      <c r="L315" s="50"/>
      <c r="M315" s="16"/>
      <c r="N315" s="19"/>
      <c r="O315" s="19"/>
      <c r="P315" s="19"/>
      <c r="Q315" s="19"/>
      <c r="R315" s="19"/>
      <c r="S315" s="19"/>
      <c r="T315" s="19"/>
      <c r="U315" s="19"/>
      <c r="V315" s="19"/>
      <c r="W315" s="20"/>
      <c r="X315" s="43"/>
    </row>
    <row r="316" spans="1:24" ht="15.75" hidden="1" customHeight="1" x14ac:dyDescent="0.25">
      <c r="A316" s="16"/>
      <c r="B316" s="16" t="str">
        <f t="shared" si="2"/>
        <v/>
      </c>
      <c r="C316" s="16"/>
      <c r="D316" s="40"/>
      <c r="E316" s="16"/>
      <c r="F316" s="41"/>
      <c r="G316" s="16"/>
      <c r="H316" s="16"/>
      <c r="I316" s="16"/>
      <c r="J316" s="22"/>
      <c r="K316" s="16"/>
      <c r="L316" s="50"/>
      <c r="M316" s="16"/>
      <c r="N316" s="19"/>
      <c r="O316" s="19"/>
      <c r="P316" s="19"/>
      <c r="Q316" s="19"/>
      <c r="R316" s="19"/>
      <c r="S316" s="19"/>
      <c r="T316" s="19"/>
      <c r="U316" s="19"/>
      <c r="V316" s="19"/>
      <c r="W316" s="20"/>
      <c r="X316" s="43"/>
    </row>
    <row r="317" spans="1:24" ht="15.75" hidden="1" customHeight="1" x14ac:dyDescent="0.25">
      <c r="A317" s="16"/>
      <c r="B317" s="16" t="str">
        <f t="shared" si="2"/>
        <v/>
      </c>
      <c r="C317" s="16"/>
      <c r="D317" s="40"/>
      <c r="E317" s="16"/>
      <c r="F317" s="41"/>
      <c r="G317" s="16"/>
      <c r="H317" s="16"/>
      <c r="I317" s="16"/>
      <c r="J317" s="22"/>
      <c r="K317" s="16"/>
      <c r="L317" s="50"/>
      <c r="M317" s="16"/>
      <c r="N317" s="19"/>
      <c r="O317" s="19"/>
      <c r="P317" s="19"/>
      <c r="Q317" s="19"/>
      <c r="R317" s="19"/>
      <c r="S317" s="19"/>
      <c r="T317" s="19"/>
      <c r="U317" s="19"/>
      <c r="V317" s="19"/>
      <c r="W317" s="20"/>
      <c r="X317" s="43"/>
    </row>
    <row r="318" spans="1:24" ht="15.75" hidden="1" customHeight="1" x14ac:dyDescent="0.25">
      <c r="A318" s="16"/>
      <c r="B318" s="16" t="str">
        <f t="shared" si="2"/>
        <v/>
      </c>
      <c r="C318" s="16"/>
      <c r="D318" s="40"/>
      <c r="E318" s="16"/>
      <c r="F318" s="41"/>
      <c r="G318" s="16"/>
      <c r="H318" s="16"/>
      <c r="I318" s="16"/>
      <c r="J318" s="22"/>
      <c r="K318" s="16"/>
      <c r="L318" s="50"/>
      <c r="M318" s="16"/>
      <c r="N318" s="19"/>
      <c r="O318" s="19"/>
      <c r="P318" s="19"/>
      <c r="Q318" s="19"/>
      <c r="R318" s="19"/>
      <c r="S318" s="19"/>
      <c r="T318" s="19"/>
      <c r="U318" s="19"/>
      <c r="V318" s="19"/>
      <c r="W318" s="20"/>
      <c r="X318" s="43"/>
    </row>
    <row r="319" spans="1:24" ht="15.75" hidden="1" customHeight="1" x14ac:dyDescent="0.25">
      <c r="A319" s="16"/>
      <c r="B319" s="16" t="str">
        <f t="shared" si="2"/>
        <v/>
      </c>
      <c r="C319" s="16"/>
      <c r="D319" s="40"/>
      <c r="E319" s="16"/>
      <c r="F319" s="41"/>
      <c r="G319" s="16"/>
      <c r="H319" s="16"/>
      <c r="I319" s="16"/>
      <c r="J319" s="22"/>
      <c r="K319" s="16"/>
      <c r="L319" s="50"/>
      <c r="M319" s="16"/>
      <c r="N319" s="19"/>
      <c r="O319" s="19"/>
      <c r="P319" s="19"/>
      <c r="Q319" s="19"/>
      <c r="R319" s="19"/>
      <c r="S319" s="19"/>
      <c r="T319" s="19"/>
      <c r="U319" s="19"/>
      <c r="V319" s="19"/>
      <c r="W319" s="20"/>
      <c r="X319" s="43"/>
    </row>
    <row r="320" spans="1:24" ht="15.75" hidden="1" customHeight="1" x14ac:dyDescent="0.25">
      <c r="A320" s="16"/>
      <c r="B320" s="16" t="str">
        <f t="shared" si="2"/>
        <v/>
      </c>
      <c r="C320" s="16"/>
      <c r="D320" s="40"/>
      <c r="E320" s="16"/>
      <c r="F320" s="41"/>
      <c r="G320" s="16"/>
      <c r="H320" s="16"/>
      <c r="I320" s="16"/>
      <c r="J320" s="22"/>
      <c r="K320" s="16"/>
      <c r="L320" s="50"/>
      <c r="M320" s="16"/>
      <c r="N320" s="19"/>
      <c r="O320" s="19"/>
      <c r="P320" s="19"/>
      <c r="Q320" s="19"/>
      <c r="R320" s="19"/>
      <c r="S320" s="19"/>
      <c r="T320" s="19"/>
      <c r="U320" s="19"/>
      <c r="V320" s="19"/>
      <c r="W320" s="20"/>
      <c r="X320" s="43"/>
    </row>
    <row r="321" spans="1:24" ht="15.75" hidden="1" customHeight="1" x14ac:dyDescent="0.25">
      <c r="A321" s="16"/>
      <c r="B321" s="16" t="str">
        <f t="shared" si="2"/>
        <v/>
      </c>
      <c r="C321" s="16"/>
      <c r="D321" s="40"/>
      <c r="E321" s="16"/>
      <c r="F321" s="41"/>
      <c r="G321" s="16"/>
      <c r="H321" s="16"/>
      <c r="I321" s="16"/>
      <c r="J321" s="22"/>
      <c r="K321" s="16"/>
      <c r="L321" s="50"/>
      <c r="M321" s="16"/>
      <c r="N321" s="19"/>
      <c r="O321" s="19"/>
      <c r="P321" s="19"/>
      <c r="Q321" s="19"/>
      <c r="R321" s="19"/>
      <c r="S321" s="19"/>
      <c r="T321" s="19"/>
      <c r="U321" s="19"/>
      <c r="V321" s="19"/>
      <c r="W321" s="20"/>
      <c r="X321" s="43"/>
    </row>
    <row r="322" spans="1:24" ht="15.75" hidden="1" customHeight="1" x14ac:dyDescent="0.25">
      <c r="A322" s="16"/>
      <c r="B322" s="16" t="str">
        <f t="shared" si="2"/>
        <v/>
      </c>
      <c r="C322" s="16"/>
      <c r="D322" s="40"/>
      <c r="E322" s="16"/>
      <c r="F322" s="41"/>
      <c r="G322" s="16"/>
      <c r="H322" s="16"/>
      <c r="I322" s="16"/>
      <c r="J322" s="22"/>
      <c r="K322" s="16"/>
      <c r="L322" s="50"/>
      <c r="M322" s="16"/>
      <c r="N322" s="19"/>
      <c r="O322" s="19"/>
      <c r="P322" s="19"/>
      <c r="Q322" s="19"/>
      <c r="R322" s="19"/>
      <c r="S322" s="19"/>
      <c r="T322" s="19"/>
      <c r="U322" s="19"/>
      <c r="V322" s="19"/>
      <c r="W322" s="20"/>
      <c r="X322" s="43"/>
    </row>
    <row r="323" spans="1:24" ht="15.75" hidden="1" customHeight="1" x14ac:dyDescent="0.25">
      <c r="A323" s="16"/>
      <c r="B323" s="16" t="str">
        <f t="shared" si="2"/>
        <v/>
      </c>
      <c r="C323" s="16"/>
      <c r="D323" s="40"/>
      <c r="E323" s="16"/>
      <c r="F323" s="41"/>
      <c r="G323" s="16"/>
      <c r="H323" s="16"/>
      <c r="I323" s="16"/>
      <c r="J323" s="22"/>
      <c r="K323" s="16"/>
      <c r="L323" s="50"/>
      <c r="M323" s="16"/>
      <c r="N323" s="19"/>
      <c r="O323" s="19"/>
      <c r="P323" s="19"/>
      <c r="Q323" s="19"/>
      <c r="R323" s="19"/>
      <c r="S323" s="19"/>
      <c r="T323" s="19"/>
      <c r="U323" s="19"/>
      <c r="V323" s="19"/>
      <c r="W323" s="20"/>
      <c r="X323" s="43"/>
    </row>
    <row r="324" spans="1:24" ht="15.75" hidden="1" customHeight="1" x14ac:dyDescent="0.25">
      <c r="A324" s="16"/>
      <c r="B324" s="16" t="str">
        <f t="shared" si="2"/>
        <v/>
      </c>
      <c r="C324" s="16"/>
      <c r="D324" s="40"/>
      <c r="E324" s="16"/>
      <c r="F324" s="41"/>
      <c r="G324" s="16"/>
      <c r="H324" s="16"/>
      <c r="I324" s="16"/>
      <c r="J324" s="22"/>
      <c r="K324" s="16"/>
      <c r="L324" s="50"/>
      <c r="M324" s="16"/>
      <c r="N324" s="19"/>
      <c r="O324" s="19"/>
      <c r="P324" s="19"/>
      <c r="Q324" s="19"/>
      <c r="R324" s="19"/>
      <c r="S324" s="19"/>
      <c r="T324" s="19"/>
      <c r="U324" s="19"/>
      <c r="V324" s="19"/>
      <c r="W324" s="20"/>
      <c r="X324" s="43"/>
    </row>
    <row r="325" spans="1:24" ht="15.75" hidden="1" customHeight="1" x14ac:dyDescent="0.25">
      <c r="A325" s="16"/>
      <c r="B325" s="16" t="str">
        <f t="shared" si="2"/>
        <v/>
      </c>
      <c r="C325" s="16"/>
      <c r="D325" s="40"/>
      <c r="E325" s="16"/>
      <c r="F325" s="41"/>
      <c r="G325" s="16"/>
      <c r="H325" s="16"/>
      <c r="I325" s="16"/>
      <c r="J325" s="22"/>
      <c r="K325" s="16"/>
      <c r="L325" s="50"/>
      <c r="M325" s="16"/>
      <c r="N325" s="19"/>
      <c r="O325" s="19"/>
      <c r="P325" s="19"/>
      <c r="Q325" s="19"/>
      <c r="R325" s="19"/>
      <c r="S325" s="19"/>
      <c r="T325" s="19"/>
      <c r="U325" s="19"/>
      <c r="V325" s="19"/>
      <c r="W325" s="20"/>
      <c r="X325" s="43"/>
    </row>
    <row r="326" spans="1:24" ht="15.75" hidden="1" customHeight="1" x14ac:dyDescent="0.25">
      <c r="A326" s="16"/>
      <c r="B326" s="16" t="str">
        <f t="shared" si="2"/>
        <v/>
      </c>
      <c r="C326" s="16"/>
      <c r="D326" s="40"/>
      <c r="E326" s="16"/>
      <c r="F326" s="41"/>
      <c r="G326" s="16"/>
      <c r="H326" s="16"/>
      <c r="I326" s="16"/>
      <c r="J326" s="22"/>
      <c r="K326" s="16"/>
      <c r="L326" s="50"/>
      <c r="M326" s="16"/>
      <c r="N326" s="19"/>
      <c r="O326" s="19"/>
      <c r="P326" s="19"/>
      <c r="Q326" s="19"/>
      <c r="R326" s="19"/>
      <c r="S326" s="19"/>
      <c r="T326" s="19"/>
      <c r="U326" s="19"/>
      <c r="V326" s="19"/>
      <c r="W326" s="20"/>
      <c r="X326" s="43"/>
    </row>
    <row r="327" spans="1:24" ht="15.75" hidden="1" customHeight="1" x14ac:dyDescent="0.25">
      <c r="A327" s="16"/>
      <c r="B327" s="16" t="str">
        <f t="shared" si="2"/>
        <v/>
      </c>
      <c r="C327" s="16"/>
      <c r="D327" s="40"/>
      <c r="E327" s="16"/>
      <c r="F327" s="41"/>
      <c r="G327" s="16"/>
      <c r="H327" s="16"/>
      <c r="I327" s="16"/>
      <c r="J327" s="22"/>
      <c r="K327" s="16"/>
      <c r="L327" s="50"/>
      <c r="M327" s="16"/>
      <c r="N327" s="19"/>
      <c r="O327" s="19"/>
      <c r="P327" s="19"/>
      <c r="Q327" s="19"/>
      <c r="R327" s="19"/>
      <c r="S327" s="19"/>
      <c r="T327" s="19"/>
      <c r="U327" s="19"/>
      <c r="V327" s="19"/>
      <c r="W327" s="20"/>
      <c r="X327" s="43"/>
    </row>
    <row r="328" spans="1:24" ht="15.75" hidden="1" customHeight="1" x14ac:dyDescent="0.25">
      <c r="A328" s="16"/>
      <c r="B328" s="16" t="str">
        <f t="shared" si="2"/>
        <v/>
      </c>
      <c r="C328" s="16"/>
      <c r="D328" s="40"/>
      <c r="E328" s="16"/>
      <c r="F328" s="41"/>
      <c r="G328" s="16"/>
      <c r="H328" s="16"/>
      <c r="I328" s="16"/>
      <c r="J328" s="22"/>
      <c r="K328" s="16"/>
      <c r="L328" s="50"/>
      <c r="M328" s="16"/>
      <c r="N328" s="19"/>
      <c r="O328" s="19"/>
      <c r="P328" s="19"/>
      <c r="Q328" s="19"/>
      <c r="R328" s="19"/>
      <c r="S328" s="19"/>
      <c r="T328" s="19"/>
      <c r="U328" s="19"/>
      <c r="V328" s="19"/>
      <c r="W328" s="20"/>
      <c r="X328" s="43"/>
    </row>
    <row r="329" spans="1:24" ht="15.75" hidden="1" customHeight="1" x14ac:dyDescent="0.25">
      <c r="A329" s="16"/>
      <c r="B329" s="16" t="str">
        <f t="shared" si="2"/>
        <v/>
      </c>
      <c r="C329" s="16"/>
      <c r="D329" s="40"/>
      <c r="E329" s="16"/>
      <c r="F329" s="41"/>
      <c r="G329" s="16"/>
      <c r="H329" s="16"/>
      <c r="I329" s="16"/>
      <c r="J329" s="22"/>
      <c r="K329" s="16"/>
      <c r="L329" s="50"/>
      <c r="M329" s="16"/>
      <c r="N329" s="19"/>
      <c r="O329" s="19"/>
      <c r="P329" s="19"/>
      <c r="Q329" s="19"/>
      <c r="R329" s="19"/>
      <c r="S329" s="19"/>
      <c r="T329" s="19"/>
      <c r="U329" s="19"/>
      <c r="V329" s="19"/>
      <c r="W329" s="20"/>
      <c r="X329" s="43"/>
    </row>
    <row r="330" spans="1:24" ht="15.75" hidden="1" customHeight="1" x14ac:dyDescent="0.25">
      <c r="A330" s="16"/>
      <c r="B330" s="16" t="str">
        <f t="shared" si="2"/>
        <v/>
      </c>
      <c r="C330" s="16"/>
      <c r="D330" s="40"/>
      <c r="E330" s="16"/>
      <c r="F330" s="41"/>
      <c r="G330" s="16"/>
      <c r="H330" s="16"/>
      <c r="I330" s="16"/>
      <c r="J330" s="22"/>
      <c r="K330" s="16"/>
      <c r="L330" s="50"/>
      <c r="M330" s="16"/>
      <c r="N330" s="19"/>
      <c r="O330" s="19"/>
      <c r="P330" s="19"/>
      <c r="Q330" s="19"/>
      <c r="R330" s="19"/>
      <c r="S330" s="19"/>
      <c r="T330" s="19"/>
      <c r="U330" s="19"/>
      <c r="V330" s="19"/>
      <c r="W330" s="20"/>
      <c r="X330" s="43"/>
    </row>
    <row r="331" spans="1:24" ht="15.75" hidden="1" customHeight="1" x14ac:dyDescent="0.25">
      <c r="A331" s="16"/>
      <c r="B331" s="16" t="str">
        <f t="shared" si="2"/>
        <v/>
      </c>
      <c r="C331" s="16"/>
      <c r="D331" s="40"/>
      <c r="E331" s="16"/>
      <c r="F331" s="41"/>
      <c r="G331" s="16"/>
      <c r="H331" s="16"/>
      <c r="I331" s="16"/>
      <c r="J331" s="22"/>
      <c r="K331" s="16"/>
      <c r="L331" s="50"/>
      <c r="M331" s="16"/>
      <c r="N331" s="19"/>
      <c r="O331" s="19"/>
      <c r="P331" s="19"/>
      <c r="Q331" s="19"/>
      <c r="R331" s="19"/>
      <c r="S331" s="19"/>
      <c r="T331" s="19"/>
      <c r="U331" s="19"/>
      <c r="V331" s="19"/>
      <c r="W331" s="20"/>
      <c r="X331" s="43"/>
    </row>
    <row r="332" spans="1:24" ht="15.75" hidden="1" customHeight="1" x14ac:dyDescent="0.25">
      <c r="A332" s="16"/>
      <c r="B332" s="16" t="str">
        <f t="shared" si="2"/>
        <v/>
      </c>
      <c r="C332" s="16"/>
      <c r="D332" s="40"/>
      <c r="E332" s="16"/>
      <c r="F332" s="41"/>
      <c r="G332" s="16"/>
      <c r="H332" s="16"/>
      <c r="I332" s="16"/>
      <c r="J332" s="22"/>
      <c r="K332" s="16"/>
      <c r="L332" s="50"/>
      <c r="M332" s="16"/>
      <c r="N332" s="19"/>
      <c r="O332" s="19"/>
      <c r="P332" s="19"/>
      <c r="Q332" s="19"/>
      <c r="R332" s="19"/>
      <c r="S332" s="19"/>
      <c r="T332" s="19"/>
      <c r="U332" s="19"/>
      <c r="V332" s="19"/>
      <c r="W332" s="20"/>
      <c r="X332" s="43"/>
    </row>
    <row r="333" spans="1:24" ht="15.75" hidden="1" customHeight="1" x14ac:dyDescent="0.25">
      <c r="A333" s="16"/>
      <c r="B333" s="16" t="str">
        <f t="shared" si="2"/>
        <v/>
      </c>
      <c r="C333" s="16"/>
      <c r="D333" s="40"/>
      <c r="E333" s="16"/>
      <c r="F333" s="41"/>
      <c r="G333" s="16"/>
      <c r="H333" s="16"/>
      <c r="I333" s="16"/>
      <c r="J333" s="22"/>
      <c r="K333" s="16"/>
      <c r="L333" s="50"/>
      <c r="M333" s="16"/>
      <c r="N333" s="19"/>
      <c r="O333" s="19"/>
      <c r="P333" s="19"/>
      <c r="Q333" s="19"/>
      <c r="R333" s="19"/>
      <c r="S333" s="19"/>
      <c r="T333" s="19"/>
      <c r="U333" s="19"/>
      <c r="V333" s="19"/>
      <c r="W333" s="20"/>
      <c r="X333" s="43"/>
    </row>
    <row r="334" spans="1:24" ht="15.75" hidden="1" customHeight="1" x14ac:dyDescent="0.25">
      <c r="A334" s="16"/>
      <c r="B334" s="16" t="str">
        <f t="shared" si="2"/>
        <v/>
      </c>
      <c r="C334" s="16"/>
      <c r="D334" s="40"/>
      <c r="E334" s="16"/>
      <c r="F334" s="41"/>
      <c r="G334" s="16"/>
      <c r="H334" s="16"/>
      <c r="I334" s="16"/>
      <c r="J334" s="22"/>
      <c r="K334" s="16"/>
      <c r="L334" s="50"/>
      <c r="M334" s="16"/>
      <c r="N334" s="19"/>
      <c r="O334" s="19"/>
      <c r="P334" s="19"/>
      <c r="Q334" s="19"/>
      <c r="R334" s="19"/>
      <c r="S334" s="19"/>
      <c r="T334" s="19"/>
      <c r="U334" s="19"/>
      <c r="V334" s="19"/>
      <c r="W334" s="20"/>
      <c r="X334" s="43"/>
    </row>
    <row r="335" spans="1:24" ht="15.75" hidden="1" customHeight="1" x14ac:dyDescent="0.25">
      <c r="A335" s="16"/>
      <c r="B335" s="16" t="str">
        <f t="shared" si="2"/>
        <v/>
      </c>
      <c r="C335" s="16"/>
      <c r="D335" s="40"/>
      <c r="E335" s="16"/>
      <c r="F335" s="41"/>
      <c r="G335" s="16"/>
      <c r="H335" s="16"/>
      <c r="I335" s="16"/>
      <c r="J335" s="22"/>
      <c r="K335" s="16"/>
      <c r="L335" s="50"/>
      <c r="M335" s="16"/>
      <c r="N335" s="19"/>
      <c r="O335" s="19"/>
      <c r="P335" s="19"/>
      <c r="Q335" s="19"/>
      <c r="R335" s="19"/>
      <c r="S335" s="19"/>
      <c r="T335" s="19"/>
      <c r="U335" s="19"/>
      <c r="V335" s="19"/>
      <c r="W335" s="20"/>
      <c r="X335" s="43"/>
    </row>
    <row r="336" spans="1:24" ht="15.75" hidden="1" customHeight="1" x14ac:dyDescent="0.25">
      <c r="A336" s="16"/>
      <c r="B336" s="16" t="str">
        <f t="shared" si="2"/>
        <v/>
      </c>
      <c r="C336" s="16"/>
      <c r="D336" s="40"/>
      <c r="E336" s="16"/>
      <c r="F336" s="41"/>
      <c r="G336" s="16"/>
      <c r="H336" s="16"/>
      <c r="I336" s="16"/>
      <c r="J336" s="22"/>
      <c r="K336" s="16"/>
      <c r="L336" s="50"/>
      <c r="M336" s="16"/>
      <c r="N336" s="19"/>
      <c r="O336" s="19"/>
      <c r="P336" s="19"/>
      <c r="Q336" s="19"/>
      <c r="R336" s="19"/>
      <c r="S336" s="19"/>
      <c r="T336" s="19"/>
      <c r="U336" s="19"/>
      <c r="V336" s="19"/>
      <c r="W336" s="20"/>
      <c r="X336" s="43"/>
    </row>
    <row r="337" spans="1:24" ht="15.75" hidden="1" customHeight="1" x14ac:dyDescent="0.25">
      <c r="A337" s="16"/>
      <c r="B337" s="16" t="str">
        <f t="shared" si="2"/>
        <v/>
      </c>
      <c r="C337" s="16"/>
      <c r="D337" s="40"/>
      <c r="E337" s="16"/>
      <c r="F337" s="41"/>
      <c r="G337" s="16"/>
      <c r="H337" s="16"/>
      <c r="I337" s="16"/>
      <c r="J337" s="22"/>
      <c r="K337" s="16"/>
      <c r="L337" s="50"/>
      <c r="M337" s="16"/>
      <c r="N337" s="19"/>
      <c r="O337" s="19"/>
      <c r="P337" s="19"/>
      <c r="Q337" s="19"/>
      <c r="R337" s="19"/>
      <c r="S337" s="19"/>
      <c r="T337" s="19"/>
      <c r="U337" s="19"/>
      <c r="V337" s="19"/>
      <c r="W337" s="20"/>
      <c r="X337" s="43"/>
    </row>
    <row r="338" spans="1:24" ht="15.75" hidden="1" customHeight="1" x14ac:dyDescent="0.25">
      <c r="A338" s="16"/>
      <c r="B338" s="16" t="str">
        <f t="shared" si="2"/>
        <v/>
      </c>
      <c r="C338" s="16"/>
      <c r="D338" s="40"/>
      <c r="E338" s="16"/>
      <c r="F338" s="41"/>
      <c r="G338" s="16"/>
      <c r="H338" s="16"/>
      <c r="I338" s="16"/>
      <c r="J338" s="22"/>
      <c r="K338" s="16"/>
      <c r="L338" s="50"/>
      <c r="M338" s="16"/>
      <c r="N338" s="19"/>
      <c r="O338" s="19"/>
      <c r="P338" s="19"/>
      <c r="Q338" s="19"/>
      <c r="R338" s="19"/>
      <c r="S338" s="19"/>
      <c r="T338" s="19"/>
      <c r="U338" s="19"/>
      <c r="V338" s="19"/>
      <c r="W338" s="20"/>
      <c r="X338" s="43"/>
    </row>
    <row r="339" spans="1:24" ht="15.75" hidden="1" customHeight="1" x14ac:dyDescent="0.25">
      <c r="A339" s="16"/>
      <c r="B339" s="16" t="str">
        <f t="shared" si="2"/>
        <v/>
      </c>
      <c r="C339" s="16"/>
      <c r="D339" s="40"/>
      <c r="E339" s="16"/>
      <c r="F339" s="41"/>
      <c r="G339" s="16"/>
      <c r="H339" s="16"/>
      <c r="I339" s="16"/>
      <c r="J339" s="22"/>
      <c r="K339" s="16"/>
      <c r="L339" s="50"/>
      <c r="M339" s="16"/>
      <c r="N339" s="19"/>
      <c r="O339" s="19"/>
      <c r="P339" s="19"/>
      <c r="Q339" s="19"/>
      <c r="R339" s="19"/>
      <c r="S339" s="19"/>
      <c r="T339" s="19"/>
      <c r="U339" s="19"/>
      <c r="V339" s="19"/>
      <c r="W339" s="20"/>
      <c r="X339" s="43"/>
    </row>
    <row r="340" spans="1:24" ht="15.75" hidden="1" customHeight="1" x14ac:dyDescent="0.25">
      <c r="A340" s="16"/>
      <c r="B340" s="16" t="str">
        <f t="shared" si="2"/>
        <v/>
      </c>
      <c r="C340" s="16"/>
      <c r="D340" s="40"/>
      <c r="E340" s="16"/>
      <c r="F340" s="41"/>
      <c r="G340" s="16"/>
      <c r="H340" s="16"/>
      <c r="I340" s="16"/>
      <c r="J340" s="22"/>
      <c r="K340" s="16"/>
      <c r="L340" s="50"/>
      <c r="M340" s="16"/>
      <c r="N340" s="19"/>
      <c r="O340" s="19"/>
      <c r="P340" s="19"/>
      <c r="Q340" s="19"/>
      <c r="R340" s="19"/>
      <c r="S340" s="19"/>
      <c r="T340" s="19"/>
      <c r="U340" s="19"/>
      <c r="V340" s="19"/>
      <c r="W340" s="20"/>
      <c r="X340" s="43"/>
    </row>
    <row r="341" spans="1:24" ht="15.75" hidden="1" customHeight="1" x14ac:dyDescent="0.25">
      <c r="A341" s="16"/>
      <c r="B341" s="16" t="str">
        <f t="shared" si="2"/>
        <v/>
      </c>
      <c r="C341" s="16"/>
      <c r="D341" s="40"/>
      <c r="E341" s="16"/>
      <c r="F341" s="41"/>
      <c r="G341" s="16"/>
      <c r="H341" s="16"/>
      <c r="I341" s="16"/>
      <c r="J341" s="22"/>
      <c r="K341" s="16"/>
      <c r="L341" s="50"/>
      <c r="M341" s="16"/>
      <c r="N341" s="19"/>
      <c r="O341" s="19"/>
      <c r="P341" s="19"/>
      <c r="Q341" s="19"/>
      <c r="R341" s="19"/>
      <c r="S341" s="19"/>
      <c r="T341" s="19"/>
      <c r="U341" s="19"/>
      <c r="V341" s="19"/>
      <c r="W341" s="20"/>
      <c r="X341" s="43"/>
    </row>
    <row r="342" spans="1:24" ht="15.75" hidden="1" customHeight="1" x14ac:dyDescent="0.25">
      <c r="A342" s="16"/>
      <c r="B342" s="16" t="str">
        <f t="shared" si="2"/>
        <v/>
      </c>
      <c r="C342" s="16"/>
      <c r="D342" s="40"/>
      <c r="E342" s="16"/>
      <c r="F342" s="41"/>
      <c r="G342" s="16"/>
      <c r="H342" s="16"/>
      <c r="I342" s="16"/>
      <c r="J342" s="22"/>
      <c r="K342" s="16"/>
      <c r="L342" s="50"/>
      <c r="M342" s="16"/>
      <c r="N342" s="19"/>
      <c r="O342" s="19"/>
      <c r="P342" s="19"/>
      <c r="Q342" s="19"/>
      <c r="R342" s="19"/>
      <c r="S342" s="19"/>
      <c r="T342" s="19"/>
      <c r="U342" s="19"/>
      <c r="V342" s="19"/>
      <c r="W342" s="20"/>
      <c r="X342" s="43"/>
    </row>
    <row r="343" spans="1:24" ht="15.75" hidden="1" customHeight="1" x14ac:dyDescent="0.25">
      <c r="A343" s="16"/>
      <c r="B343" s="16" t="str">
        <f t="shared" si="2"/>
        <v/>
      </c>
      <c r="C343" s="16"/>
      <c r="D343" s="40"/>
      <c r="E343" s="16"/>
      <c r="F343" s="41"/>
      <c r="G343" s="16"/>
      <c r="H343" s="16"/>
      <c r="I343" s="16"/>
      <c r="J343" s="22"/>
      <c r="K343" s="16"/>
      <c r="L343" s="50"/>
      <c r="M343" s="16"/>
      <c r="N343" s="19"/>
      <c r="O343" s="19"/>
      <c r="P343" s="19"/>
      <c r="Q343" s="19"/>
      <c r="R343" s="19"/>
      <c r="S343" s="19"/>
      <c r="T343" s="19"/>
      <c r="U343" s="19"/>
      <c r="V343" s="19"/>
      <c r="W343" s="20"/>
      <c r="X343" s="43"/>
    </row>
    <row r="344" spans="1:24" ht="15.75" hidden="1" customHeight="1" x14ac:dyDescent="0.25">
      <c r="A344" s="16"/>
      <c r="B344" s="16" t="str">
        <f t="shared" si="2"/>
        <v/>
      </c>
      <c r="C344" s="16"/>
      <c r="D344" s="40"/>
      <c r="E344" s="16"/>
      <c r="F344" s="41"/>
      <c r="G344" s="16"/>
      <c r="H344" s="16"/>
      <c r="I344" s="16"/>
      <c r="J344" s="22"/>
      <c r="K344" s="16"/>
      <c r="L344" s="50"/>
      <c r="M344" s="16"/>
      <c r="N344" s="19"/>
      <c r="O344" s="19"/>
      <c r="P344" s="19"/>
      <c r="Q344" s="19"/>
      <c r="R344" s="19"/>
      <c r="S344" s="19"/>
      <c r="T344" s="19"/>
      <c r="U344" s="19"/>
      <c r="V344" s="19"/>
      <c r="W344" s="20"/>
      <c r="X344" s="43"/>
    </row>
    <row r="345" spans="1:24" ht="15.75" hidden="1" customHeight="1" x14ac:dyDescent="0.25">
      <c r="A345" s="16"/>
      <c r="B345" s="16" t="str">
        <f t="shared" si="2"/>
        <v/>
      </c>
      <c r="C345" s="16"/>
      <c r="D345" s="40"/>
      <c r="E345" s="16"/>
      <c r="F345" s="41"/>
      <c r="G345" s="16"/>
      <c r="H345" s="16"/>
      <c r="I345" s="16"/>
      <c r="J345" s="22"/>
      <c r="K345" s="16"/>
      <c r="L345" s="50"/>
      <c r="M345" s="16"/>
      <c r="N345" s="19"/>
      <c r="O345" s="19"/>
      <c r="P345" s="19"/>
      <c r="Q345" s="19"/>
      <c r="R345" s="19"/>
      <c r="S345" s="19"/>
      <c r="T345" s="19"/>
      <c r="U345" s="19"/>
      <c r="V345" s="19"/>
      <c r="W345" s="20"/>
      <c r="X345" s="43"/>
    </row>
    <row r="346" spans="1:24" ht="15.75" hidden="1" customHeight="1" x14ac:dyDescent="0.25">
      <c r="A346" s="16"/>
      <c r="B346" s="16" t="str">
        <f t="shared" si="2"/>
        <v/>
      </c>
      <c r="C346" s="16"/>
      <c r="D346" s="40"/>
      <c r="E346" s="16"/>
      <c r="F346" s="41"/>
      <c r="G346" s="16"/>
      <c r="H346" s="16"/>
      <c r="I346" s="16"/>
      <c r="J346" s="22"/>
      <c r="K346" s="16"/>
      <c r="L346" s="50"/>
      <c r="M346" s="16"/>
      <c r="N346" s="19"/>
      <c r="O346" s="19"/>
      <c r="P346" s="19"/>
      <c r="Q346" s="19"/>
      <c r="R346" s="19"/>
      <c r="S346" s="19"/>
      <c r="T346" s="19"/>
      <c r="U346" s="19"/>
      <c r="V346" s="19"/>
      <c r="W346" s="20"/>
      <c r="X346" s="43"/>
    </row>
    <row r="347" spans="1:24" ht="15.75" hidden="1" customHeight="1" x14ac:dyDescent="0.25">
      <c r="A347" s="16"/>
      <c r="B347" s="16" t="str">
        <f t="shared" si="2"/>
        <v/>
      </c>
      <c r="C347" s="16"/>
      <c r="D347" s="40"/>
      <c r="E347" s="16"/>
      <c r="F347" s="41"/>
      <c r="G347" s="16"/>
      <c r="H347" s="16"/>
      <c r="I347" s="16"/>
      <c r="J347" s="22"/>
      <c r="K347" s="16"/>
      <c r="L347" s="50"/>
      <c r="M347" s="16"/>
      <c r="N347" s="19"/>
      <c r="O347" s="19"/>
      <c r="P347" s="19"/>
      <c r="Q347" s="19"/>
      <c r="R347" s="19"/>
      <c r="S347" s="19"/>
      <c r="T347" s="19"/>
      <c r="U347" s="19"/>
      <c r="V347" s="19"/>
      <c r="W347" s="20"/>
      <c r="X347" s="43"/>
    </row>
    <row r="348" spans="1:24" ht="15.75" hidden="1" customHeight="1" x14ac:dyDescent="0.25">
      <c r="A348" s="16"/>
      <c r="B348" s="16" t="str">
        <f t="shared" si="2"/>
        <v/>
      </c>
      <c r="C348" s="16"/>
      <c r="D348" s="40"/>
      <c r="E348" s="16"/>
      <c r="F348" s="41"/>
      <c r="G348" s="16"/>
      <c r="H348" s="16"/>
      <c r="I348" s="16"/>
      <c r="J348" s="22"/>
      <c r="K348" s="16"/>
      <c r="L348" s="50"/>
      <c r="M348" s="16"/>
      <c r="N348" s="19"/>
      <c r="O348" s="19"/>
      <c r="P348" s="19"/>
      <c r="Q348" s="19"/>
      <c r="R348" s="19"/>
      <c r="S348" s="19"/>
      <c r="T348" s="19"/>
      <c r="U348" s="19"/>
      <c r="V348" s="19"/>
      <c r="W348" s="20"/>
      <c r="X348" s="43"/>
    </row>
    <row r="349" spans="1:24" ht="15.75" hidden="1" customHeight="1" x14ac:dyDescent="0.25">
      <c r="A349" s="16"/>
      <c r="B349" s="16" t="str">
        <f t="shared" si="2"/>
        <v/>
      </c>
      <c r="C349" s="16"/>
      <c r="D349" s="40"/>
      <c r="E349" s="16"/>
      <c r="F349" s="41"/>
      <c r="G349" s="16"/>
      <c r="H349" s="16"/>
      <c r="I349" s="16"/>
      <c r="J349" s="22"/>
      <c r="K349" s="16"/>
      <c r="L349" s="50"/>
      <c r="M349" s="16"/>
      <c r="N349" s="19"/>
      <c r="O349" s="19"/>
      <c r="P349" s="19"/>
      <c r="Q349" s="19"/>
      <c r="R349" s="19"/>
      <c r="S349" s="19"/>
      <c r="T349" s="19"/>
      <c r="U349" s="19"/>
      <c r="V349" s="19"/>
      <c r="W349" s="20"/>
      <c r="X349" s="43"/>
    </row>
    <row r="350" spans="1:24" ht="15.75" hidden="1" customHeight="1" x14ac:dyDescent="0.25">
      <c r="A350" s="16"/>
      <c r="B350" s="16" t="str">
        <f t="shared" si="2"/>
        <v/>
      </c>
      <c r="C350" s="16"/>
      <c r="D350" s="40"/>
      <c r="E350" s="16"/>
      <c r="F350" s="41"/>
      <c r="G350" s="16"/>
      <c r="H350" s="16"/>
      <c r="I350" s="16"/>
      <c r="J350" s="22"/>
      <c r="K350" s="16"/>
      <c r="L350" s="50"/>
      <c r="M350" s="16"/>
      <c r="N350" s="19"/>
      <c r="O350" s="19"/>
      <c r="P350" s="19"/>
      <c r="Q350" s="19"/>
      <c r="R350" s="19"/>
      <c r="S350" s="19"/>
      <c r="T350" s="19"/>
      <c r="U350" s="19"/>
      <c r="V350" s="19"/>
      <c r="W350" s="20"/>
      <c r="X350" s="43"/>
    </row>
    <row r="351" spans="1:24" ht="15.75" hidden="1" customHeight="1" x14ac:dyDescent="0.25">
      <c r="A351" s="16"/>
      <c r="B351" s="16" t="str">
        <f t="shared" si="2"/>
        <v/>
      </c>
      <c r="C351" s="16"/>
      <c r="D351" s="40"/>
      <c r="E351" s="16"/>
      <c r="F351" s="41"/>
      <c r="G351" s="16"/>
      <c r="H351" s="16"/>
      <c r="I351" s="16"/>
      <c r="J351" s="22"/>
      <c r="K351" s="16"/>
      <c r="L351" s="50"/>
      <c r="M351" s="16"/>
      <c r="N351" s="19"/>
      <c r="O351" s="19"/>
      <c r="P351" s="19"/>
      <c r="Q351" s="19"/>
      <c r="R351" s="19"/>
      <c r="S351" s="19"/>
      <c r="T351" s="19"/>
      <c r="U351" s="19"/>
      <c r="V351" s="19"/>
      <c r="W351" s="20"/>
      <c r="X351" s="43"/>
    </row>
    <row r="352" spans="1:24" ht="15.75" hidden="1" customHeight="1" x14ac:dyDescent="0.25">
      <c r="A352" s="16"/>
      <c r="B352" s="16" t="str">
        <f t="shared" si="2"/>
        <v/>
      </c>
      <c r="C352" s="16"/>
      <c r="D352" s="40"/>
      <c r="E352" s="16"/>
      <c r="F352" s="41"/>
      <c r="G352" s="16"/>
      <c r="H352" s="16"/>
      <c r="I352" s="16"/>
      <c r="J352" s="22"/>
      <c r="K352" s="16"/>
      <c r="L352" s="50"/>
      <c r="M352" s="16"/>
      <c r="N352" s="19"/>
      <c r="O352" s="19"/>
      <c r="P352" s="19"/>
      <c r="Q352" s="19"/>
      <c r="R352" s="19"/>
      <c r="S352" s="19"/>
      <c r="T352" s="19"/>
      <c r="U352" s="19"/>
      <c r="V352" s="19"/>
      <c r="W352" s="20"/>
      <c r="X352" s="43"/>
    </row>
    <row r="353" spans="1:24" ht="15.75" hidden="1" customHeight="1" x14ac:dyDescent="0.25">
      <c r="A353" s="16"/>
      <c r="B353" s="16" t="str">
        <f t="shared" si="2"/>
        <v/>
      </c>
      <c r="C353" s="16"/>
      <c r="D353" s="40"/>
      <c r="E353" s="16"/>
      <c r="F353" s="41"/>
      <c r="G353" s="16"/>
      <c r="H353" s="16"/>
      <c r="I353" s="16"/>
      <c r="J353" s="22"/>
      <c r="K353" s="16"/>
      <c r="L353" s="50"/>
      <c r="M353" s="16"/>
      <c r="N353" s="19"/>
      <c r="O353" s="19"/>
      <c r="P353" s="19"/>
      <c r="Q353" s="19"/>
      <c r="R353" s="19"/>
      <c r="S353" s="19"/>
      <c r="T353" s="19"/>
      <c r="U353" s="19"/>
      <c r="V353" s="19"/>
      <c r="W353" s="20"/>
      <c r="X353" s="43"/>
    </row>
    <row r="354" spans="1:24" ht="15.75" hidden="1" customHeight="1" x14ac:dyDescent="0.25">
      <c r="A354" s="16"/>
      <c r="B354" s="16" t="str">
        <f t="shared" si="2"/>
        <v/>
      </c>
      <c r="C354" s="16"/>
      <c r="D354" s="40"/>
      <c r="E354" s="16"/>
      <c r="F354" s="41"/>
      <c r="G354" s="16"/>
      <c r="H354" s="16"/>
      <c r="I354" s="16"/>
      <c r="J354" s="22"/>
      <c r="K354" s="16"/>
      <c r="L354" s="50"/>
      <c r="M354" s="16"/>
      <c r="N354" s="19"/>
      <c r="O354" s="19"/>
      <c r="P354" s="19"/>
      <c r="Q354" s="19"/>
      <c r="R354" s="19"/>
      <c r="S354" s="19"/>
      <c r="T354" s="19"/>
      <c r="U354" s="19"/>
      <c r="V354" s="19"/>
      <c r="W354" s="20"/>
      <c r="X354" s="43"/>
    </row>
    <row r="355" spans="1:24" ht="15.75" hidden="1" customHeight="1" x14ac:dyDescent="0.25">
      <c r="A355" s="16"/>
      <c r="B355" s="16" t="str">
        <f t="shared" si="2"/>
        <v/>
      </c>
      <c r="C355" s="16"/>
      <c r="D355" s="40"/>
      <c r="E355" s="16"/>
      <c r="F355" s="41"/>
      <c r="G355" s="16"/>
      <c r="H355" s="16"/>
      <c r="I355" s="16"/>
      <c r="J355" s="22"/>
      <c r="K355" s="16"/>
      <c r="L355" s="50"/>
      <c r="M355" s="16"/>
      <c r="N355" s="19"/>
      <c r="O355" s="19"/>
      <c r="P355" s="19"/>
      <c r="Q355" s="19"/>
      <c r="R355" s="19"/>
      <c r="S355" s="19"/>
      <c r="T355" s="19"/>
      <c r="U355" s="19"/>
      <c r="V355" s="19"/>
      <c r="W355" s="20"/>
      <c r="X355" s="43"/>
    </row>
    <row r="356" spans="1:24" ht="15.75" hidden="1" customHeight="1" x14ac:dyDescent="0.25">
      <c r="A356" s="16"/>
      <c r="B356" s="16" t="str">
        <f t="shared" si="2"/>
        <v/>
      </c>
      <c r="C356" s="16"/>
      <c r="D356" s="40"/>
      <c r="E356" s="16"/>
      <c r="F356" s="41"/>
      <c r="G356" s="16"/>
      <c r="H356" s="16"/>
      <c r="I356" s="16"/>
      <c r="J356" s="22"/>
      <c r="K356" s="16"/>
      <c r="L356" s="50"/>
      <c r="M356" s="16"/>
      <c r="N356" s="19"/>
      <c r="O356" s="19"/>
      <c r="P356" s="19"/>
      <c r="Q356" s="19"/>
      <c r="R356" s="19"/>
      <c r="S356" s="19"/>
      <c r="T356" s="19"/>
      <c r="U356" s="19"/>
      <c r="V356" s="19"/>
      <c r="W356" s="20"/>
      <c r="X356" s="43"/>
    </row>
    <row r="357" spans="1:24" ht="15.75" hidden="1" customHeight="1" x14ac:dyDescent="0.25">
      <c r="A357" s="16"/>
      <c r="B357" s="16" t="str">
        <f t="shared" si="2"/>
        <v/>
      </c>
      <c r="C357" s="16"/>
      <c r="D357" s="40"/>
      <c r="E357" s="16"/>
      <c r="F357" s="41"/>
      <c r="G357" s="16"/>
      <c r="H357" s="16"/>
      <c r="I357" s="16"/>
      <c r="J357" s="22"/>
      <c r="K357" s="16"/>
      <c r="L357" s="50"/>
      <c r="M357" s="16"/>
      <c r="N357" s="19"/>
      <c r="O357" s="19"/>
      <c r="P357" s="19"/>
      <c r="Q357" s="19"/>
      <c r="R357" s="19"/>
      <c r="S357" s="19"/>
      <c r="T357" s="19"/>
      <c r="U357" s="19"/>
      <c r="V357" s="19"/>
      <c r="W357" s="20"/>
      <c r="X357" s="43"/>
    </row>
    <row r="358" spans="1:24" ht="15.75" hidden="1" customHeight="1" x14ac:dyDescent="0.25">
      <c r="A358" s="16"/>
      <c r="B358" s="16" t="str">
        <f t="shared" si="2"/>
        <v/>
      </c>
      <c r="C358" s="16"/>
      <c r="D358" s="40"/>
      <c r="E358" s="16"/>
      <c r="F358" s="41"/>
      <c r="G358" s="16"/>
      <c r="H358" s="16"/>
      <c r="I358" s="16"/>
      <c r="J358" s="22"/>
      <c r="K358" s="16"/>
      <c r="L358" s="50"/>
      <c r="M358" s="16"/>
      <c r="N358" s="19"/>
      <c r="O358" s="19"/>
      <c r="P358" s="19"/>
      <c r="Q358" s="19"/>
      <c r="R358" s="19"/>
      <c r="S358" s="19"/>
      <c r="T358" s="19"/>
      <c r="U358" s="19"/>
      <c r="V358" s="19"/>
      <c r="W358" s="20"/>
      <c r="X358" s="43"/>
    </row>
    <row r="359" spans="1:24" ht="15.75" hidden="1" customHeight="1" x14ac:dyDescent="0.25">
      <c r="A359" s="16"/>
      <c r="B359" s="16" t="str">
        <f t="shared" si="2"/>
        <v/>
      </c>
      <c r="C359" s="16"/>
      <c r="D359" s="40"/>
      <c r="E359" s="16"/>
      <c r="F359" s="41"/>
      <c r="G359" s="16"/>
      <c r="H359" s="16"/>
      <c r="I359" s="16"/>
      <c r="J359" s="22"/>
      <c r="K359" s="16"/>
      <c r="L359" s="50"/>
      <c r="M359" s="16"/>
      <c r="N359" s="19"/>
      <c r="O359" s="19"/>
      <c r="P359" s="19"/>
      <c r="Q359" s="19"/>
      <c r="R359" s="19"/>
      <c r="S359" s="19"/>
      <c r="T359" s="19"/>
      <c r="U359" s="19"/>
      <c r="V359" s="19"/>
      <c r="W359" s="20"/>
      <c r="X359" s="43"/>
    </row>
    <row r="360" spans="1:24" ht="15.75" hidden="1" customHeight="1" x14ac:dyDescent="0.25">
      <c r="A360" s="16"/>
      <c r="B360" s="16" t="str">
        <f t="shared" si="2"/>
        <v/>
      </c>
      <c r="C360" s="16"/>
      <c r="D360" s="40"/>
      <c r="E360" s="16"/>
      <c r="F360" s="41"/>
      <c r="G360" s="16"/>
      <c r="H360" s="16"/>
      <c r="I360" s="16"/>
      <c r="J360" s="22"/>
      <c r="K360" s="16"/>
      <c r="L360" s="50"/>
      <c r="M360" s="16"/>
      <c r="N360" s="19"/>
      <c r="O360" s="19"/>
      <c r="P360" s="19"/>
      <c r="Q360" s="19"/>
      <c r="R360" s="19"/>
      <c r="S360" s="19"/>
      <c r="T360" s="19"/>
      <c r="U360" s="19"/>
      <c r="V360" s="19"/>
      <c r="W360" s="20"/>
      <c r="X360" s="43"/>
    </row>
    <row r="361" spans="1:24" ht="15.75" hidden="1" customHeight="1" x14ac:dyDescent="0.25">
      <c r="A361" s="16"/>
      <c r="B361" s="16" t="str">
        <f t="shared" si="2"/>
        <v/>
      </c>
      <c r="C361" s="16"/>
      <c r="D361" s="40"/>
      <c r="E361" s="16"/>
      <c r="F361" s="41"/>
      <c r="G361" s="16"/>
      <c r="H361" s="16"/>
      <c r="I361" s="16"/>
      <c r="J361" s="22"/>
      <c r="K361" s="16"/>
      <c r="L361" s="50"/>
      <c r="M361" s="16"/>
      <c r="N361" s="19"/>
      <c r="O361" s="19"/>
      <c r="P361" s="19"/>
      <c r="Q361" s="19"/>
      <c r="R361" s="19"/>
      <c r="S361" s="19"/>
      <c r="T361" s="19"/>
      <c r="U361" s="19"/>
      <c r="V361" s="19"/>
      <c r="W361" s="20"/>
      <c r="X361" s="43"/>
    </row>
    <row r="362" spans="1:24" ht="15.75" hidden="1" customHeight="1" x14ac:dyDescent="0.25">
      <c r="A362" s="16"/>
      <c r="B362" s="16" t="str">
        <f t="shared" si="2"/>
        <v/>
      </c>
      <c r="C362" s="16"/>
      <c r="D362" s="40"/>
      <c r="E362" s="16"/>
      <c r="F362" s="41"/>
      <c r="G362" s="16"/>
      <c r="H362" s="16"/>
      <c r="I362" s="16"/>
      <c r="J362" s="22"/>
      <c r="K362" s="16"/>
      <c r="L362" s="50"/>
      <c r="M362" s="16"/>
      <c r="N362" s="19"/>
      <c r="O362" s="19"/>
      <c r="P362" s="19"/>
      <c r="Q362" s="19"/>
      <c r="R362" s="19"/>
      <c r="S362" s="19"/>
      <c r="T362" s="19"/>
      <c r="U362" s="19"/>
      <c r="V362" s="19"/>
      <c r="W362" s="20"/>
      <c r="X362" s="43"/>
    </row>
    <row r="363" spans="1:24" ht="15.75" hidden="1" customHeight="1" x14ac:dyDescent="0.25">
      <c r="A363" s="16"/>
      <c r="B363" s="16" t="str">
        <f t="shared" si="2"/>
        <v/>
      </c>
      <c r="C363" s="16"/>
      <c r="D363" s="40"/>
      <c r="E363" s="16"/>
      <c r="F363" s="41"/>
      <c r="G363" s="16"/>
      <c r="H363" s="16"/>
      <c r="I363" s="16"/>
      <c r="J363" s="22"/>
      <c r="K363" s="16"/>
      <c r="L363" s="50"/>
      <c r="M363" s="16"/>
      <c r="N363" s="19"/>
      <c r="O363" s="19"/>
      <c r="P363" s="19"/>
      <c r="Q363" s="19"/>
      <c r="R363" s="19"/>
      <c r="S363" s="19"/>
      <c r="T363" s="19"/>
      <c r="U363" s="19"/>
      <c r="V363" s="19"/>
      <c r="W363" s="20"/>
      <c r="X363" s="43"/>
    </row>
    <row r="364" spans="1:24" ht="15.75" hidden="1" customHeight="1" x14ac:dyDescent="0.25">
      <c r="A364" s="16"/>
      <c r="B364" s="16" t="str">
        <f t="shared" si="2"/>
        <v/>
      </c>
      <c r="C364" s="16"/>
      <c r="D364" s="40"/>
      <c r="E364" s="16"/>
      <c r="F364" s="41"/>
      <c r="G364" s="16"/>
      <c r="H364" s="16"/>
      <c r="I364" s="16"/>
      <c r="J364" s="22"/>
      <c r="K364" s="16"/>
      <c r="L364" s="50"/>
      <c r="M364" s="16"/>
      <c r="N364" s="19"/>
      <c r="O364" s="19"/>
      <c r="P364" s="19"/>
      <c r="Q364" s="19"/>
      <c r="R364" s="19"/>
      <c r="S364" s="19"/>
      <c r="T364" s="19"/>
      <c r="U364" s="19"/>
      <c r="V364" s="19"/>
      <c r="W364" s="20"/>
      <c r="X364" s="43"/>
    </row>
    <row r="365" spans="1:24" ht="15.75" hidden="1" customHeight="1" x14ac:dyDescent="0.25">
      <c r="A365" s="16"/>
      <c r="B365" s="16" t="str">
        <f t="shared" si="2"/>
        <v/>
      </c>
      <c r="C365" s="16"/>
      <c r="D365" s="40"/>
      <c r="E365" s="16"/>
      <c r="F365" s="41"/>
      <c r="G365" s="16"/>
      <c r="H365" s="16"/>
      <c r="I365" s="16"/>
      <c r="J365" s="22"/>
      <c r="K365" s="16"/>
      <c r="L365" s="50"/>
      <c r="M365" s="16"/>
      <c r="N365" s="19"/>
      <c r="O365" s="19"/>
      <c r="P365" s="19"/>
      <c r="Q365" s="19"/>
      <c r="R365" s="19"/>
      <c r="S365" s="19"/>
      <c r="T365" s="19"/>
      <c r="U365" s="19"/>
      <c r="V365" s="19"/>
      <c r="W365" s="20"/>
      <c r="X365" s="43"/>
    </row>
    <row r="366" spans="1:24" ht="15.75" hidden="1" customHeight="1" x14ac:dyDescent="0.25">
      <c r="A366" s="16"/>
      <c r="B366" s="16" t="str">
        <f t="shared" si="2"/>
        <v/>
      </c>
      <c r="C366" s="16"/>
      <c r="D366" s="40"/>
      <c r="E366" s="16"/>
      <c r="F366" s="41"/>
      <c r="G366" s="16"/>
      <c r="H366" s="16"/>
      <c r="I366" s="16"/>
      <c r="J366" s="22"/>
      <c r="K366" s="16"/>
      <c r="L366" s="50"/>
      <c r="M366" s="16"/>
      <c r="N366" s="19"/>
      <c r="O366" s="19"/>
      <c r="P366" s="19"/>
      <c r="Q366" s="19"/>
      <c r="R366" s="19"/>
      <c r="S366" s="19"/>
      <c r="T366" s="19"/>
      <c r="U366" s="19"/>
      <c r="V366" s="19"/>
      <c r="W366" s="20"/>
      <c r="X366" s="43"/>
    </row>
    <row r="367" spans="1:24" ht="15.75" hidden="1" customHeight="1" x14ac:dyDescent="0.25">
      <c r="A367" s="16"/>
      <c r="B367" s="16" t="str">
        <f t="shared" si="2"/>
        <v/>
      </c>
      <c r="C367" s="16"/>
      <c r="D367" s="40"/>
      <c r="E367" s="16"/>
      <c r="F367" s="41"/>
      <c r="G367" s="16"/>
      <c r="H367" s="16"/>
      <c r="I367" s="16"/>
      <c r="J367" s="22"/>
      <c r="K367" s="16"/>
      <c r="L367" s="50"/>
      <c r="M367" s="16"/>
      <c r="N367" s="19"/>
      <c r="O367" s="19"/>
      <c r="P367" s="19"/>
      <c r="Q367" s="19"/>
      <c r="R367" s="19"/>
      <c r="S367" s="19"/>
      <c r="T367" s="19"/>
      <c r="U367" s="19"/>
      <c r="V367" s="19"/>
      <c r="W367" s="20"/>
      <c r="X367" s="43"/>
    </row>
    <row r="368" spans="1:24" ht="15.75" hidden="1" customHeight="1" x14ac:dyDescent="0.25">
      <c r="A368" s="16"/>
      <c r="B368" s="16" t="str">
        <f t="shared" si="2"/>
        <v/>
      </c>
      <c r="C368" s="16"/>
      <c r="D368" s="40"/>
      <c r="E368" s="16"/>
      <c r="F368" s="41"/>
      <c r="G368" s="16"/>
      <c r="H368" s="16"/>
      <c r="I368" s="16"/>
      <c r="J368" s="22"/>
      <c r="K368" s="16"/>
      <c r="L368" s="50"/>
      <c r="M368" s="16"/>
      <c r="N368" s="19"/>
      <c r="O368" s="19"/>
      <c r="P368" s="19"/>
      <c r="Q368" s="19"/>
      <c r="R368" s="19"/>
      <c r="S368" s="19"/>
      <c r="T368" s="19"/>
      <c r="U368" s="19"/>
      <c r="V368" s="19"/>
      <c r="W368" s="20"/>
      <c r="X368" s="43"/>
    </row>
    <row r="369" spans="1:24" ht="15.75" hidden="1" customHeight="1" x14ac:dyDescent="0.25">
      <c r="A369" s="16"/>
      <c r="B369" s="16" t="str">
        <f t="shared" si="2"/>
        <v/>
      </c>
      <c r="C369" s="16"/>
      <c r="D369" s="40"/>
      <c r="E369" s="16"/>
      <c r="F369" s="41"/>
      <c r="G369" s="16"/>
      <c r="H369" s="16"/>
      <c r="I369" s="16"/>
      <c r="J369" s="22"/>
      <c r="K369" s="16"/>
      <c r="L369" s="50"/>
      <c r="M369" s="16"/>
      <c r="N369" s="19"/>
      <c r="O369" s="19"/>
      <c r="P369" s="19"/>
      <c r="Q369" s="19"/>
      <c r="R369" s="19"/>
      <c r="S369" s="19"/>
      <c r="T369" s="19"/>
      <c r="U369" s="19"/>
      <c r="V369" s="19"/>
      <c r="W369" s="20"/>
      <c r="X369" s="43"/>
    </row>
    <row r="370" spans="1:24" ht="15.75" hidden="1" customHeight="1" x14ac:dyDescent="0.25">
      <c r="A370" s="16"/>
      <c r="B370" s="16" t="str">
        <f t="shared" si="2"/>
        <v/>
      </c>
      <c r="C370" s="16"/>
      <c r="D370" s="40"/>
      <c r="E370" s="16"/>
      <c r="F370" s="41"/>
      <c r="G370" s="16"/>
      <c r="H370" s="16"/>
      <c r="I370" s="16"/>
      <c r="J370" s="22"/>
      <c r="K370" s="16"/>
      <c r="L370" s="50"/>
      <c r="M370" s="16"/>
      <c r="N370" s="19"/>
      <c r="O370" s="19"/>
      <c r="P370" s="19"/>
      <c r="Q370" s="19"/>
      <c r="R370" s="19"/>
      <c r="S370" s="19"/>
      <c r="T370" s="19"/>
      <c r="U370" s="19"/>
      <c r="V370" s="19"/>
      <c r="W370" s="20"/>
      <c r="X370" s="43"/>
    </row>
    <row r="371" spans="1:24" ht="15.75" hidden="1" customHeight="1" x14ac:dyDescent="0.25">
      <c r="A371" s="16"/>
      <c r="B371" s="16" t="str">
        <f t="shared" si="2"/>
        <v/>
      </c>
      <c r="C371" s="16"/>
      <c r="D371" s="40"/>
      <c r="E371" s="16"/>
      <c r="F371" s="41"/>
      <c r="G371" s="16"/>
      <c r="H371" s="16"/>
      <c r="I371" s="16"/>
      <c r="J371" s="22"/>
      <c r="K371" s="16"/>
      <c r="L371" s="50"/>
      <c r="M371" s="16"/>
      <c r="N371" s="19"/>
      <c r="O371" s="19"/>
      <c r="P371" s="19"/>
      <c r="Q371" s="19"/>
      <c r="R371" s="19"/>
      <c r="S371" s="19"/>
      <c r="T371" s="19"/>
      <c r="U371" s="19"/>
      <c r="V371" s="19"/>
      <c r="W371" s="20"/>
      <c r="X371" s="43"/>
    </row>
    <row r="372" spans="1:24" ht="15.75" hidden="1" customHeight="1" x14ac:dyDescent="0.25">
      <c r="A372" s="16"/>
      <c r="B372" s="16" t="str">
        <f t="shared" si="2"/>
        <v/>
      </c>
      <c r="C372" s="16"/>
      <c r="D372" s="40"/>
      <c r="E372" s="16"/>
      <c r="F372" s="41"/>
      <c r="G372" s="16"/>
      <c r="H372" s="16"/>
      <c r="I372" s="16"/>
      <c r="J372" s="22"/>
      <c r="K372" s="16"/>
      <c r="L372" s="50"/>
      <c r="M372" s="16"/>
      <c r="N372" s="19"/>
      <c r="O372" s="19"/>
      <c r="P372" s="19"/>
      <c r="Q372" s="19"/>
      <c r="R372" s="19"/>
      <c r="S372" s="19"/>
      <c r="T372" s="19"/>
      <c r="U372" s="19"/>
      <c r="V372" s="19"/>
      <c r="W372" s="20"/>
      <c r="X372" s="43"/>
    </row>
    <row r="373" spans="1:24" ht="15.75" hidden="1" customHeight="1" x14ac:dyDescent="0.25">
      <c r="A373" s="16"/>
      <c r="B373" s="16" t="str">
        <f t="shared" si="2"/>
        <v/>
      </c>
      <c r="C373" s="16"/>
      <c r="D373" s="40"/>
      <c r="E373" s="16"/>
      <c r="F373" s="41"/>
      <c r="G373" s="16"/>
      <c r="H373" s="16"/>
      <c r="I373" s="16"/>
      <c r="J373" s="22"/>
      <c r="K373" s="16"/>
      <c r="L373" s="50"/>
      <c r="M373" s="16"/>
      <c r="N373" s="19"/>
      <c r="O373" s="19"/>
      <c r="P373" s="19"/>
      <c r="Q373" s="19"/>
      <c r="R373" s="19"/>
      <c r="S373" s="19"/>
      <c r="T373" s="19"/>
      <c r="U373" s="19"/>
      <c r="V373" s="19"/>
      <c r="W373" s="20"/>
      <c r="X373" s="43"/>
    </row>
    <row r="374" spans="1:24" ht="15.75" hidden="1" customHeight="1" x14ac:dyDescent="0.25">
      <c r="A374" s="16"/>
      <c r="B374" s="16" t="str">
        <f t="shared" si="2"/>
        <v/>
      </c>
      <c r="C374" s="16"/>
      <c r="D374" s="40"/>
      <c r="E374" s="16"/>
      <c r="F374" s="41"/>
      <c r="G374" s="16"/>
      <c r="H374" s="16"/>
      <c r="I374" s="16"/>
      <c r="J374" s="22"/>
      <c r="K374" s="16"/>
      <c r="L374" s="50"/>
      <c r="M374" s="16"/>
      <c r="N374" s="19"/>
      <c r="O374" s="19"/>
      <c r="P374" s="19"/>
      <c r="Q374" s="19"/>
      <c r="R374" s="19"/>
      <c r="S374" s="19"/>
      <c r="T374" s="19"/>
      <c r="U374" s="19"/>
      <c r="V374" s="19"/>
      <c r="W374" s="20"/>
      <c r="X374" s="43"/>
    </row>
    <row r="375" spans="1:24" ht="15.75" hidden="1" customHeight="1" x14ac:dyDescent="0.25">
      <c r="A375" s="16"/>
      <c r="B375" s="16" t="str">
        <f t="shared" si="2"/>
        <v/>
      </c>
      <c r="C375" s="16"/>
      <c r="D375" s="40"/>
      <c r="E375" s="16"/>
      <c r="F375" s="41"/>
      <c r="G375" s="16"/>
      <c r="H375" s="16"/>
      <c r="I375" s="16"/>
      <c r="J375" s="22"/>
      <c r="K375" s="16"/>
      <c r="L375" s="50"/>
      <c r="M375" s="16"/>
      <c r="N375" s="19"/>
      <c r="O375" s="19"/>
      <c r="P375" s="19"/>
      <c r="Q375" s="19"/>
      <c r="R375" s="19"/>
      <c r="S375" s="19"/>
      <c r="T375" s="19"/>
      <c r="U375" s="19"/>
      <c r="V375" s="19"/>
      <c r="W375" s="20"/>
      <c r="X375" s="43"/>
    </row>
    <row r="376" spans="1:24" ht="15.75" hidden="1" customHeight="1" x14ac:dyDescent="0.25">
      <c r="A376" s="16"/>
      <c r="B376" s="16" t="str">
        <f t="shared" si="2"/>
        <v/>
      </c>
      <c r="C376" s="16"/>
      <c r="D376" s="40"/>
      <c r="E376" s="16"/>
      <c r="F376" s="41"/>
      <c r="G376" s="16"/>
      <c r="H376" s="16"/>
      <c r="I376" s="16"/>
      <c r="J376" s="22"/>
      <c r="K376" s="16"/>
      <c r="L376" s="50"/>
      <c r="M376" s="16"/>
      <c r="N376" s="19"/>
      <c r="O376" s="19"/>
      <c r="P376" s="19"/>
      <c r="Q376" s="19"/>
      <c r="R376" s="19"/>
      <c r="S376" s="19"/>
      <c r="T376" s="19"/>
      <c r="U376" s="19"/>
      <c r="V376" s="19"/>
      <c r="W376" s="20"/>
      <c r="X376" s="43"/>
    </row>
    <row r="377" spans="1:24" ht="15.75" hidden="1" customHeight="1" x14ac:dyDescent="0.25">
      <c r="A377" s="16"/>
      <c r="B377" s="16" t="str">
        <f t="shared" si="2"/>
        <v/>
      </c>
      <c r="C377" s="16"/>
      <c r="D377" s="40"/>
      <c r="E377" s="16"/>
      <c r="F377" s="41"/>
      <c r="G377" s="16"/>
      <c r="H377" s="16"/>
      <c r="I377" s="16"/>
      <c r="J377" s="22"/>
      <c r="K377" s="16"/>
      <c r="L377" s="50"/>
      <c r="M377" s="16"/>
      <c r="N377" s="19"/>
      <c r="O377" s="19"/>
      <c r="P377" s="19"/>
      <c r="Q377" s="19"/>
      <c r="R377" s="19"/>
      <c r="S377" s="19"/>
      <c r="T377" s="19"/>
      <c r="U377" s="19"/>
      <c r="V377" s="19"/>
      <c r="W377" s="20"/>
      <c r="X377" s="43"/>
    </row>
    <row r="378" spans="1:24" ht="15.75" hidden="1" customHeight="1" x14ac:dyDescent="0.25">
      <c r="A378" s="16"/>
      <c r="B378" s="16" t="str">
        <f t="shared" si="2"/>
        <v/>
      </c>
      <c r="C378" s="16"/>
      <c r="D378" s="40"/>
      <c r="E378" s="16"/>
      <c r="F378" s="41"/>
      <c r="G378" s="16"/>
      <c r="H378" s="16"/>
      <c r="I378" s="16"/>
      <c r="J378" s="22"/>
      <c r="K378" s="16"/>
      <c r="L378" s="50"/>
      <c r="M378" s="16"/>
      <c r="N378" s="19"/>
      <c r="O378" s="19"/>
      <c r="P378" s="19"/>
      <c r="Q378" s="19"/>
      <c r="R378" s="19"/>
      <c r="S378" s="19"/>
      <c r="T378" s="19"/>
      <c r="U378" s="19"/>
      <c r="V378" s="19"/>
      <c r="W378" s="20"/>
      <c r="X378" s="43"/>
    </row>
    <row r="379" spans="1:24" ht="15.75" hidden="1" customHeight="1" x14ac:dyDescent="0.25">
      <c r="A379" s="16"/>
      <c r="B379" s="16" t="str">
        <f t="shared" si="2"/>
        <v/>
      </c>
      <c r="C379" s="16"/>
      <c r="D379" s="40"/>
      <c r="E379" s="16"/>
      <c r="F379" s="41"/>
      <c r="G379" s="16"/>
      <c r="H379" s="16"/>
      <c r="I379" s="16"/>
      <c r="J379" s="22"/>
      <c r="K379" s="16"/>
      <c r="L379" s="50"/>
      <c r="M379" s="16"/>
      <c r="N379" s="19"/>
      <c r="O379" s="19"/>
      <c r="P379" s="19"/>
      <c r="Q379" s="19"/>
      <c r="R379" s="19"/>
      <c r="S379" s="19"/>
      <c r="T379" s="19"/>
      <c r="U379" s="19"/>
      <c r="V379" s="19"/>
      <c r="W379" s="20"/>
      <c r="X379" s="43"/>
    </row>
    <row r="380" spans="1:24" ht="15.75" hidden="1" customHeight="1" x14ac:dyDescent="0.25">
      <c r="A380" s="16"/>
      <c r="B380" s="16" t="str">
        <f t="shared" si="2"/>
        <v/>
      </c>
      <c r="C380" s="16"/>
      <c r="D380" s="40"/>
      <c r="E380" s="16"/>
      <c r="F380" s="41"/>
      <c r="G380" s="16"/>
      <c r="H380" s="16"/>
      <c r="I380" s="16"/>
      <c r="J380" s="22"/>
      <c r="K380" s="16"/>
      <c r="L380" s="50"/>
      <c r="M380" s="16"/>
      <c r="N380" s="19"/>
      <c r="O380" s="19"/>
      <c r="P380" s="19"/>
      <c r="Q380" s="19"/>
      <c r="R380" s="19"/>
      <c r="S380" s="19"/>
      <c r="T380" s="19"/>
      <c r="U380" s="19"/>
      <c r="V380" s="19"/>
      <c r="W380" s="20"/>
      <c r="X380" s="43"/>
    </row>
    <row r="381" spans="1:24" ht="15.75" hidden="1" customHeight="1" x14ac:dyDescent="0.25">
      <c r="A381" s="16"/>
      <c r="B381" s="16" t="str">
        <f t="shared" si="2"/>
        <v/>
      </c>
      <c r="C381" s="16"/>
      <c r="D381" s="40"/>
      <c r="E381" s="16"/>
      <c r="F381" s="41"/>
      <c r="G381" s="16"/>
      <c r="H381" s="16"/>
      <c r="I381" s="16"/>
      <c r="J381" s="22"/>
      <c r="K381" s="16"/>
      <c r="L381" s="50"/>
      <c r="M381" s="16"/>
      <c r="N381" s="19"/>
      <c r="O381" s="19"/>
      <c r="P381" s="19"/>
      <c r="Q381" s="19"/>
      <c r="R381" s="19"/>
      <c r="S381" s="19"/>
      <c r="T381" s="19"/>
      <c r="U381" s="19"/>
      <c r="V381" s="19"/>
      <c r="W381" s="20"/>
      <c r="X381" s="43"/>
    </row>
    <row r="382" spans="1:24" ht="15.75" hidden="1" customHeight="1" x14ac:dyDescent="0.25">
      <c r="A382" s="16"/>
      <c r="B382" s="16" t="str">
        <f t="shared" si="2"/>
        <v/>
      </c>
      <c r="C382" s="16"/>
      <c r="D382" s="40"/>
      <c r="E382" s="16"/>
      <c r="F382" s="41"/>
      <c r="G382" s="16"/>
      <c r="H382" s="16"/>
      <c r="I382" s="16"/>
      <c r="J382" s="22"/>
      <c r="K382" s="16"/>
      <c r="L382" s="50"/>
      <c r="M382" s="16"/>
      <c r="N382" s="19"/>
      <c r="O382" s="19"/>
      <c r="P382" s="19"/>
      <c r="Q382" s="19"/>
      <c r="R382" s="19"/>
      <c r="S382" s="19"/>
      <c r="T382" s="19"/>
      <c r="U382" s="19"/>
      <c r="V382" s="19"/>
      <c r="W382" s="20"/>
      <c r="X382" s="43"/>
    </row>
    <row r="383" spans="1:24" ht="15.75" hidden="1" customHeight="1" x14ac:dyDescent="0.25">
      <c r="A383" s="16"/>
      <c r="B383" s="16" t="str">
        <f t="shared" si="2"/>
        <v/>
      </c>
      <c r="C383" s="16"/>
      <c r="D383" s="40"/>
      <c r="E383" s="16"/>
      <c r="F383" s="41"/>
      <c r="G383" s="16"/>
      <c r="H383" s="16"/>
      <c r="I383" s="16"/>
      <c r="J383" s="22"/>
      <c r="K383" s="16"/>
      <c r="L383" s="50"/>
      <c r="M383" s="16"/>
      <c r="N383" s="19"/>
      <c r="O383" s="19"/>
      <c r="P383" s="19"/>
      <c r="Q383" s="19"/>
      <c r="R383" s="19"/>
      <c r="S383" s="19"/>
      <c r="T383" s="19"/>
      <c r="U383" s="19"/>
      <c r="V383" s="19"/>
      <c r="W383" s="20"/>
      <c r="X383" s="43"/>
    </row>
    <row r="384" spans="1:24" ht="15.75" hidden="1" customHeight="1" x14ac:dyDescent="0.25">
      <c r="A384" s="16"/>
      <c r="B384" s="16" t="str">
        <f t="shared" si="2"/>
        <v/>
      </c>
      <c r="C384" s="16"/>
      <c r="D384" s="40"/>
      <c r="E384" s="16"/>
      <c r="F384" s="41"/>
      <c r="G384" s="16"/>
      <c r="H384" s="16"/>
      <c r="I384" s="16"/>
      <c r="J384" s="22"/>
      <c r="K384" s="16"/>
      <c r="L384" s="50"/>
      <c r="M384" s="16"/>
      <c r="N384" s="19"/>
      <c r="O384" s="19"/>
      <c r="P384" s="19"/>
      <c r="Q384" s="19"/>
      <c r="R384" s="19"/>
      <c r="S384" s="19"/>
      <c r="T384" s="19"/>
      <c r="U384" s="19"/>
      <c r="V384" s="19"/>
      <c r="W384" s="20"/>
      <c r="X384" s="43"/>
    </row>
    <row r="385" spans="1:24" ht="15.75" hidden="1" customHeight="1" x14ac:dyDescent="0.25">
      <c r="A385" s="16"/>
      <c r="B385" s="16" t="str">
        <f t="shared" si="2"/>
        <v/>
      </c>
      <c r="C385" s="16"/>
      <c r="D385" s="40"/>
      <c r="E385" s="16"/>
      <c r="F385" s="41"/>
      <c r="G385" s="16"/>
      <c r="H385" s="16"/>
      <c r="I385" s="16"/>
      <c r="J385" s="22"/>
      <c r="K385" s="16"/>
      <c r="L385" s="50"/>
      <c r="M385" s="16"/>
      <c r="N385" s="19"/>
      <c r="O385" s="19"/>
      <c r="P385" s="19"/>
      <c r="Q385" s="19"/>
      <c r="R385" s="19"/>
      <c r="S385" s="19"/>
      <c r="T385" s="19"/>
      <c r="U385" s="19"/>
      <c r="V385" s="19"/>
      <c r="W385" s="20"/>
      <c r="X385" s="43"/>
    </row>
    <row r="386" spans="1:24" ht="15.75" hidden="1" customHeight="1" x14ac:dyDescent="0.25">
      <c r="A386" s="16"/>
      <c r="B386" s="16" t="str">
        <f t="shared" si="2"/>
        <v/>
      </c>
      <c r="C386" s="16"/>
      <c r="D386" s="40"/>
      <c r="E386" s="16"/>
      <c r="F386" s="41"/>
      <c r="G386" s="16"/>
      <c r="H386" s="16"/>
      <c r="I386" s="16"/>
      <c r="J386" s="22"/>
      <c r="K386" s="16"/>
      <c r="L386" s="50"/>
      <c r="M386" s="16"/>
      <c r="N386" s="19"/>
      <c r="O386" s="19"/>
      <c r="P386" s="19"/>
      <c r="Q386" s="19"/>
      <c r="R386" s="19"/>
      <c r="S386" s="19"/>
      <c r="T386" s="19"/>
      <c r="U386" s="19"/>
      <c r="V386" s="19"/>
      <c r="W386" s="20"/>
      <c r="X386" s="43"/>
    </row>
    <row r="387" spans="1:24" ht="15.75" hidden="1" customHeight="1" x14ac:dyDescent="0.25">
      <c r="A387" s="16"/>
      <c r="B387" s="16" t="str">
        <f t="shared" si="2"/>
        <v/>
      </c>
      <c r="C387" s="16"/>
      <c r="D387" s="40"/>
      <c r="E387" s="16"/>
      <c r="F387" s="41"/>
      <c r="G387" s="16"/>
      <c r="H387" s="16"/>
      <c r="I387" s="16"/>
      <c r="J387" s="22"/>
      <c r="K387" s="16"/>
      <c r="L387" s="50"/>
      <c r="M387" s="16"/>
      <c r="N387" s="19"/>
      <c r="O387" s="19"/>
      <c r="P387" s="19"/>
      <c r="Q387" s="19"/>
      <c r="R387" s="19"/>
      <c r="S387" s="19"/>
      <c r="T387" s="19"/>
      <c r="U387" s="19"/>
      <c r="V387" s="19"/>
      <c r="W387" s="20"/>
      <c r="X387" s="43"/>
    </row>
    <row r="388" spans="1:24" ht="15.75" hidden="1" customHeight="1" x14ac:dyDescent="0.25">
      <c r="A388" s="16"/>
      <c r="B388" s="16" t="str">
        <f t="shared" si="2"/>
        <v/>
      </c>
      <c r="C388" s="16"/>
      <c r="D388" s="40"/>
      <c r="E388" s="16"/>
      <c r="F388" s="41"/>
      <c r="G388" s="16"/>
      <c r="H388" s="16"/>
      <c r="I388" s="16"/>
      <c r="J388" s="22"/>
      <c r="K388" s="16"/>
      <c r="L388" s="50"/>
      <c r="M388" s="16"/>
      <c r="N388" s="19"/>
      <c r="O388" s="19"/>
      <c r="P388" s="19"/>
      <c r="Q388" s="19"/>
      <c r="R388" s="19"/>
      <c r="S388" s="19"/>
      <c r="T388" s="19"/>
      <c r="U388" s="19"/>
      <c r="V388" s="19"/>
      <c r="W388" s="20"/>
      <c r="X388" s="43"/>
    </row>
    <row r="389" spans="1:24" ht="15.75" hidden="1" customHeight="1" x14ac:dyDescent="0.25">
      <c r="A389" s="16"/>
      <c r="B389" s="16" t="str">
        <f t="shared" si="2"/>
        <v/>
      </c>
      <c r="C389" s="16"/>
      <c r="D389" s="40"/>
      <c r="E389" s="16"/>
      <c r="F389" s="41"/>
      <c r="G389" s="16"/>
      <c r="H389" s="16"/>
      <c r="I389" s="16"/>
      <c r="J389" s="22"/>
      <c r="K389" s="16"/>
      <c r="L389" s="50"/>
      <c r="M389" s="16"/>
      <c r="N389" s="19"/>
      <c r="O389" s="19"/>
      <c r="P389" s="19"/>
      <c r="Q389" s="19"/>
      <c r="R389" s="19"/>
      <c r="S389" s="19"/>
      <c r="T389" s="19"/>
      <c r="U389" s="19"/>
      <c r="V389" s="19"/>
      <c r="W389" s="20"/>
      <c r="X389" s="43"/>
    </row>
    <row r="390" spans="1:24" ht="15.75" hidden="1" customHeight="1" x14ac:dyDescent="0.25">
      <c r="A390" s="16"/>
      <c r="B390" s="16" t="str">
        <f t="shared" si="2"/>
        <v/>
      </c>
      <c r="C390" s="16"/>
      <c r="D390" s="40"/>
      <c r="E390" s="16"/>
      <c r="F390" s="41"/>
      <c r="G390" s="16"/>
      <c r="H390" s="16"/>
      <c r="I390" s="16"/>
      <c r="J390" s="22"/>
      <c r="K390" s="16"/>
      <c r="L390" s="50"/>
      <c r="M390" s="16"/>
      <c r="N390" s="19"/>
      <c r="O390" s="19"/>
      <c r="P390" s="19"/>
      <c r="Q390" s="19"/>
      <c r="R390" s="19"/>
      <c r="S390" s="19"/>
      <c r="T390" s="19"/>
      <c r="U390" s="19"/>
      <c r="V390" s="19"/>
      <c r="W390" s="20"/>
      <c r="X390" s="43"/>
    </row>
    <row r="391" spans="1:24" ht="15.75" hidden="1" customHeight="1" x14ac:dyDescent="0.25">
      <c r="A391" s="16"/>
      <c r="B391" s="16" t="str">
        <f t="shared" si="2"/>
        <v/>
      </c>
      <c r="C391" s="16"/>
      <c r="D391" s="40"/>
      <c r="E391" s="16"/>
      <c r="F391" s="41"/>
      <c r="G391" s="16"/>
      <c r="H391" s="16"/>
      <c r="I391" s="16"/>
      <c r="J391" s="22"/>
      <c r="K391" s="16"/>
      <c r="L391" s="50"/>
      <c r="M391" s="16"/>
      <c r="N391" s="19"/>
      <c r="O391" s="19"/>
      <c r="P391" s="19"/>
      <c r="Q391" s="19"/>
      <c r="R391" s="19"/>
      <c r="S391" s="19"/>
      <c r="T391" s="19"/>
      <c r="U391" s="19"/>
      <c r="V391" s="19"/>
      <c r="W391" s="20"/>
      <c r="X391" s="43"/>
    </row>
    <row r="392" spans="1:24" ht="15.75" hidden="1" customHeight="1" x14ac:dyDescent="0.25">
      <c r="A392" s="16"/>
      <c r="B392" s="16" t="str">
        <f t="shared" si="2"/>
        <v/>
      </c>
      <c r="C392" s="16"/>
      <c r="D392" s="40"/>
      <c r="E392" s="16"/>
      <c r="F392" s="41"/>
      <c r="G392" s="16"/>
      <c r="H392" s="16"/>
      <c r="I392" s="16"/>
      <c r="J392" s="22"/>
      <c r="K392" s="16"/>
      <c r="L392" s="50"/>
      <c r="M392" s="16"/>
      <c r="N392" s="19"/>
      <c r="O392" s="19"/>
      <c r="P392" s="19"/>
      <c r="Q392" s="19"/>
      <c r="R392" s="19"/>
      <c r="S392" s="19"/>
      <c r="T392" s="19"/>
      <c r="U392" s="19"/>
      <c r="V392" s="19"/>
      <c r="W392" s="20"/>
      <c r="X392" s="43"/>
    </row>
    <row r="393" spans="1:24" ht="15.75" hidden="1" customHeight="1" x14ac:dyDescent="0.25">
      <c r="A393" s="16"/>
      <c r="B393" s="16" t="str">
        <f t="shared" si="2"/>
        <v/>
      </c>
      <c r="C393" s="16"/>
      <c r="D393" s="40"/>
      <c r="E393" s="16"/>
      <c r="F393" s="41"/>
      <c r="G393" s="16"/>
      <c r="H393" s="16"/>
      <c r="I393" s="16"/>
      <c r="J393" s="22"/>
      <c r="K393" s="16"/>
      <c r="L393" s="50"/>
      <c r="M393" s="16"/>
      <c r="N393" s="19"/>
      <c r="O393" s="19"/>
      <c r="P393" s="19"/>
      <c r="Q393" s="19"/>
      <c r="R393" s="19"/>
      <c r="S393" s="19"/>
      <c r="T393" s="19"/>
      <c r="U393" s="19"/>
      <c r="V393" s="19"/>
      <c r="W393" s="20"/>
      <c r="X393" s="43"/>
    </row>
    <row r="394" spans="1:24" ht="15.75" hidden="1" customHeight="1" x14ac:dyDescent="0.25">
      <c r="A394" s="16"/>
      <c r="B394" s="16" t="str">
        <f t="shared" si="2"/>
        <v/>
      </c>
      <c r="C394" s="16"/>
      <c r="D394" s="40"/>
      <c r="E394" s="16"/>
      <c r="F394" s="41"/>
      <c r="G394" s="16"/>
      <c r="H394" s="16"/>
      <c r="I394" s="16"/>
      <c r="J394" s="22"/>
      <c r="K394" s="16"/>
      <c r="L394" s="50"/>
      <c r="M394" s="16"/>
      <c r="N394" s="19"/>
      <c r="O394" s="19"/>
      <c r="P394" s="19"/>
      <c r="Q394" s="19"/>
      <c r="R394" s="19"/>
      <c r="S394" s="19"/>
      <c r="T394" s="19"/>
      <c r="U394" s="19"/>
      <c r="V394" s="19"/>
      <c r="W394" s="20"/>
      <c r="X394" s="43"/>
    </row>
    <row r="395" spans="1:24" ht="15.75" hidden="1" customHeight="1" x14ac:dyDescent="0.25">
      <c r="A395" s="16"/>
      <c r="B395" s="16" t="str">
        <f t="shared" si="2"/>
        <v/>
      </c>
      <c r="C395" s="16"/>
      <c r="D395" s="40"/>
      <c r="E395" s="16"/>
      <c r="F395" s="41"/>
      <c r="G395" s="16"/>
      <c r="H395" s="16"/>
      <c r="I395" s="16"/>
      <c r="J395" s="22"/>
      <c r="K395" s="16"/>
      <c r="L395" s="50"/>
      <c r="M395" s="16"/>
      <c r="N395" s="19"/>
      <c r="O395" s="19"/>
      <c r="P395" s="19"/>
      <c r="Q395" s="19"/>
      <c r="R395" s="19"/>
      <c r="S395" s="19"/>
      <c r="T395" s="19"/>
      <c r="U395" s="19"/>
      <c r="V395" s="19"/>
      <c r="W395" s="20"/>
      <c r="X395" s="43"/>
    </row>
    <row r="396" spans="1:24" ht="15.75" hidden="1" customHeight="1" x14ac:dyDescent="0.25">
      <c r="A396" s="16"/>
      <c r="B396" s="16" t="str">
        <f t="shared" si="2"/>
        <v/>
      </c>
      <c r="C396" s="16"/>
      <c r="D396" s="40"/>
      <c r="E396" s="16"/>
      <c r="F396" s="41"/>
      <c r="G396" s="16"/>
      <c r="H396" s="16"/>
      <c r="I396" s="16"/>
      <c r="J396" s="22"/>
      <c r="K396" s="16"/>
      <c r="L396" s="50"/>
      <c r="M396" s="16"/>
      <c r="N396" s="19"/>
      <c r="O396" s="19"/>
      <c r="P396" s="19"/>
      <c r="Q396" s="19"/>
      <c r="R396" s="19"/>
      <c r="S396" s="19"/>
      <c r="T396" s="19"/>
      <c r="U396" s="19"/>
      <c r="V396" s="19"/>
      <c r="W396" s="20"/>
      <c r="X396" s="43"/>
    </row>
    <row r="397" spans="1:24" ht="15.75" hidden="1" customHeight="1" x14ac:dyDescent="0.25">
      <c r="A397" s="16"/>
      <c r="B397" s="16" t="str">
        <f t="shared" si="2"/>
        <v/>
      </c>
      <c r="C397" s="16"/>
      <c r="D397" s="40"/>
      <c r="E397" s="16"/>
      <c r="F397" s="41"/>
      <c r="G397" s="16"/>
      <c r="H397" s="16"/>
      <c r="I397" s="16"/>
      <c r="J397" s="22"/>
      <c r="K397" s="16"/>
      <c r="L397" s="50"/>
      <c r="M397" s="16"/>
      <c r="N397" s="19"/>
      <c r="O397" s="19"/>
      <c r="P397" s="19"/>
      <c r="Q397" s="19"/>
      <c r="R397" s="19"/>
      <c r="S397" s="19"/>
      <c r="T397" s="19"/>
      <c r="U397" s="19"/>
      <c r="V397" s="19"/>
      <c r="W397" s="20"/>
      <c r="X397" s="43"/>
    </row>
    <row r="398" spans="1:24" ht="15.75" hidden="1" customHeight="1" x14ac:dyDescent="0.25">
      <c r="A398" s="16"/>
      <c r="B398" s="16" t="str">
        <f t="shared" si="2"/>
        <v/>
      </c>
      <c r="C398" s="16"/>
      <c r="D398" s="40"/>
      <c r="E398" s="16"/>
      <c r="F398" s="41"/>
      <c r="G398" s="16"/>
      <c r="H398" s="16"/>
      <c r="I398" s="16"/>
      <c r="J398" s="22"/>
      <c r="K398" s="16"/>
      <c r="L398" s="50"/>
      <c r="M398" s="16"/>
      <c r="N398" s="19"/>
      <c r="O398" s="19"/>
      <c r="P398" s="19"/>
      <c r="Q398" s="19"/>
      <c r="R398" s="19"/>
      <c r="S398" s="19"/>
      <c r="T398" s="19"/>
      <c r="U398" s="19"/>
      <c r="V398" s="19"/>
      <c r="W398" s="20"/>
      <c r="X398" s="43"/>
    </row>
    <row r="399" spans="1:24" ht="15.75" hidden="1" customHeight="1" x14ac:dyDescent="0.25">
      <c r="A399" s="16"/>
      <c r="B399" s="16" t="str">
        <f t="shared" si="2"/>
        <v/>
      </c>
      <c r="C399" s="16"/>
      <c r="D399" s="40"/>
      <c r="E399" s="16"/>
      <c r="F399" s="41"/>
      <c r="G399" s="16"/>
      <c r="H399" s="16"/>
      <c r="I399" s="16"/>
      <c r="J399" s="22"/>
      <c r="K399" s="16"/>
      <c r="L399" s="50"/>
      <c r="M399" s="16"/>
      <c r="N399" s="19"/>
      <c r="O399" s="19"/>
      <c r="P399" s="19"/>
      <c r="Q399" s="19"/>
      <c r="R399" s="19"/>
      <c r="S399" s="19"/>
      <c r="T399" s="19"/>
      <c r="U399" s="19"/>
      <c r="V399" s="19"/>
      <c r="W399" s="20"/>
      <c r="X399" s="43"/>
    </row>
    <row r="400" spans="1:24" ht="15.75" hidden="1" customHeight="1" x14ac:dyDescent="0.25">
      <c r="A400" s="16"/>
      <c r="B400" s="16" t="str">
        <f t="shared" si="2"/>
        <v/>
      </c>
      <c r="C400" s="16"/>
      <c r="D400" s="40"/>
      <c r="E400" s="16"/>
      <c r="F400" s="41"/>
      <c r="G400" s="16"/>
      <c r="H400" s="16"/>
      <c r="I400" s="16"/>
      <c r="J400" s="22"/>
      <c r="K400" s="16"/>
      <c r="L400" s="50"/>
      <c r="M400" s="16"/>
      <c r="N400" s="19"/>
      <c r="O400" s="19"/>
      <c r="P400" s="19"/>
      <c r="Q400" s="19"/>
      <c r="R400" s="19"/>
      <c r="S400" s="19"/>
      <c r="T400" s="19"/>
      <c r="U400" s="19"/>
      <c r="V400" s="19"/>
      <c r="W400" s="20"/>
      <c r="X400" s="43"/>
    </row>
    <row r="401" spans="1:24" ht="15.75" hidden="1" customHeight="1" x14ac:dyDescent="0.25">
      <c r="A401" s="16"/>
      <c r="B401" s="16" t="str">
        <f t="shared" si="2"/>
        <v/>
      </c>
      <c r="C401" s="16"/>
      <c r="D401" s="40"/>
      <c r="E401" s="16"/>
      <c r="F401" s="41"/>
      <c r="G401" s="16"/>
      <c r="H401" s="16"/>
      <c r="I401" s="16"/>
      <c r="J401" s="22"/>
      <c r="K401" s="16"/>
      <c r="L401" s="50"/>
      <c r="M401" s="16"/>
      <c r="N401" s="19"/>
      <c r="O401" s="19"/>
      <c r="P401" s="19"/>
      <c r="Q401" s="19"/>
      <c r="R401" s="19"/>
      <c r="S401" s="19"/>
      <c r="T401" s="19"/>
      <c r="U401" s="19"/>
      <c r="V401" s="19"/>
      <c r="W401" s="20"/>
      <c r="X401" s="43"/>
    </row>
    <row r="402" spans="1:24" ht="15.75" hidden="1" customHeight="1" x14ac:dyDescent="0.25">
      <c r="A402" s="16"/>
      <c r="B402" s="16" t="str">
        <f t="shared" si="2"/>
        <v/>
      </c>
      <c r="C402" s="16"/>
      <c r="D402" s="40"/>
      <c r="E402" s="16"/>
      <c r="F402" s="41"/>
      <c r="G402" s="16"/>
      <c r="H402" s="16"/>
      <c r="I402" s="16"/>
      <c r="J402" s="22"/>
      <c r="K402" s="16"/>
      <c r="L402" s="50"/>
      <c r="M402" s="16"/>
      <c r="N402" s="19"/>
      <c r="O402" s="19"/>
      <c r="P402" s="19"/>
      <c r="Q402" s="19"/>
      <c r="R402" s="19"/>
      <c r="S402" s="19"/>
      <c r="T402" s="19"/>
      <c r="U402" s="19"/>
      <c r="V402" s="19"/>
      <c r="W402" s="20"/>
      <c r="X402" s="43"/>
    </row>
    <row r="403" spans="1:24" ht="15.75" hidden="1" customHeight="1" x14ac:dyDescent="0.25">
      <c r="A403" s="16"/>
      <c r="B403" s="16" t="str">
        <f t="shared" si="2"/>
        <v/>
      </c>
      <c r="C403" s="16"/>
      <c r="D403" s="40"/>
      <c r="E403" s="16"/>
      <c r="F403" s="41"/>
      <c r="G403" s="16"/>
      <c r="H403" s="16"/>
      <c r="I403" s="16"/>
      <c r="J403" s="22"/>
      <c r="K403" s="16"/>
      <c r="L403" s="50"/>
      <c r="M403" s="16"/>
      <c r="N403" s="19"/>
      <c r="O403" s="19"/>
      <c r="P403" s="19"/>
      <c r="Q403" s="19"/>
      <c r="R403" s="19"/>
      <c r="S403" s="19"/>
      <c r="T403" s="19"/>
      <c r="U403" s="19"/>
      <c r="V403" s="19"/>
      <c r="W403" s="20"/>
      <c r="X403" s="43"/>
    </row>
    <row r="404" spans="1:24" ht="15.75" hidden="1" customHeight="1" x14ac:dyDescent="0.25">
      <c r="A404" s="16"/>
      <c r="B404" s="16" t="str">
        <f t="shared" si="2"/>
        <v/>
      </c>
      <c r="C404" s="16"/>
      <c r="D404" s="40"/>
      <c r="E404" s="16"/>
      <c r="F404" s="41"/>
      <c r="G404" s="16"/>
      <c r="H404" s="16"/>
      <c r="I404" s="16"/>
      <c r="J404" s="22"/>
      <c r="K404" s="16"/>
      <c r="L404" s="50"/>
      <c r="M404" s="16"/>
      <c r="N404" s="19"/>
      <c r="O404" s="19"/>
      <c r="P404" s="19"/>
      <c r="Q404" s="19"/>
      <c r="R404" s="19"/>
      <c r="S404" s="19"/>
      <c r="T404" s="19"/>
      <c r="U404" s="19"/>
      <c r="V404" s="19"/>
      <c r="W404" s="20"/>
      <c r="X404" s="43"/>
    </row>
    <row r="405" spans="1:24" ht="15.75" hidden="1" customHeight="1" x14ac:dyDescent="0.25">
      <c r="A405" s="16"/>
      <c r="B405" s="16" t="str">
        <f t="shared" si="2"/>
        <v/>
      </c>
      <c r="C405" s="16"/>
      <c r="D405" s="40"/>
      <c r="E405" s="16"/>
      <c r="F405" s="41"/>
      <c r="G405" s="16"/>
      <c r="H405" s="16"/>
      <c r="I405" s="16"/>
      <c r="J405" s="22"/>
      <c r="K405" s="16"/>
      <c r="L405" s="50"/>
      <c r="M405" s="16"/>
      <c r="N405" s="19"/>
      <c r="O405" s="19"/>
      <c r="P405" s="19"/>
      <c r="Q405" s="19"/>
      <c r="R405" s="19"/>
      <c r="S405" s="19"/>
      <c r="T405" s="19"/>
      <c r="U405" s="19"/>
      <c r="V405" s="19"/>
      <c r="W405" s="20"/>
      <c r="X405" s="43"/>
    </row>
    <row r="406" spans="1:24" ht="15.75" hidden="1" customHeight="1" x14ac:dyDescent="0.25">
      <c r="A406" s="16"/>
      <c r="B406" s="16" t="str">
        <f t="shared" si="2"/>
        <v/>
      </c>
      <c r="C406" s="16"/>
      <c r="D406" s="40"/>
      <c r="E406" s="16"/>
      <c r="F406" s="41"/>
      <c r="G406" s="16"/>
      <c r="H406" s="16"/>
      <c r="I406" s="16"/>
      <c r="J406" s="22"/>
      <c r="K406" s="16"/>
      <c r="L406" s="50"/>
      <c r="M406" s="16"/>
      <c r="N406" s="19"/>
      <c r="O406" s="19"/>
      <c r="P406" s="19"/>
      <c r="Q406" s="19"/>
      <c r="R406" s="19"/>
      <c r="S406" s="19"/>
      <c r="T406" s="19"/>
      <c r="U406" s="19"/>
      <c r="V406" s="19"/>
      <c r="W406" s="20"/>
      <c r="X406" s="43"/>
    </row>
    <row r="407" spans="1:24" ht="15.75" hidden="1" customHeight="1" x14ac:dyDescent="0.25">
      <c r="A407" s="16"/>
      <c r="B407" s="16" t="str">
        <f t="shared" si="2"/>
        <v/>
      </c>
      <c r="C407" s="16"/>
      <c r="D407" s="40"/>
      <c r="E407" s="16"/>
      <c r="F407" s="41"/>
      <c r="G407" s="16"/>
      <c r="H407" s="16"/>
      <c r="I407" s="16"/>
      <c r="J407" s="22"/>
      <c r="K407" s="16"/>
      <c r="L407" s="50"/>
      <c r="M407" s="16"/>
      <c r="N407" s="19"/>
      <c r="O407" s="19"/>
      <c r="P407" s="19"/>
      <c r="Q407" s="19"/>
      <c r="R407" s="19"/>
      <c r="S407" s="19"/>
      <c r="T407" s="19"/>
      <c r="U407" s="19"/>
      <c r="V407" s="19"/>
      <c r="W407" s="20"/>
      <c r="X407" s="43"/>
    </row>
    <row r="408" spans="1:24" ht="15.75" hidden="1" customHeight="1" x14ac:dyDescent="0.25">
      <c r="A408" s="16"/>
      <c r="B408" s="16" t="str">
        <f t="shared" si="2"/>
        <v/>
      </c>
      <c r="C408" s="16"/>
      <c r="D408" s="40"/>
      <c r="E408" s="16"/>
      <c r="F408" s="41"/>
      <c r="G408" s="16"/>
      <c r="H408" s="16"/>
      <c r="I408" s="16"/>
      <c r="J408" s="22"/>
      <c r="K408" s="16"/>
      <c r="L408" s="50"/>
      <c r="M408" s="16"/>
      <c r="N408" s="19"/>
      <c r="O408" s="19"/>
      <c r="P408" s="19"/>
      <c r="Q408" s="19"/>
      <c r="R408" s="19"/>
      <c r="S408" s="19"/>
      <c r="T408" s="19"/>
      <c r="U408" s="19"/>
      <c r="V408" s="19"/>
      <c r="W408" s="20"/>
      <c r="X408" s="43"/>
    </row>
    <row r="409" spans="1:24" ht="15.75" hidden="1" customHeight="1" x14ac:dyDescent="0.25">
      <c r="A409" s="16"/>
      <c r="B409" s="16" t="str">
        <f t="shared" si="2"/>
        <v/>
      </c>
      <c r="C409" s="16"/>
      <c r="D409" s="40"/>
      <c r="E409" s="16"/>
      <c r="F409" s="41"/>
      <c r="G409" s="16"/>
      <c r="H409" s="16"/>
      <c r="I409" s="16"/>
      <c r="J409" s="22"/>
      <c r="K409" s="16"/>
      <c r="L409" s="50"/>
      <c r="M409" s="16"/>
      <c r="N409" s="19"/>
      <c r="O409" s="19"/>
      <c r="P409" s="19"/>
      <c r="Q409" s="19"/>
      <c r="R409" s="19"/>
      <c r="S409" s="19"/>
      <c r="T409" s="19"/>
      <c r="U409" s="19"/>
      <c r="V409" s="19"/>
      <c r="W409" s="20"/>
      <c r="X409" s="43"/>
    </row>
    <row r="410" spans="1:24" ht="15.75" hidden="1" customHeight="1" x14ac:dyDescent="0.25">
      <c r="A410" s="16"/>
      <c r="B410" s="16" t="str">
        <f t="shared" si="2"/>
        <v/>
      </c>
      <c r="C410" s="16"/>
      <c r="D410" s="40"/>
      <c r="E410" s="16"/>
      <c r="F410" s="41"/>
      <c r="G410" s="16"/>
      <c r="H410" s="16"/>
      <c r="I410" s="16"/>
      <c r="J410" s="22"/>
      <c r="K410" s="16"/>
      <c r="L410" s="50"/>
      <c r="M410" s="16"/>
      <c r="N410" s="19"/>
      <c r="O410" s="19"/>
      <c r="P410" s="19"/>
      <c r="Q410" s="19"/>
      <c r="R410" s="19"/>
      <c r="S410" s="19"/>
      <c r="T410" s="19"/>
      <c r="U410" s="19"/>
      <c r="V410" s="19"/>
      <c r="W410" s="20"/>
      <c r="X410" s="43"/>
    </row>
    <row r="411" spans="1:24" ht="15.75" hidden="1" customHeight="1" x14ac:dyDescent="0.25">
      <c r="A411" s="16"/>
      <c r="B411" s="16" t="str">
        <f t="shared" si="2"/>
        <v/>
      </c>
      <c r="C411" s="16"/>
      <c r="D411" s="40"/>
      <c r="E411" s="16"/>
      <c r="F411" s="41"/>
      <c r="G411" s="16"/>
      <c r="H411" s="16"/>
      <c r="I411" s="16"/>
      <c r="J411" s="22"/>
      <c r="K411" s="16"/>
      <c r="L411" s="50"/>
      <c r="M411" s="16"/>
      <c r="N411" s="19"/>
      <c r="O411" s="19"/>
      <c r="P411" s="19"/>
      <c r="Q411" s="19"/>
      <c r="R411" s="19"/>
      <c r="S411" s="19"/>
      <c r="T411" s="19"/>
      <c r="U411" s="19"/>
      <c r="V411" s="19"/>
      <c r="W411" s="20"/>
      <c r="X411" s="43"/>
    </row>
    <row r="412" spans="1:24" ht="15.75" hidden="1" customHeight="1" x14ac:dyDescent="0.25">
      <c r="A412" s="16"/>
      <c r="B412" s="16" t="str">
        <f t="shared" si="2"/>
        <v/>
      </c>
      <c r="C412" s="16"/>
      <c r="D412" s="40"/>
      <c r="E412" s="16"/>
      <c r="F412" s="41"/>
      <c r="G412" s="16"/>
      <c r="H412" s="16"/>
      <c r="I412" s="16"/>
      <c r="J412" s="22"/>
      <c r="K412" s="16"/>
      <c r="L412" s="50"/>
      <c r="M412" s="16"/>
      <c r="N412" s="19"/>
      <c r="O412" s="19"/>
      <c r="P412" s="19"/>
      <c r="Q412" s="19"/>
      <c r="R412" s="19"/>
      <c r="S412" s="19"/>
      <c r="T412" s="19"/>
      <c r="U412" s="19"/>
      <c r="V412" s="19"/>
      <c r="W412" s="20"/>
      <c r="X412" s="43"/>
    </row>
    <row r="413" spans="1:24" ht="15.75" hidden="1" customHeight="1" x14ac:dyDescent="0.25">
      <c r="A413" s="16"/>
      <c r="B413" s="16" t="str">
        <f t="shared" si="2"/>
        <v/>
      </c>
      <c r="C413" s="16"/>
      <c r="D413" s="40"/>
      <c r="E413" s="16"/>
      <c r="F413" s="41"/>
      <c r="G413" s="16"/>
      <c r="H413" s="16"/>
      <c r="I413" s="16"/>
      <c r="J413" s="22"/>
      <c r="K413" s="16"/>
      <c r="L413" s="50"/>
      <c r="M413" s="16"/>
      <c r="N413" s="19"/>
      <c r="O413" s="19"/>
      <c r="P413" s="19"/>
      <c r="Q413" s="19"/>
      <c r="R413" s="19"/>
      <c r="S413" s="19"/>
      <c r="T413" s="19"/>
      <c r="U413" s="19"/>
      <c r="V413" s="19"/>
      <c r="W413" s="20"/>
      <c r="X413" s="43"/>
    </row>
    <row r="414" spans="1:24" ht="15.75" hidden="1" customHeight="1" x14ac:dyDescent="0.25">
      <c r="A414" s="16"/>
      <c r="B414" s="16" t="str">
        <f t="shared" si="2"/>
        <v/>
      </c>
      <c r="C414" s="16"/>
      <c r="D414" s="40"/>
      <c r="E414" s="16"/>
      <c r="F414" s="41"/>
      <c r="G414" s="16"/>
      <c r="H414" s="16"/>
      <c r="I414" s="16"/>
      <c r="J414" s="22"/>
      <c r="K414" s="16"/>
      <c r="L414" s="50"/>
      <c r="M414" s="16"/>
      <c r="N414" s="19"/>
      <c r="O414" s="19"/>
      <c r="P414" s="19"/>
      <c r="Q414" s="19"/>
      <c r="R414" s="19"/>
      <c r="S414" s="19"/>
      <c r="T414" s="19"/>
      <c r="U414" s="19"/>
      <c r="V414" s="19"/>
      <c r="W414" s="20"/>
      <c r="X414" s="43"/>
    </row>
    <row r="415" spans="1:24" ht="15.75" hidden="1" customHeight="1" x14ac:dyDescent="0.25">
      <c r="A415" s="16"/>
      <c r="B415" s="16" t="str">
        <f t="shared" si="2"/>
        <v/>
      </c>
      <c r="C415" s="16"/>
      <c r="D415" s="40"/>
      <c r="E415" s="16"/>
      <c r="F415" s="41"/>
      <c r="G415" s="16"/>
      <c r="H415" s="16"/>
      <c r="I415" s="16"/>
      <c r="J415" s="22"/>
      <c r="K415" s="16"/>
      <c r="L415" s="50"/>
      <c r="M415" s="16"/>
      <c r="N415" s="19"/>
      <c r="O415" s="19"/>
      <c r="P415" s="19"/>
      <c r="Q415" s="19"/>
      <c r="R415" s="19"/>
      <c r="S415" s="19"/>
      <c r="T415" s="19"/>
      <c r="U415" s="19"/>
      <c r="V415" s="19"/>
      <c r="W415" s="20"/>
      <c r="X415" s="43"/>
    </row>
    <row r="416" spans="1:24" ht="15.75" hidden="1" customHeight="1" x14ac:dyDescent="0.25">
      <c r="A416" s="16"/>
      <c r="B416" s="16" t="str">
        <f t="shared" si="2"/>
        <v/>
      </c>
      <c r="C416" s="16"/>
      <c r="D416" s="40"/>
      <c r="E416" s="16"/>
      <c r="F416" s="41"/>
      <c r="G416" s="16"/>
      <c r="H416" s="16"/>
      <c r="I416" s="16"/>
      <c r="J416" s="22"/>
      <c r="K416" s="16"/>
      <c r="L416" s="50"/>
      <c r="M416" s="16"/>
      <c r="N416" s="19"/>
      <c r="O416" s="19"/>
      <c r="P416" s="19"/>
      <c r="Q416" s="19"/>
      <c r="R416" s="19"/>
      <c r="S416" s="19"/>
      <c r="T416" s="19"/>
      <c r="U416" s="19"/>
      <c r="V416" s="19"/>
      <c r="W416" s="20"/>
      <c r="X416" s="43"/>
    </row>
    <row r="417" spans="1:24" ht="15.75" hidden="1" customHeight="1" x14ac:dyDescent="0.25">
      <c r="A417" s="16"/>
      <c r="B417" s="16" t="str">
        <f t="shared" si="2"/>
        <v/>
      </c>
      <c r="C417" s="16"/>
      <c r="D417" s="40"/>
      <c r="E417" s="16"/>
      <c r="F417" s="41"/>
      <c r="G417" s="16"/>
      <c r="H417" s="16"/>
      <c r="I417" s="16"/>
      <c r="J417" s="22"/>
      <c r="K417" s="16"/>
      <c r="L417" s="50"/>
      <c r="M417" s="16"/>
      <c r="N417" s="19"/>
      <c r="O417" s="19"/>
      <c r="P417" s="19"/>
      <c r="Q417" s="19"/>
      <c r="R417" s="19"/>
      <c r="S417" s="19"/>
      <c r="T417" s="19"/>
      <c r="U417" s="19"/>
      <c r="V417" s="19"/>
      <c r="W417" s="20"/>
      <c r="X417" s="43"/>
    </row>
    <row r="418" spans="1:24" ht="15.75" hidden="1" customHeight="1" x14ac:dyDescent="0.25">
      <c r="A418" s="16"/>
      <c r="B418" s="16" t="str">
        <f t="shared" si="2"/>
        <v/>
      </c>
      <c r="C418" s="16"/>
      <c r="D418" s="40"/>
      <c r="E418" s="16"/>
      <c r="F418" s="41"/>
      <c r="G418" s="16"/>
      <c r="H418" s="16"/>
      <c r="I418" s="16"/>
      <c r="J418" s="22"/>
      <c r="K418" s="16"/>
      <c r="L418" s="50"/>
      <c r="M418" s="16"/>
      <c r="N418" s="19"/>
      <c r="O418" s="19"/>
      <c r="P418" s="19"/>
      <c r="Q418" s="19"/>
      <c r="R418" s="19"/>
      <c r="S418" s="19"/>
      <c r="T418" s="19"/>
      <c r="U418" s="19"/>
      <c r="V418" s="19"/>
      <c r="W418" s="20"/>
      <c r="X418" s="43"/>
    </row>
    <row r="419" spans="1:24" ht="15.75" hidden="1" customHeight="1" x14ac:dyDescent="0.25">
      <c r="A419" s="16"/>
      <c r="B419" s="16" t="str">
        <f t="shared" si="2"/>
        <v/>
      </c>
      <c r="C419" s="16"/>
      <c r="D419" s="40"/>
      <c r="E419" s="16"/>
      <c r="F419" s="41"/>
      <c r="G419" s="16"/>
      <c r="H419" s="16"/>
      <c r="I419" s="16"/>
      <c r="J419" s="22"/>
      <c r="K419" s="16"/>
      <c r="L419" s="50"/>
      <c r="M419" s="16"/>
      <c r="N419" s="19"/>
      <c r="O419" s="19"/>
      <c r="P419" s="19"/>
      <c r="Q419" s="19"/>
      <c r="R419" s="19"/>
      <c r="S419" s="19"/>
      <c r="T419" s="19"/>
      <c r="U419" s="19"/>
      <c r="V419" s="19"/>
      <c r="W419" s="20"/>
      <c r="X419" s="43"/>
    </row>
    <row r="420" spans="1:24" ht="15.75" hidden="1" customHeight="1" x14ac:dyDescent="0.25">
      <c r="A420" s="16"/>
      <c r="B420" s="16" t="str">
        <f t="shared" si="2"/>
        <v/>
      </c>
      <c r="C420" s="16"/>
      <c r="D420" s="40"/>
      <c r="E420" s="16"/>
      <c r="F420" s="41"/>
      <c r="G420" s="16"/>
      <c r="H420" s="16"/>
      <c r="I420" s="16"/>
      <c r="J420" s="22"/>
      <c r="K420" s="16"/>
      <c r="L420" s="50"/>
      <c r="M420" s="16"/>
      <c r="N420" s="19"/>
      <c r="O420" s="19"/>
      <c r="P420" s="19"/>
      <c r="Q420" s="19"/>
      <c r="R420" s="19"/>
      <c r="S420" s="19"/>
      <c r="T420" s="19"/>
      <c r="U420" s="19"/>
      <c r="V420" s="19"/>
      <c r="W420" s="20"/>
      <c r="X420" s="43"/>
    </row>
    <row r="421" spans="1:24" ht="15.75" hidden="1" customHeight="1" x14ac:dyDescent="0.25">
      <c r="A421" s="16"/>
      <c r="B421" s="16" t="str">
        <f t="shared" si="2"/>
        <v/>
      </c>
      <c r="C421" s="16"/>
      <c r="D421" s="40"/>
      <c r="E421" s="16"/>
      <c r="F421" s="41"/>
      <c r="G421" s="16"/>
      <c r="H421" s="16"/>
      <c r="I421" s="16"/>
      <c r="J421" s="22"/>
      <c r="K421" s="16"/>
      <c r="L421" s="50"/>
      <c r="M421" s="16"/>
      <c r="N421" s="19"/>
      <c r="O421" s="19"/>
      <c r="P421" s="19"/>
      <c r="Q421" s="19"/>
      <c r="R421" s="19"/>
      <c r="S421" s="19"/>
      <c r="T421" s="19"/>
      <c r="U421" s="19"/>
      <c r="V421" s="19"/>
      <c r="W421" s="20"/>
      <c r="X421" s="43"/>
    </row>
    <row r="422" spans="1:24" ht="15.75" hidden="1" customHeight="1" x14ac:dyDescent="0.25">
      <c r="A422" s="16"/>
      <c r="B422" s="16" t="str">
        <f t="shared" si="2"/>
        <v/>
      </c>
      <c r="C422" s="16"/>
      <c r="D422" s="40"/>
      <c r="E422" s="16"/>
      <c r="F422" s="41"/>
      <c r="G422" s="16"/>
      <c r="H422" s="16"/>
      <c r="I422" s="16"/>
      <c r="J422" s="22"/>
      <c r="K422" s="16"/>
      <c r="L422" s="50"/>
      <c r="M422" s="16"/>
      <c r="N422" s="19"/>
      <c r="O422" s="19"/>
      <c r="P422" s="19"/>
      <c r="Q422" s="19"/>
      <c r="R422" s="19"/>
      <c r="S422" s="19"/>
      <c r="T422" s="19"/>
      <c r="U422" s="19"/>
      <c r="V422" s="19"/>
      <c r="W422" s="20"/>
      <c r="X422" s="43"/>
    </row>
    <row r="423" spans="1:24" ht="15.75" hidden="1" customHeight="1" x14ac:dyDescent="0.25">
      <c r="A423" s="16"/>
      <c r="B423" s="16" t="str">
        <f t="shared" si="2"/>
        <v/>
      </c>
      <c r="C423" s="16"/>
      <c r="D423" s="40"/>
      <c r="E423" s="16"/>
      <c r="F423" s="41"/>
      <c r="G423" s="16"/>
      <c r="H423" s="16"/>
      <c r="I423" s="16"/>
      <c r="J423" s="22"/>
      <c r="K423" s="16"/>
      <c r="L423" s="50"/>
      <c r="M423" s="16"/>
      <c r="N423" s="19"/>
      <c r="O423" s="19"/>
      <c r="P423" s="19"/>
      <c r="Q423" s="19"/>
      <c r="R423" s="19"/>
      <c r="S423" s="19"/>
      <c r="T423" s="19"/>
      <c r="U423" s="19"/>
      <c r="V423" s="19"/>
      <c r="W423" s="20"/>
      <c r="X423" s="43"/>
    </row>
    <row r="424" spans="1:24" ht="15.75" hidden="1" customHeight="1" x14ac:dyDescent="0.25">
      <c r="A424" s="16"/>
      <c r="B424" s="16" t="str">
        <f t="shared" si="2"/>
        <v/>
      </c>
      <c r="C424" s="16"/>
      <c r="D424" s="40"/>
      <c r="E424" s="16"/>
      <c r="F424" s="41"/>
      <c r="G424" s="16"/>
      <c r="H424" s="16"/>
      <c r="I424" s="16"/>
      <c r="J424" s="22"/>
      <c r="K424" s="16"/>
      <c r="L424" s="50"/>
      <c r="M424" s="16"/>
      <c r="N424" s="19"/>
      <c r="O424" s="19"/>
      <c r="P424" s="19"/>
      <c r="Q424" s="19"/>
      <c r="R424" s="19"/>
      <c r="S424" s="19"/>
      <c r="T424" s="19"/>
      <c r="U424" s="19"/>
      <c r="V424" s="19"/>
      <c r="W424" s="20"/>
      <c r="X424" s="43"/>
    </row>
    <row r="425" spans="1:24" ht="15.75" hidden="1" customHeight="1" x14ac:dyDescent="0.25">
      <c r="A425" s="16"/>
      <c r="B425" s="16" t="str">
        <f t="shared" si="2"/>
        <v/>
      </c>
      <c r="C425" s="16"/>
      <c r="D425" s="40"/>
      <c r="E425" s="16"/>
      <c r="F425" s="41"/>
      <c r="G425" s="16"/>
      <c r="H425" s="16"/>
      <c r="I425" s="16"/>
      <c r="J425" s="22"/>
      <c r="K425" s="16"/>
      <c r="L425" s="50"/>
      <c r="M425" s="16"/>
      <c r="N425" s="19"/>
      <c r="O425" s="19"/>
      <c r="P425" s="19"/>
      <c r="Q425" s="19"/>
      <c r="R425" s="19"/>
      <c r="S425" s="19"/>
      <c r="T425" s="19"/>
      <c r="U425" s="19"/>
      <c r="V425" s="19"/>
      <c r="W425" s="20"/>
      <c r="X425" s="43"/>
    </row>
    <row r="426" spans="1:24" ht="15.75" hidden="1" customHeight="1" x14ac:dyDescent="0.25">
      <c r="A426" s="16"/>
      <c r="B426" s="16" t="str">
        <f t="shared" si="2"/>
        <v/>
      </c>
      <c r="C426" s="16"/>
      <c r="D426" s="40"/>
      <c r="E426" s="16"/>
      <c r="F426" s="41"/>
      <c r="G426" s="16"/>
      <c r="H426" s="16"/>
      <c r="I426" s="16"/>
      <c r="J426" s="22"/>
      <c r="K426" s="16"/>
      <c r="L426" s="50"/>
      <c r="M426" s="16"/>
      <c r="N426" s="19"/>
      <c r="O426" s="19"/>
      <c r="P426" s="19"/>
      <c r="Q426" s="19"/>
      <c r="R426" s="19"/>
      <c r="S426" s="19"/>
      <c r="T426" s="19"/>
      <c r="U426" s="19"/>
      <c r="V426" s="19"/>
      <c r="W426" s="20"/>
      <c r="X426" s="43"/>
    </row>
    <row r="427" spans="1:24" ht="15.75" hidden="1" customHeight="1" x14ac:dyDescent="0.25">
      <c r="A427" s="16"/>
      <c r="B427" s="16" t="str">
        <f t="shared" si="2"/>
        <v/>
      </c>
      <c r="C427" s="16"/>
      <c r="D427" s="40"/>
      <c r="E427" s="16"/>
      <c r="F427" s="41"/>
      <c r="G427" s="16"/>
      <c r="H427" s="16"/>
      <c r="I427" s="16"/>
      <c r="J427" s="22"/>
      <c r="K427" s="16"/>
      <c r="L427" s="50"/>
      <c r="M427" s="16"/>
      <c r="N427" s="19"/>
      <c r="O427" s="19"/>
      <c r="P427" s="19"/>
      <c r="Q427" s="19"/>
      <c r="R427" s="19"/>
      <c r="S427" s="19"/>
      <c r="T427" s="19"/>
      <c r="U427" s="19"/>
      <c r="V427" s="19"/>
      <c r="W427" s="20"/>
      <c r="X427" s="43"/>
    </row>
    <row r="428" spans="1:24" ht="15.75" hidden="1" customHeight="1" x14ac:dyDescent="0.25">
      <c r="A428" s="16"/>
      <c r="B428" s="16" t="str">
        <f t="shared" si="2"/>
        <v/>
      </c>
      <c r="C428" s="16"/>
      <c r="D428" s="40"/>
      <c r="E428" s="16"/>
      <c r="F428" s="41"/>
      <c r="G428" s="16"/>
      <c r="H428" s="16"/>
      <c r="I428" s="16"/>
      <c r="J428" s="22"/>
      <c r="K428" s="16"/>
      <c r="L428" s="50"/>
      <c r="M428" s="16"/>
      <c r="N428" s="19"/>
      <c r="O428" s="19"/>
      <c r="P428" s="19"/>
      <c r="Q428" s="19"/>
      <c r="R428" s="19"/>
      <c r="S428" s="19"/>
      <c r="T428" s="19"/>
      <c r="U428" s="19"/>
      <c r="V428" s="19"/>
      <c r="W428" s="20"/>
      <c r="X428" s="43"/>
    </row>
    <row r="429" spans="1:24" ht="15.75" hidden="1" customHeight="1" x14ac:dyDescent="0.25">
      <c r="A429" s="16"/>
      <c r="B429" s="16" t="str">
        <f t="shared" si="2"/>
        <v/>
      </c>
      <c r="C429" s="16"/>
      <c r="D429" s="40"/>
      <c r="E429" s="16"/>
      <c r="F429" s="41"/>
      <c r="G429" s="16"/>
      <c r="H429" s="16"/>
      <c r="I429" s="16"/>
      <c r="J429" s="22"/>
      <c r="K429" s="16"/>
      <c r="L429" s="50"/>
      <c r="M429" s="16"/>
      <c r="N429" s="19"/>
      <c r="O429" s="19"/>
      <c r="P429" s="19"/>
      <c r="Q429" s="19"/>
      <c r="R429" s="19"/>
      <c r="S429" s="19"/>
      <c r="T429" s="19"/>
      <c r="U429" s="19"/>
      <c r="V429" s="19"/>
      <c r="W429" s="20"/>
      <c r="X429" s="43"/>
    </row>
    <row r="430" spans="1:24" ht="15.75" hidden="1" customHeight="1" x14ac:dyDescent="0.25">
      <c r="A430" s="16"/>
      <c r="B430" s="16" t="str">
        <f t="shared" si="2"/>
        <v/>
      </c>
      <c r="C430" s="16"/>
      <c r="D430" s="40"/>
      <c r="E430" s="16"/>
      <c r="F430" s="41"/>
      <c r="G430" s="16"/>
      <c r="H430" s="16"/>
      <c r="I430" s="16"/>
      <c r="J430" s="22"/>
      <c r="K430" s="16"/>
      <c r="L430" s="50"/>
      <c r="M430" s="16"/>
      <c r="N430" s="19"/>
      <c r="O430" s="19"/>
      <c r="P430" s="19"/>
      <c r="Q430" s="19"/>
      <c r="R430" s="19"/>
      <c r="S430" s="19"/>
      <c r="T430" s="19"/>
      <c r="U430" s="19"/>
      <c r="V430" s="19"/>
      <c r="W430" s="20"/>
      <c r="X430" s="43"/>
    </row>
    <row r="431" spans="1:24" ht="15.75" hidden="1" customHeight="1" x14ac:dyDescent="0.25">
      <c r="A431" s="16"/>
      <c r="B431" s="16" t="str">
        <f t="shared" si="2"/>
        <v/>
      </c>
      <c r="C431" s="16"/>
      <c r="D431" s="40"/>
      <c r="E431" s="16"/>
      <c r="F431" s="41"/>
      <c r="G431" s="16"/>
      <c r="H431" s="16"/>
      <c r="I431" s="16"/>
      <c r="J431" s="22"/>
      <c r="K431" s="16"/>
      <c r="L431" s="50"/>
      <c r="M431" s="16"/>
      <c r="N431" s="19"/>
      <c r="O431" s="19"/>
      <c r="P431" s="19"/>
      <c r="Q431" s="19"/>
      <c r="R431" s="19"/>
      <c r="S431" s="19"/>
      <c r="T431" s="19"/>
      <c r="U431" s="19"/>
      <c r="V431" s="19"/>
      <c r="W431" s="20"/>
      <c r="X431" s="43"/>
    </row>
    <row r="432" spans="1:24" ht="15.75" hidden="1" customHeight="1" x14ac:dyDescent="0.25">
      <c r="A432" s="16"/>
      <c r="B432" s="16" t="str">
        <f t="shared" si="2"/>
        <v/>
      </c>
      <c r="C432" s="16"/>
      <c r="D432" s="40"/>
      <c r="E432" s="16"/>
      <c r="F432" s="41"/>
      <c r="G432" s="16"/>
      <c r="H432" s="16"/>
      <c r="I432" s="16"/>
      <c r="J432" s="22"/>
      <c r="K432" s="16"/>
      <c r="L432" s="50"/>
      <c r="M432" s="16"/>
      <c r="N432" s="19"/>
      <c r="O432" s="19"/>
      <c r="P432" s="19"/>
      <c r="Q432" s="19"/>
      <c r="R432" s="19"/>
      <c r="S432" s="19"/>
      <c r="T432" s="19"/>
      <c r="U432" s="19"/>
      <c r="V432" s="19"/>
      <c r="W432" s="20"/>
      <c r="X432" s="43"/>
    </row>
    <row r="433" spans="1:24" ht="15.75" hidden="1" customHeight="1" x14ac:dyDescent="0.25">
      <c r="A433" s="16"/>
      <c r="B433" s="16" t="str">
        <f t="shared" si="2"/>
        <v/>
      </c>
      <c r="C433" s="16"/>
      <c r="D433" s="40"/>
      <c r="E433" s="16"/>
      <c r="F433" s="41"/>
      <c r="G433" s="16"/>
      <c r="H433" s="16"/>
      <c r="I433" s="16"/>
      <c r="J433" s="22"/>
      <c r="K433" s="16"/>
      <c r="L433" s="50"/>
      <c r="M433" s="16"/>
      <c r="N433" s="19"/>
      <c r="O433" s="19"/>
      <c r="P433" s="19"/>
      <c r="Q433" s="19"/>
      <c r="R433" s="19"/>
      <c r="S433" s="19"/>
      <c r="T433" s="19"/>
      <c r="U433" s="19"/>
      <c r="V433" s="19"/>
      <c r="W433" s="20"/>
      <c r="X433" s="43"/>
    </row>
    <row r="434" spans="1:24" ht="15.75" hidden="1" customHeight="1" x14ac:dyDescent="0.25">
      <c r="A434" s="16"/>
      <c r="B434" s="16" t="str">
        <f t="shared" si="2"/>
        <v/>
      </c>
      <c r="C434" s="16"/>
      <c r="D434" s="40"/>
      <c r="E434" s="16"/>
      <c r="F434" s="41"/>
      <c r="G434" s="16"/>
      <c r="H434" s="16"/>
      <c r="I434" s="16"/>
      <c r="J434" s="22"/>
      <c r="K434" s="16"/>
      <c r="L434" s="50"/>
      <c r="M434" s="16"/>
      <c r="N434" s="19"/>
      <c r="O434" s="19"/>
      <c r="P434" s="19"/>
      <c r="Q434" s="19"/>
      <c r="R434" s="19"/>
      <c r="S434" s="19"/>
      <c r="T434" s="19"/>
      <c r="U434" s="19"/>
      <c r="V434" s="19"/>
      <c r="W434" s="20"/>
      <c r="X434" s="43"/>
    </row>
    <row r="435" spans="1:24" ht="15.75" hidden="1" customHeight="1" x14ac:dyDescent="0.25">
      <c r="A435" s="16"/>
      <c r="B435" s="16" t="str">
        <f t="shared" si="2"/>
        <v/>
      </c>
      <c r="C435" s="16"/>
      <c r="D435" s="40"/>
      <c r="E435" s="16"/>
      <c r="F435" s="41"/>
      <c r="G435" s="16"/>
      <c r="H435" s="16"/>
      <c r="I435" s="16"/>
      <c r="J435" s="22"/>
      <c r="K435" s="16"/>
      <c r="L435" s="50"/>
      <c r="M435" s="16"/>
      <c r="N435" s="19"/>
      <c r="O435" s="19"/>
      <c r="P435" s="19"/>
      <c r="Q435" s="19"/>
      <c r="R435" s="19"/>
      <c r="S435" s="19"/>
      <c r="T435" s="19"/>
      <c r="U435" s="19"/>
      <c r="V435" s="19"/>
      <c r="W435" s="20"/>
      <c r="X435" s="43"/>
    </row>
    <row r="436" spans="1:24" ht="15.75" hidden="1" customHeight="1" x14ac:dyDescent="0.25">
      <c r="A436" s="16"/>
      <c r="B436" s="16" t="str">
        <f t="shared" si="2"/>
        <v/>
      </c>
      <c r="C436" s="16"/>
      <c r="D436" s="40"/>
      <c r="E436" s="16"/>
      <c r="F436" s="41"/>
      <c r="G436" s="16"/>
      <c r="H436" s="16"/>
      <c r="I436" s="16"/>
      <c r="J436" s="22"/>
      <c r="K436" s="16"/>
      <c r="L436" s="50"/>
      <c r="M436" s="16"/>
      <c r="N436" s="19"/>
      <c r="O436" s="19"/>
      <c r="P436" s="19"/>
      <c r="Q436" s="19"/>
      <c r="R436" s="19"/>
      <c r="S436" s="19"/>
      <c r="T436" s="19"/>
      <c r="U436" s="19"/>
      <c r="V436" s="19"/>
      <c r="W436" s="20"/>
      <c r="X436" s="43"/>
    </row>
    <row r="437" spans="1:24" ht="15.75" hidden="1" customHeight="1" x14ac:dyDescent="0.25">
      <c r="A437" s="16"/>
      <c r="B437" s="16" t="str">
        <f t="shared" si="2"/>
        <v/>
      </c>
      <c r="C437" s="16"/>
      <c r="D437" s="40"/>
      <c r="E437" s="16"/>
      <c r="F437" s="41"/>
      <c r="G437" s="16"/>
      <c r="H437" s="16"/>
      <c r="I437" s="16"/>
      <c r="J437" s="22"/>
      <c r="K437" s="16"/>
      <c r="L437" s="50"/>
      <c r="M437" s="16"/>
      <c r="N437" s="19"/>
      <c r="O437" s="19"/>
      <c r="P437" s="19"/>
      <c r="Q437" s="19"/>
      <c r="R437" s="19"/>
      <c r="S437" s="19"/>
      <c r="T437" s="19"/>
      <c r="U437" s="19"/>
      <c r="V437" s="19"/>
      <c r="W437" s="20"/>
      <c r="X437" s="43"/>
    </row>
    <row r="438" spans="1:24" ht="15.75" hidden="1" customHeight="1" x14ac:dyDescent="0.25">
      <c r="A438" s="16"/>
      <c r="B438" s="16" t="str">
        <f t="shared" si="2"/>
        <v/>
      </c>
      <c r="C438" s="16"/>
      <c r="D438" s="40"/>
      <c r="E438" s="16"/>
      <c r="F438" s="41"/>
      <c r="G438" s="16"/>
      <c r="H438" s="16"/>
      <c r="I438" s="16"/>
      <c r="J438" s="22"/>
      <c r="K438" s="16"/>
      <c r="L438" s="50"/>
      <c r="M438" s="16"/>
      <c r="N438" s="19"/>
      <c r="O438" s="19"/>
      <c r="P438" s="19"/>
      <c r="Q438" s="19"/>
      <c r="R438" s="19"/>
      <c r="S438" s="19"/>
      <c r="T438" s="19"/>
      <c r="U438" s="19"/>
      <c r="V438" s="19"/>
      <c r="W438" s="20"/>
      <c r="X438" s="43"/>
    </row>
    <row r="439" spans="1:24" ht="15.75" hidden="1" customHeight="1" x14ac:dyDescent="0.25">
      <c r="A439" s="16"/>
      <c r="B439" s="16" t="str">
        <f t="shared" si="2"/>
        <v/>
      </c>
      <c r="C439" s="16"/>
      <c r="D439" s="40"/>
      <c r="E439" s="16"/>
      <c r="F439" s="41"/>
      <c r="G439" s="16"/>
      <c r="H439" s="16"/>
      <c r="I439" s="16"/>
      <c r="J439" s="22"/>
      <c r="K439" s="16"/>
      <c r="L439" s="50"/>
      <c r="M439" s="16"/>
      <c r="N439" s="19"/>
      <c r="O439" s="19"/>
      <c r="P439" s="19"/>
      <c r="Q439" s="19"/>
      <c r="R439" s="19"/>
      <c r="S439" s="19"/>
      <c r="T439" s="19"/>
      <c r="U439" s="19"/>
      <c r="V439" s="19"/>
      <c r="W439" s="20"/>
      <c r="X439" s="43"/>
    </row>
    <row r="440" spans="1:24" ht="15.75" hidden="1" customHeight="1" x14ac:dyDescent="0.25">
      <c r="A440" s="16"/>
      <c r="B440" s="16" t="str">
        <f t="shared" si="2"/>
        <v/>
      </c>
      <c r="C440" s="16"/>
      <c r="D440" s="40"/>
      <c r="E440" s="16"/>
      <c r="F440" s="41"/>
      <c r="G440" s="16"/>
      <c r="H440" s="16"/>
      <c r="I440" s="16"/>
      <c r="J440" s="22"/>
      <c r="K440" s="16"/>
      <c r="L440" s="50"/>
      <c r="M440" s="16"/>
      <c r="N440" s="19"/>
      <c r="O440" s="19"/>
      <c r="P440" s="19"/>
      <c r="Q440" s="19"/>
      <c r="R440" s="19"/>
      <c r="S440" s="19"/>
      <c r="T440" s="19"/>
      <c r="U440" s="19"/>
      <c r="V440" s="19"/>
      <c r="W440" s="20"/>
      <c r="X440" s="43"/>
    </row>
    <row r="441" spans="1:24" ht="15.75" hidden="1" customHeight="1" x14ac:dyDescent="0.25">
      <c r="A441" s="16"/>
      <c r="B441" s="16" t="str">
        <f t="shared" si="2"/>
        <v/>
      </c>
      <c r="C441" s="16"/>
      <c r="D441" s="40"/>
      <c r="E441" s="16"/>
      <c r="F441" s="41"/>
      <c r="G441" s="16"/>
      <c r="H441" s="16"/>
      <c r="I441" s="16"/>
      <c r="J441" s="22"/>
      <c r="K441" s="16"/>
      <c r="L441" s="50"/>
      <c r="M441" s="16"/>
      <c r="N441" s="19"/>
      <c r="O441" s="19"/>
      <c r="P441" s="19"/>
      <c r="Q441" s="19"/>
      <c r="R441" s="19"/>
      <c r="S441" s="19"/>
      <c r="T441" s="19"/>
      <c r="U441" s="19"/>
      <c r="V441" s="19"/>
      <c r="W441" s="20"/>
      <c r="X441" s="43"/>
    </row>
    <row r="442" spans="1:24" ht="15.75" hidden="1" customHeight="1" x14ac:dyDescent="0.25">
      <c r="A442" s="16"/>
      <c r="B442" s="16" t="str">
        <f t="shared" si="2"/>
        <v/>
      </c>
      <c r="C442" s="16"/>
      <c r="D442" s="40"/>
      <c r="E442" s="16"/>
      <c r="F442" s="41"/>
      <c r="G442" s="16"/>
      <c r="H442" s="16"/>
      <c r="I442" s="16"/>
      <c r="J442" s="22"/>
      <c r="K442" s="16"/>
      <c r="L442" s="50"/>
      <c r="M442" s="16"/>
      <c r="N442" s="19"/>
      <c r="O442" s="19"/>
      <c r="P442" s="19"/>
      <c r="Q442" s="19"/>
      <c r="R442" s="19"/>
      <c r="S442" s="19"/>
      <c r="T442" s="19"/>
      <c r="U442" s="19"/>
      <c r="V442" s="19"/>
      <c r="W442" s="20"/>
      <c r="X442" s="43"/>
    </row>
    <row r="443" spans="1:24" ht="15.75" hidden="1" customHeight="1" x14ac:dyDescent="0.25">
      <c r="A443" s="16"/>
      <c r="B443" s="16" t="str">
        <f t="shared" si="2"/>
        <v/>
      </c>
      <c r="C443" s="16"/>
      <c r="D443" s="40"/>
      <c r="E443" s="16"/>
      <c r="F443" s="41"/>
      <c r="G443" s="16"/>
      <c r="H443" s="16"/>
      <c r="I443" s="16"/>
      <c r="J443" s="22"/>
      <c r="K443" s="16"/>
      <c r="L443" s="50"/>
      <c r="M443" s="16"/>
      <c r="N443" s="19"/>
      <c r="O443" s="19"/>
      <c r="P443" s="19"/>
      <c r="Q443" s="19"/>
      <c r="R443" s="19"/>
      <c r="S443" s="19"/>
      <c r="T443" s="19"/>
      <c r="U443" s="19"/>
      <c r="V443" s="19"/>
      <c r="W443" s="20"/>
      <c r="X443" s="43"/>
    </row>
    <row r="444" spans="1:24" ht="15.75" hidden="1" customHeight="1" x14ac:dyDescent="0.25">
      <c r="A444" s="16"/>
      <c r="B444" s="16" t="str">
        <f t="shared" si="2"/>
        <v/>
      </c>
      <c r="C444" s="16"/>
      <c r="D444" s="40"/>
      <c r="E444" s="16"/>
      <c r="F444" s="41"/>
      <c r="G444" s="16"/>
      <c r="H444" s="16"/>
      <c r="I444" s="16"/>
      <c r="J444" s="22"/>
      <c r="K444" s="16"/>
      <c r="L444" s="50"/>
      <c r="M444" s="16"/>
      <c r="N444" s="19"/>
      <c r="O444" s="19"/>
      <c r="P444" s="19"/>
      <c r="Q444" s="19"/>
      <c r="R444" s="19"/>
      <c r="S444" s="19"/>
      <c r="T444" s="19"/>
      <c r="U444" s="19"/>
      <c r="V444" s="19"/>
      <c r="W444" s="20"/>
      <c r="X444" s="43"/>
    </row>
    <row r="445" spans="1:24" ht="15.75" hidden="1" customHeight="1" x14ac:dyDescent="0.25">
      <c r="A445" s="16"/>
      <c r="B445" s="16" t="str">
        <f t="shared" si="2"/>
        <v/>
      </c>
      <c r="C445" s="16"/>
      <c r="D445" s="40"/>
      <c r="E445" s="16"/>
      <c r="F445" s="41"/>
      <c r="G445" s="16"/>
      <c r="H445" s="16"/>
      <c r="I445" s="16"/>
      <c r="J445" s="22"/>
      <c r="K445" s="16"/>
      <c r="L445" s="50"/>
      <c r="M445" s="16"/>
      <c r="N445" s="19"/>
      <c r="O445" s="19"/>
      <c r="P445" s="19"/>
      <c r="Q445" s="19"/>
      <c r="R445" s="19"/>
      <c r="S445" s="19"/>
      <c r="T445" s="19"/>
      <c r="U445" s="19"/>
      <c r="V445" s="19"/>
      <c r="W445" s="20"/>
      <c r="X445" s="43"/>
    </row>
    <row r="446" spans="1:24" ht="15.75" hidden="1" customHeight="1" x14ac:dyDescent="0.25">
      <c r="A446" s="16"/>
      <c r="B446" s="16" t="str">
        <f t="shared" si="2"/>
        <v/>
      </c>
      <c r="C446" s="16"/>
      <c r="D446" s="40"/>
      <c r="E446" s="16"/>
      <c r="F446" s="41"/>
      <c r="G446" s="16"/>
      <c r="H446" s="16"/>
      <c r="I446" s="16"/>
      <c r="J446" s="22"/>
      <c r="K446" s="16"/>
      <c r="L446" s="50"/>
      <c r="M446" s="16"/>
      <c r="N446" s="19"/>
      <c r="O446" s="19"/>
      <c r="P446" s="19"/>
      <c r="Q446" s="19"/>
      <c r="R446" s="19"/>
      <c r="S446" s="19"/>
      <c r="T446" s="19"/>
      <c r="U446" s="19"/>
      <c r="V446" s="19"/>
      <c r="W446" s="20"/>
      <c r="X446" s="43"/>
    </row>
    <row r="447" spans="1:24" ht="15.75" hidden="1" customHeight="1" x14ac:dyDescent="0.25">
      <c r="A447" s="16"/>
      <c r="B447" s="16" t="str">
        <f t="shared" si="2"/>
        <v/>
      </c>
      <c r="C447" s="16"/>
      <c r="D447" s="40"/>
      <c r="E447" s="16"/>
      <c r="F447" s="41"/>
      <c r="G447" s="16"/>
      <c r="H447" s="16"/>
      <c r="I447" s="16"/>
      <c r="J447" s="22"/>
      <c r="K447" s="16"/>
      <c r="L447" s="50"/>
      <c r="M447" s="16"/>
      <c r="N447" s="19"/>
      <c r="O447" s="19"/>
      <c r="P447" s="19"/>
      <c r="Q447" s="19"/>
      <c r="R447" s="19"/>
      <c r="S447" s="19"/>
      <c r="T447" s="19"/>
      <c r="U447" s="19"/>
      <c r="V447" s="19"/>
      <c r="W447" s="20"/>
      <c r="X447" s="43"/>
    </row>
    <row r="448" spans="1:24" ht="15.75" hidden="1" customHeight="1" x14ac:dyDescent="0.25">
      <c r="A448" s="16"/>
      <c r="B448" s="16" t="str">
        <f t="shared" si="2"/>
        <v/>
      </c>
      <c r="C448" s="16"/>
      <c r="D448" s="40"/>
      <c r="E448" s="16"/>
      <c r="F448" s="41"/>
      <c r="G448" s="16"/>
      <c r="H448" s="16"/>
      <c r="I448" s="16"/>
      <c r="J448" s="22"/>
      <c r="K448" s="16"/>
      <c r="L448" s="50"/>
      <c r="M448" s="16"/>
      <c r="N448" s="19"/>
      <c r="O448" s="19"/>
      <c r="P448" s="19"/>
      <c r="Q448" s="19"/>
      <c r="R448" s="19"/>
      <c r="S448" s="19"/>
      <c r="T448" s="19"/>
      <c r="U448" s="19"/>
      <c r="V448" s="19"/>
      <c r="W448" s="20"/>
      <c r="X448" s="43"/>
    </row>
    <row r="449" spans="1:24" ht="15.75" hidden="1" customHeight="1" x14ac:dyDescent="0.25">
      <c r="A449" s="16"/>
      <c r="B449" s="16" t="str">
        <f t="shared" si="2"/>
        <v/>
      </c>
      <c r="C449" s="16"/>
      <c r="D449" s="40"/>
      <c r="E449" s="16"/>
      <c r="F449" s="41"/>
      <c r="G449" s="16"/>
      <c r="H449" s="16"/>
      <c r="I449" s="16"/>
      <c r="J449" s="22"/>
      <c r="K449" s="16"/>
      <c r="L449" s="50"/>
      <c r="M449" s="16"/>
      <c r="N449" s="19"/>
      <c r="O449" s="19"/>
      <c r="P449" s="19"/>
      <c r="Q449" s="19"/>
      <c r="R449" s="19"/>
      <c r="S449" s="19"/>
      <c r="T449" s="19"/>
      <c r="U449" s="19"/>
      <c r="V449" s="19"/>
      <c r="W449" s="20"/>
      <c r="X449" s="43"/>
    </row>
    <row r="450" spans="1:24" ht="15.75" hidden="1" customHeight="1" x14ac:dyDescent="0.25">
      <c r="A450" s="16"/>
      <c r="B450" s="16" t="str">
        <f t="shared" si="2"/>
        <v/>
      </c>
      <c r="C450" s="16"/>
      <c r="D450" s="40"/>
      <c r="E450" s="16"/>
      <c r="F450" s="41"/>
      <c r="G450" s="16"/>
      <c r="H450" s="16"/>
      <c r="I450" s="16"/>
      <c r="J450" s="22"/>
      <c r="K450" s="16"/>
      <c r="L450" s="50"/>
      <c r="M450" s="16"/>
      <c r="N450" s="19"/>
      <c r="O450" s="19"/>
      <c r="P450" s="19"/>
      <c r="Q450" s="19"/>
      <c r="R450" s="19"/>
      <c r="S450" s="19"/>
      <c r="T450" s="19"/>
      <c r="U450" s="19"/>
      <c r="V450" s="19"/>
      <c r="W450" s="20"/>
      <c r="X450" s="43"/>
    </row>
    <row r="451" spans="1:24" ht="15.75" hidden="1" customHeight="1" x14ac:dyDescent="0.25">
      <c r="A451" s="16"/>
      <c r="B451" s="16" t="str">
        <f t="shared" si="2"/>
        <v/>
      </c>
      <c r="C451" s="16"/>
      <c r="D451" s="40"/>
      <c r="E451" s="16"/>
      <c r="F451" s="41"/>
      <c r="G451" s="16"/>
      <c r="H451" s="16"/>
      <c r="I451" s="16"/>
      <c r="J451" s="22"/>
      <c r="K451" s="16"/>
      <c r="L451" s="50"/>
      <c r="M451" s="16"/>
      <c r="N451" s="19"/>
      <c r="O451" s="19"/>
      <c r="P451" s="19"/>
      <c r="Q451" s="19"/>
      <c r="R451" s="19"/>
      <c r="S451" s="19"/>
      <c r="T451" s="19"/>
      <c r="U451" s="19"/>
      <c r="V451" s="19"/>
      <c r="W451" s="20"/>
      <c r="X451" s="43"/>
    </row>
    <row r="452" spans="1:24" ht="15.75" hidden="1" customHeight="1" x14ac:dyDescent="0.25">
      <c r="A452" s="16"/>
      <c r="B452" s="16" t="str">
        <f t="shared" si="2"/>
        <v/>
      </c>
      <c r="C452" s="16"/>
      <c r="D452" s="40"/>
      <c r="E452" s="16"/>
      <c r="F452" s="41"/>
      <c r="G452" s="16"/>
      <c r="H452" s="16"/>
      <c r="I452" s="16"/>
      <c r="J452" s="22"/>
      <c r="K452" s="16"/>
      <c r="L452" s="50"/>
      <c r="M452" s="16"/>
      <c r="N452" s="19"/>
      <c r="O452" s="19"/>
      <c r="P452" s="19"/>
      <c r="Q452" s="19"/>
      <c r="R452" s="19"/>
      <c r="S452" s="19"/>
      <c r="T452" s="19"/>
      <c r="U452" s="19"/>
      <c r="V452" s="19"/>
      <c r="W452" s="20"/>
      <c r="X452" s="43"/>
    </row>
    <row r="453" spans="1:24" ht="15.75" hidden="1" customHeight="1" x14ac:dyDescent="0.25">
      <c r="A453" s="16"/>
      <c r="B453" s="16" t="str">
        <f t="shared" si="2"/>
        <v/>
      </c>
      <c r="C453" s="16"/>
      <c r="D453" s="40"/>
      <c r="E453" s="16"/>
      <c r="F453" s="41"/>
      <c r="G453" s="16"/>
      <c r="H453" s="16"/>
      <c r="I453" s="16"/>
      <c r="J453" s="22"/>
      <c r="K453" s="16"/>
      <c r="L453" s="50"/>
      <c r="M453" s="16"/>
      <c r="N453" s="19"/>
      <c r="O453" s="19"/>
      <c r="P453" s="19"/>
      <c r="Q453" s="19"/>
      <c r="R453" s="19"/>
      <c r="S453" s="19"/>
      <c r="T453" s="19"/>
      <c r="U453" s="19"/>
      <c r="V453" s="19"/>
      <c r="W453" s="20"/>
      <c r="X453" s="43"/>
    </row>
    <row r="454" spans="1:24" ht="15.75" hidden="1" customHeight="1" x14ac:dyDescent="0.25">
      <c r="A454" s="16"/>
      <c r="B454" s="16" t="str">
        <f t="shared" si="2"/>
        <v/>
      </c>
      <c r="C454" s="16"/>
      <c r="D454" s="40"/>
      <c r="E454" s="16"/>
      <c r="F454" s="41"/>
      <c r="G454" s="16"/>
      <c r="H454" s="16"/>
      <c r="I454" s="16"/>
      <c r="J454" s="22"/>
      <c r="K454" s="16"/>
      <c r="L454" s="50"/>
      <c r="M454" s="16"/>
      <c r="N454" s="19"/>
      <c r="O454" s="19"/>
      <c r="P454" s="19"/>
      <c r="Q454" s="19"/>
      <c r="R454" s="19"/>
      <c r="S454" s="19"/>
      <c r="T454" s="19"/>
      <c r="U454" s="19"/>
      <c r="V454" s="19"/>
      <c r="W454" s="20"/>
      <c r="X454" s="43"/>
    </row>
    <row r="455" spans="1:24" ht="15.75" hidden="1" customHeight="1" x14ac:dyDescent="0.25">
      <c r="A455" s="16"/>
      <c r="B455" s="16" t="str">
        <f t="shared" si="2"/>
        <v/>
      </c>
      <c r="C455" s="16"/>
      <c r="D455" s="40"/>
      <c r="E455" s="16"/>
      <c r="F455" s="41"/>
      <c r="G455" s="16"/>
      <c r="H455" s="16"/>
      <c r="I455" s="16"/>
      <c r="J455" s="22"/>
      <c r="K455" s="16"/>
      <c r="L455" s="50"/>
      <c r="M455" s="16"/>
      <c r="N455" s="19"/>
      <c r="O455" s="19"/>
      <c r="P455" s="19"/>
      <c r="Q455" s="19"/>
      <c r="R455" s="19"/>
      <c r="S455" s="19"/>
      <c r="T455" s="19"/>
      <c r="U455" s="19"/>
      <c r="V455" s="19"/>
      <c r="W455" s="20"/>
      <c r="X455" s="43"/>
    </row>
    <row r="456" spans="1:24" ht="15.75" hidden="1" customHeight="1" x14ac:dyDescent="0.25">
      <c r="A456" s="16"/>
      <c r="B456" s="16" t="str">
        <f t="shared" si="2"/>
        <v/>
      </c>
      <c r="C456" s="16"/>
      <c r="D456" s="40"/>
      <c r="E456" s="16"/>
      <c r="F456" s="41"/>
      <c r="G456" s="16"/>
      <c r="H456" s="16"/>
      <c r="I456" s="16"/>
      <c r="J456" s="22"/>
      <c r="K456" s="16"/>
      <c r="L456" s="50"/>
      <c r="M456" s="16"/>
      <c r="N456" s="19"/>
      <c r="O456" s="19"/>
      <c r="P456" s="19"/>
      <c r="Q456" s="19"/>
      <c r="R456" s="19"/>
      <c r="S456" s="19"/>
      <c r="T456" s="19"/>
      <c r="U456" s="19"/>
      <c r="V456" s="19"/>
      <c r="W456" s="20"/>
      <c r="X456" s="43"/>
    </row>
    <row r="457" spans="1:24" ht="15.75" hidden="1" customHeight="1" x14ac:dyDescent="0.25">
      <c r="A457" s="16"/>
      <c r="B457" s="16" t="str">
        <f t="shared" si="2"/>
        <v/>
      </c>
      <c r="C457" s="16"/>
      <c r="D457" s="40"/>
      <c r="E457" s="16"/>
      <c r="F457" s="41"/>
      <c r="G457" s="16"/>
      <c r="H457" s="16"/>
      <c r="I457" s="16"/>
      <c r="J457" s="22"/>
      <c r="K457" s="16"/>
      <c r="L457" s="50"/>
      <c r="M457" s="16"/>
      <c r="N457" s="19"/>
      <c r="O457" s="19"/>
      <c r="P457" s="19"/>
      <c r="Q457" s="19"/>
      <c r="R457" s="19"/>
      <c r="S457" s="19"/>
      <c r="T457" s="19"/>
      <c r="U457" s="19"/>
      <c r="V457" s="19"/>
      <c r="W457" s="20"/>
      <c r="X457" s="43"/>
    </row>
    <row r="458" spans="1:24" ht="15.75" hidden="1" customHeight="1" x14ac:dyDescent="0.25">
      <c r="A458" s="16"/>
      <c r="B458" s="16" t="str">
        <f t="shared" si="2"/>
        <v/>
      </c>
      <c r="C458" s="16"/>
      <c r="D458" s="40"/>
      <c r="E458" s="16"/>
      <c r="F458" s="41"/>
      <c r="G458" s="16"/>
      <c r="H458" s="16"/>
      <c r="I458" s="16"/>
      <c r="J458" s="22"/>
      <c r="K458" s="16"/>
      <c r="L458" s="50"/>
      <c r="M458" s="16"/>
      <c r="N458" s="19"/>
      <c r="O458" s="19"/>
      <c r="P458" s="19"/>
      <c r="Q458" s="19"/>
      <c r="R458" s="19"/>
      <c r="S458" s="19"/>
      <c r="T458" s="19"/>
      <c r="U458" s="19"/>
      <c r="V458" s="19"/>
      <c r="W458" s="20"/>
      <c r="X458" s="43"/>
    </row>
    <row r="459" spans="1:24" ht="15.75" hidden="1" customHeight="1" x14ac:dyDescent="0.25">
      <c r="A459" s="16"/>
      <c r="B459" s="16" t="str">
        <f t="shared" si="2"/>
        <v/>
      </c>
      <c r="C459" s="16"/>
      <c r="D459" s="40"/>
      <c r="E459" s="16"/>
      <c r="F459" s="41"/>
      <c r="G459" s="16"/>
      <c r="H459" s="16"/>
      <c r="I459" s="16"/>
      <c r="J459" s="22"/>
      <c r="K459" s="16"/>
      <c r="L459" s="50"/>
      <c r="M459" s="16"/>
      <c r="N459" s="19"/>
      <c r="O459" s="19"/>
      <c r="P459" s="19"/>
      <c r="Q459" s="19"/>
      <c r="R459" s="19"/>
      <c r="S459" s="19"/>
      <c r="T459" s="19"/>
      <c r="U459" s="19"/>
      <c r="V459" s="19"/>
      <c r="W459" s="20"/>
      <c r="X459" s="43"/>
    </row>
    <row r="460" spans="1:24" ht="15.75" hidden="1" customHeight="1" x14ac:dyDescent="0.25">
      <c r="A460" s="16"/>
      <c r="B460" s="16" t="str">
        <f t="shared" si="2"/>
        <v/>
      </c>
      <c r="C460" s="16"/>
      <c r="D460" s="40"/>
      <c r="E460" s="16"/>
      <c r="F460" s="41"/>
      <c r="G460" s="16"/>
      <c r="H460" s="16"/>
      <c r="I460" s="16"/>
      <c r="J460" s="22"/>
      <c r="K460" s="16"/>
      <c r="L460" s="50"/>
      <c r="M460" s="16"/>
      <c r="N460" s="19"/>
      <c r="O460" s="19"/>
      <c r="P460" s="19"/>
      <c r="Q460" s="19"/>
      <c r="R460" s="19"/>
      <c r="S460" s="19"/>
      <c r="T460" s="19"/>
      <c r="U460" s="19"/>
      <c r="V460" s="19"/>
      <c r="W460" s="20"/>
      <c r="X460" s="43"/>
    </row>
    <row r="461" spans="1:24" ht="15.75" hidden="1" customHeight="1" x14ac:dyDescent="0.25">
      <c r="A461" s="16"/>
      <c r="B461" s="16" t="str">
        <f t="shared" si="2"/>
        <v/>
      </c>
      <c r="C461" s="16"/>
      <c r="D461" s="40"/>
      <c r="E461" s="16"/>
      <c r="F461" s="41"/>
      <c r="G461" s="16"/>
      <c r="H461" s="16"/>
      <c r="I461" s="16"/>
      <c r="J461" s="22"/>
      <c r="K461" s="16"/>
      <c r="L461" s="50"/>
      <c r="M461" s="16"/>
      <c r="N461" s="19"/>
      <c r="O461" s="19"/>
      <c r="P461" s="19"/>
      <c r="Q461" s="19"/>
      <c r="R461" s="19"/>
      <c r="S461" s="19"/>
      <c r="T461" s="19"/>
      <c r="U461" s="19"/>
      <c r="V461" s="19"/>
      <c r="W461" s="20"/>
      <c r="X461" s="43"/>
    </row>
    <row r="462" spans="1:24" ht="15.75" hidden="1" customHeight="1" x14ac:dyDescent="0.25">
      <c r="A462" s="16"/>
      <c r="B462" s="16" t="str">
        <f t="shared" si="2"/>
        <v/>
      </c>
      <c r="C462" s="16"/>
      <c r="D462" s="40"/>
      <c r="E462" s="16"/>
      <c r="F462" s="41"/>
      <c r="G462" s="16"/>
      <c r="H462" s="16"/>
      <c r="I462" s="16"/>
      <c r="J462" s="22"/>
      <c r="K462" s="16"/>
      <c r="L462" s="50"/>
      <c r="M462" s="16"/>
      <c r="N462" s="19"/>
      <c r="O462" s="19"/>
      <c r="P462" s="19"/>
      <c r="Q462" s="19"/>
      <c r="R462" s="19"/>
      <c r="S462" s="19"/>
      <c r="T462" s="19"/>
      <c r="U462" s="19"/>
      <c r="V462" s="19"/>
      <c r="W462" s="20"/>
      <c r="X462" s="43"/>
    </row>
    <row r="463" spans="1:24" ht="15.75" hidden="1" customHeight="1" x14ac:dyDescent="0.25">
      <c r="A463" s="16"/>
      <c r="B463" s="16" t="str">
        <f t="shared" si="2"/>
        <v/>
      </c>
      <c r="C463" s="16"/>
      <c r="D463" s="40"/>
      <c r="E463" s="16"/>
      <c r="F463" s="41"/>
      <c r="G463" s="16"/>
      <c r="H463" s="16"/>
      <c r="I463" s="16"/>
      <c r="J463" s="22"/>
      <c r="K463" s="16"/>
      <c r="L463" s="50"/>
      <c r="M463" s="16"/>
      <c r="N463" s="19"/>
      <c r="O463" s="19"/>
      <c r="P463" s="19"/>
      <c r="Q463" s="19"/>
      <c r="R463" s="19"/>
      <c r="S463" s="19"/>
      <c r="T463" s="19"/>
      <c r="U463" s="19"/>
      <c r="V463" s="19"/>
      <c r="W463" s="20"/>
      <c r="X463" s="43"/>
    </row>
    <row r="464" spans="1:24" ht="15.75" hidden="1" customHeight="1" x14ac:dyDescent="0.25">
      <c r="A464" s="16"/>
      <c r="B464" s="16" t="str">
        <f t="shared" si="2"/>
        <v/>
      </c>
      <c r="C464" s="16"/>
      <c r="D464" s="40"/>
      <c r="E464" s="16"/>
      <c r="F464" s="41"/>
      <c r="G464" s="16"/>
      <c r="H464" s="16"/>
      <c r="I464" s="16"/>
      <c r="J464" s="22"/>
      <c r="K464" s="16"/>
      <c r="L464" s="50"/>
      <c r="M464" s="16"/>
      <c r="N464" s="19"/>
      <c r="O464" s="19"/>
      <c r="P464" s="19"/>
      <c r="Q464" s="19"/>
      <c r="R464" s="19"/>
      <c r="S464" s="19"/>
      <c r="T464" s="19"/>
      <c r="U464" s="19"/>
      <c r="V464" s="19"/>
      <c r="W464" s="20"/>
      <c r="X464" s="43"/>
    </row>
    <row r="465" spans="1:24" ht="15.75" hidden="1" customHeight="1" x14ac:dyDescent="0.25">
      <c r="A465" s="16"/>
      <c r="B465" s="16" t="str">
        <f t="shared" si="2"/>
        <v/>
      </c>
      <c r="C465" s="16"/>
      <c r="D465" s="40"/>
      <c r="E465" s="16"/>
      <c r="F465" s="41"/>
      <c r="G465" s="16"/>
      <c r="H465" s="16"/>
      <c r="I465" s="16"/>
      <c r="J465" s="22"/>
      <c r="K465" s="16"/>
      <c r="L465" s="50"/>
      <c r="M465" s="16"/>
      <c r="N465" s="19"/>
      <c r="O465" s="19"/>
      <c r="P465" s="19"/>
      <c r="Q465" s="19"/>
      <c r="R465" s="19"/>
      <c r="S465" s="19"/>
      <c r="T465" s="19"/>
      <c r="U465" s="19"/>
      <c r="V465" s="19"/>
      <c r="W465" s="20"/>
      <c r="X465" s="43"/>
    </row>
    <row r="466" spans="1:24" ht="15.75" hidden="1" customHeight="1" x14ac:dyDescent="0.25">
      <c r="A466" s="16"/>
      <c r="B466" s="16" t="str">
        <f t="shared" si="2"/>
        <v/>
      </c>
      <c r="C466" s="16"/>
      <c r="D466" s="40"/>
      <c r="E466" s="16"/>
      <c r="F466" s="41"/>
      <c r="G466" s="16"/>
      <c r="H466" s="16"/>
      <c r="I466" s="16"/>
      <c r="J466" s="22"/>
      <c r="K466" s="16"/>
      <c r="L466" s="50"/>
      <c r="M466" s="16"/>
      <c r="N466" s="19"/>
      <c r="O466" s="19"/>
      <c r="P466" s="19"/>
      <c r="Q466" s="19"/>
      <c r="R466" s="19"/>
      <c r="S466" s="19"/>
      <c r="T466" s="19"/>
      <c r="U466" s="19"/>
      <c r="V466" s="19"/>
      <c r="W466" s="20"/>
      <c r="X466" s="43"/>
    </row>
    <row r="467" spans="1:24" ht="15.75" hidden="1" customHeight="1" x14ac:dyDescent="0.25">
      <c r="A467" s="16"/>
      <c r="B467" s="16" t="str">
        <f t="shared" si="2"/>
        <v/>
      </c>
      <c r="C467" s="16"/>
      <c r="D467" s="40"/>
      <c r="E467" s="16"/>
      <c r="F467" s="41"/>
      <c r="G467" s="16"/>
      <c r="H467" s="16"/>
      <c r="I467" s="16"/>
      <c r="J467" s="22"/>
      <c r="K467" s="16"/>
      <c r="L467" s="50"/>
      <c r="M467" s="16"/>
      <c r="N467" s="19"/>
      <c r="O467" s="19"/>
      <c r="P467" s="19"/>
      <c r="Q467" s="19"/>
      <c r="R467" s="19"/>
      <c r="S467" s="19"/>
      <c r="T467" s="19"/>
      <c r="U467" s="19"/>
      <c r="V467" s="19"/>
      <c r="W467" s="20"/>
      <c r="X467" s="43"/>
    </row>
    <row r="468" spans="1:24" ht="15.75" hidden="1" customHeight="1" x14ac:dyDescent="0.25">
      <c r="A468" s="16"/>
      <c r="B468" s="16" t="str">
        <f t="shared" si="2"/>
        <v/>
      </c>
      <c r="C468" s="16"/>
      <c r="D468" s="40"/>
      <c r="E468" s="16"/>
      <c r="F468" s="41"/>
      <c r="G468" s="16"/>
      <c r="H468" s="16"/>
      <c r="I468" s="16"/>
      <c r="J468" s="22"/>
      <c r="K468" s="16"/>
      <c r="L468" s="50"/>
      <c r="M468" s="16"/>
      <c r="N468" s="19"/>
      <c r="O468" s="19"/>
      <c r="P468" s="19"/>
      <c r="Q468" s="19"/>
      <c r="R468" s="19"/>
      <c r="S468" s="19"/>
      <c r="T468" s="19"/>
      <c r="U468" s="19"/>
      <c r="V468" s="19"/>
      <c r="W468" s="20"/>
      <c r="X468" s="43"/>
    </row>
    <row r="469" spans="1:24" ht="15.75" hidden="1" customHeight="1" x14ac:dyDescent="0.25">
      <c r="A469" s="16"/>
      <c r="B469" s="16" t="str">
        <f t="shared" si="2"/>
        <v/>
      </c>
      <c r="C469" s="16"/>
      <c r="D469" s="40"/>
      <c r="E469" s="16"/>
      <c r="F469" s="41"/>
      <c r="G469" s="16"/>
      <c r="H469" s="16"/>
      <c r="I469" s="16"/>
      <c r="J469" s="22"/>
      <c r="K469" s="16"/>
      <c r="L469" s="50"/>
      <c r="M469" s="16"/>
      <c r="N469" s="19"/>
      <c r="O469" s="19"/>
      <c r="P469" s="19"/>
      <c r="Q469" s="19"/>
      <c r="R469" s="19"/>
      <c r="S469" s="19"/>
      <c r="T469" s="19"/>
      <c r="U469" s="19"/>
      <c r="V469" s="19"/>
      <c r="W469" s="20"/>
      <c r="X469" s="43"/>
    </row>
    <row r="470" spans="1:24" ht="15.75" hidden="1" customHeight="1" x14ac:dyDescent="0.25">
      <c r="A470" s="16"/>
      <c r="B470" s="16" t="str">
        <f t="shared" si="2"/>
        <v/>
      </c>
      <c r="C470" s="16"/>
      <c r="D470" s="40"/>
      <c r="E470" s="16"/>
      <c r="F470" s="41"/>
      <c r="G470" s="16"/>
      <c r="H470" s="16"/>
      <c r="I470" s="16"/>
      <c r="J470" s="22"/>
      <c r="K470" s="16"/>
      <c r="L470" s="50"/>
      <c r="M470" s="16"/>
      <c r="N470" s="19"/>
      <c r="O470" s="19"/>
      <c r="P470" s="19"/>
      <c r="Q470" s="19"/>
      <c r="R470" s="19"/>
      <c r="S470" s="19"/>
      <c r="T470" s="19"/>
      <c r="U470" s="19"/>
      <c r="V470" s="19"/>
      <c r="W470" s="20"/>
      <c r="X470" s="43"/>
    </row>
    <row r="471" spans="1:24" ht="15.75" hidden="1" customHeight="1" x14ac:dyDescent="0.25">
      <c r="A471" s="16"/>
      <c r="B471" s="16" t="str">
        <f t="shared" si="2"/>
        <v/>
      </c>
      <c r="C471" s="16"/>
      <c r="D471" s="40"/>
      <c r="E471" s="16"/>
      <c r="F471" s="41"/>
      <c r="G471" s="16"/>
      <c r="H471" s="16"/>
      <c r="I471" s="16"/>
      <c r="J471" s="22"/>
      <c r="K471" s="16"/>
      <c r="L471" s="50"/>
      <c r="M471" s="16"/>
      <c r="N471" s="19"/>
      <c r="O471" s="19"/>
      <c r="P471" s="19"/>
      <c r="Q471" s="19"/>
      <c r="R471" s="19"/>
      <c r="S471" s="19"/>
      <c r="T471" s="19"/>
      <c r="U471" s="19"/>
      <c r="V471" s="19"/>
      <c r="W471" s="20"/>
      <c r="X471" s="43"/>
    </row>
    <row r="472" spans="1:24" ht="15.75" hidden="1" customHeight="1" x14ac:dyDescent="0.25">
      <c r="A472" s="16"/>
      <c r="B472" s="16" t="str">
        <f t="shared" si="2"/>
        <v/>
      </c>
      <c r="C472" s="16"/>
      <c r="D472" s="40"/>
      <c r="E472" s="16"/>
      <c r="F472" s="41"/>
      <c r="G472" s="16"/>
      <c r="H472" s="16"/>
      <c r="I472" s="16"/>
      <c r="J472" s="22"/>
      <c r="K472" s="16"/>
      <c r="L472" s="50"/>
      <c r="M472" s="16"/>
      <c r="N472" s="19"/>
      <c r="O472" s="19"/>
      <c r="P472" s="19"/>
      <c r="Q472" s="19"/>
      <c r="R472" s="19"/>
      <c r="S472" s="19"/>
      <c r="T472" s="19"/>
      <c r="U472" s="19"/>
      <c r="V472" s="19"/>
      <c r="W472" s="20"/>
      <c r="X472" s="43"/>
    </row>
    <row r="473" spans="1:24" ht="15.75" hidden="1" customHeight="1" x14ac:dyDescent="0.25">
      <c r="A473" s="16"/>
      <c r="B473" s="16" t="str">
        <f t="shared" si="2"/>
        <v/>
      </c>
      <c r="C473" s="16"/>
      <c r="D473" s="40"/>
      <c r="E473" s="16"/>
      <c r="F473" s="41"/>
      <c r="G473" s="16"/>
      <c r="H473" s="16"/>
      <c r="I473" s="16"/>
      <c r="J473" s="22"/>
      <c r="K473" s="16"/>
      <c r="L473" s="50"/>
      <c r="M473" s="16"/>
      <c r="N473" s="19"/>
      <c r="O473" s="19"/>
      <c r="P473" s="19"/>
      <c r="Q473" s="19"/>
      <c r="R473" s="19"/>
      <c r="S473" s="19"/>
      <c r="T473" s="19"/>
      <c r="U473" s="19"/>
      <c r="V473" s="19"/>
      <c r="W473" s="20"/>
      <c r="X473" s="43"/>
    </row>
    <row r="474" spans="1:24" ht="15.75" hidden="1" customHeight="1" x14ac:dyDescent="0.25">
      <c r="A474" s="16"/>
      <c r="B474" s="16" t="str">
        <f t="shared" si="2"/>
        <v/>
      </c>
      <c r="C474" s="16"/>
      <c r="D474" s="40"/>
      <c r="E474" s="16"/>
      <c r="F474" s="41"/>
      <c r="G474" s="16"/>
      <c r="H474" s="16"/>
      <c r="I474" s="16"/>
      <c r="J474" s="22"/>
      <c r="K474" s="16"/>
      <c r="L474" s="50"/>
      <c r="M474" s="16"/>
      <c r="N474" s="19"/>
      <c r="O474" s="19"/>
      <c r="P474" s="19"/>
      <c r="Q474" s="19"/>
      <c r="R474" s="19"/>
      <c r="S474" s="19"/>
      <c r="T474" s="19"/>
      <c r="U474" s="19"/>
      <c r="V474" s="19"/>
      <c r="W474" s="20"/>
      <c r="X474" s="43"/>
    </row>
    <row r="475" spans="1:24" ht="15.75" hidden="1" customHeight="1" x14ac:dyDescent="0.25">
      <c r="A475" s="16"/>
      <c r="B475" s="16" t="str">
        <f t="shared" si="2"/>
        <v/>
      </c>
      <c r="C475" s="16"/>
      <c r="D475" s="40"/>
      <c r="E475" s="16"/>
      <c r="F475" s="41"/>
      <c r="G475" s="16"/>
      <c r="H475" s="16"/>
      <c r="I475" s="16"/>
      <c r="J475" s="22"/>
      <c r="K475" s="16"/>
      <c r="L475" s="50"/>
      <c r="M475" s="16"/>
      <c r="N475" s="19"/>
      <c r="O475" s="19"/>
      <c r="P475" s="19"/>
      <c r="Q475" s="19"/>
      <c r="R475" s="19"/>
      <c r="S475" s="19"/>
      <c r="T475" s="19"/>
      <c r="U475" s="19"/>
      <c r="V475" s="19"/>
      <c r="W475" s="20"/>
      <c r="X475" s="43"/>
    </row>
    <row r="476" spans="1:24" ht="15.75" hidden="1" customHeight="1" x14ac:dyDescent="0.25">
      <c r="A476" s="16"/>
      <c r="B476" s="16" t="str">
        <f t="shared" si="2"/>
        <v/>
      </c>
      <c r="C476" s="16"/>
      <c r="D476" s="40"/>
      <c r="E476" s="16"/>
      <c r="F476" s="41"/>
      <c r="G476" s="16"/>
      <c r="H476" s="16"/>
      <c r="I476" s="16"/>
      <c r="J476" s="22"/>
      <c r="K476" s="16"/>
      <c r="L476" s="50"/>
      <c r="M476" s="16"/>
      <c r="N476" s="19"/>
      <c r="O476" s="19"/>
      <c r="P476" s="19"/>
      <c r="Q476" s="19"/>
      <c r="R476" s="19"/>
      <c r="S476" s="19"/>
      <c r="T476" s="19"/>
      <c r="U476" s="19"/>
      <c r="V476" s="19"/>
      <c r="W476" s="20"/>
      <c r="X476" s="43"/>
    </row>
    <row r="477" spans="1:24" ht="15.75" hidden="1" customHeight="1" x14ac:dyDescent="0.25">
      <c r="A477" s="16"/>
      <c r="B477" s="16" t="str">
        <f t="shared" si="2"/>
        <v/>
      </c>
      <c r="C477" s="16"/>
      <c r="D477" s="40"/>
      <c r="E477" s="16"/>
      <c r="F477" s="41"/>
      <c r="G477" s="16"/>
      <c r="H477" s="16"/>
      <c r="I477" s="16"/>
      <c r="J477" s="22"/>
      <c r="K477" s="16"/>
      <c r="L477" s="50"/>
      <c r="M477" s="16"/>
      <c r="N477" s="19"/>
      <c r="O477" s="19"/>
      <c r="P477" s="19"/>
      <c r="Q477" s="19"/>
      <c r="R477" s="19"/>
      <c r="S477" s="19"/>
      <c r="T477" s="19"/>
      <c r="U477" s="19"/>
      <c r="V477" s="19"/>
      <c r="W477" s="20"/>
      <c r="X477" s="43"/>
    </row>
    <row r="478" spans="1:24" ht="15.75" hidden="1" customHeight="1" x14ac:dyDescent="0.25">
      <c r="A478" s="16"/>
      <c r="B478" s="16" t="str">
        <f t="shared" si="2"/>
        <v/>
      </c>
      <c r="C478" s="16"/>
      <c r="D478" s="40"/>
      <c r="E478" s="16"/>
      <c r="F478" s="41"/>
      <c r="G478" s="16"/>
      <c r="H478" s="16"/>
      <c r="I478" s="16"/>
      <c r="J478" s="22"/>
      <c r="K478" s="16"/>
      <c r="L478" s="50"/>
      <c r="M478" s="16"/>
      <c r="N478" s="19"/>
      <c r="O478" s="19"/>
      <c r="P478" s="19"/>
      <c r="Q478" s="19"/>
      <c r="R478" s="19"/>
      <c r="S478" s="19"/>
      <c r="T478" s="19"/>
      <c r="U478" s="19"/>
      <c r="V478" s="19"/>
      <c r="W478" s="20"/>
      <c r="X478" s="43"/>
    </row>
    <row r="479" spans="1:24" ht="15.75" hidden="1" customHeight="1" x14ac:dyDescent="0.25">
      <c r="A479" s="16"/>
      <c r="B479" s="16" t="str">
        <f t="shared" si="2"/>
        <v/>
      </c>
      <c r="C479" s="16"/>
      <c r="D479" s="40"/>
      <c r="E479" s="16"/>
      <c r="F479" s="41"/>
      <c r="G479" s="16"/>
      <c r="H479" s="16"/>
      <c r="I479" s="16"/>
      <c r="J479" s="22"/>
      <c r="K479" s="16"/>
      <c r="L479" s="50"/>
      <c r="M479" s="16"/>
      <c r="N479" s="19"/>
      <c r="O479" s="19"/>
      <c r="P479" s="19"/>
      <c r="Q479" s="19"/>
      <c r="R479" s="19"/>
      <c r="S479" s="19"/>
      <c r="T479" s="19"/>
      <c r="U479" s="19"/>
      <c r="V479" s="19"/>
      <c r="W479" s="20"/>
      <c r="X479" s="43"/>
    </row>
    <row r="480" spans="1:24" ht="15.75" hidden="1" customHeight="1" x14ac:dyDescent="0.25">
      <c r="A480" s="16"/>
      <c r="B480" s="16" t="str">
        <f t="shared" si="2"/>
        <v/>
      </c>
      <c r="C480" s="16"/>
      <c r="D480" s="40"/>
      <c r="E480" s="16"/>
      <c r="F480" s="41"/>
      <c r="G480" s="16"/>
      <c r="H480" s="16"/>
      <c r="I480" s="16"/>
      <c r="J480" s="22"/>
      <c r="K480" s="16"/>
      <c r="L480" s="50"/>
      <c r="M480" s="16"/>
      <c r="N480" s="19"/>
      <c r="O480" s="19"/>
      <c r="P480" s="19"/>
      <c r="Q480" s="19"/>
      <c r="R480" s="19"/>
      <c r="S480" s="19"/>
      <c r="T480" s="19"/>
      <c r="U480" s="19"/>
      <c r="V480" s="19"/>
      <c r="W480" s="20"/>
      <c r="X480" s="43"/>
    </row>
    <row r="481" spans="1:24" ht="15.75" hidden="1" customHeight="1" x14ac:dyDescent="0.25">
      <c r="A481" s="16"/>
      <c r="B481" s="16" t="str">
        <f t="shared" si="2"/>
        <v/>
      </c>
      <c r="C481" s="16"/>
      <c r="D481" s="40"/>
      <c r="E481" s="16"/>
      <c r="F481" s="41"/>
      <c r="G481" s="16"/>
      <c r="H481" s="16"/>
      <c r="I481" s="16"/>
      <c r="J481" s="22"/>
      <c r="K481" s="16"/>
      <c r="L481" s="50"/>
      <c r="M481" s="16"/>
      <c r="N481" s="19"/>
      <c r="O481" s="19"/>
      <c r="P481" s="19"/>
      <c r="Q481" s="19"/>
      <c r="R481" s="19"/>
      <c r="S481" s="19"/>
      <c r="T481" s="19"/>
      <c r="U481" s="19"/>
      <c r="V481" s="19"/>
      <c r="W481" s="20"/>
      <c r="X481" s="43"/>
    </row>
    <row r="482" spans="1:24" ht="15.75" hidden="1" customHeight="1" x14ac:dyDescent="0.25">
      <c r="A482" s="16"/>
      <c r="B482" s="16" t="str">
        <f t="shared" si="2"/>
        <v/>
      </c>
      <c r="C482" s="16"/>
      <c r="D482" s="40"/>
      <c r="E482" s="16"/>
      <c r="F482" s="41"/>
      <c r="G482" s="16"/>
      <c r="H482" s="16"/>
      <c r="I482" s="16"/>
      <c r="J482" s="22"/>
      <c r="K482" s="16"/>
      <c r="L482" s="50"/>
      <c r="M482" s="16"/>
      <c r="N482" s="19"/>
      <c r="O482" s="19"/>
      <c r="P482" s="19"/>
      <c r="Q482" s="19"/>
      <c r="R482" s="19"/>
      <c r="S482" s="19"/>
      <c r="T482" s="19"/>
      <c r="U482" s="19"/>
      <c r="V482" s="19"/>
      <c r="W482" s="20"/>
      <c r="X482" s="43"/>
    </row>
    <row r="483" spans="1:24" ht="15.75" hidden="1" customHeight="1" x14ac:dyDescent="0.25">
      <c r="A483" s="16"/>
      <c r="B483" s="16" t="str">
        <f t="shared" si="2"/>
        <v/>
      </c>
      <c r="C483" s="16"/>
      <c r="D483" s="40"/>
      <c r="E483" s="16"/>
      <c r="F483" s="41"/>
      <c r="G483" s="16"/>
      <c r="H483" s="16"/>
      <c r="I483" s="16"/>
      <c r="J483" s="22"/>
      <c r="K483" s="16"/>
      <c r="L483" s="50"/>
      <c r="M483" s="16"/>
      <c r="N483" s="19"/>
      <c r="O483" s="19"/>
      <c r="P483" s="19"/>
      <c r="Q483" s="19"/>
      <c r="R483" s="19"/>
      <c r="S483" s="19"/>
      <c r="T483" s="19"/>
      <c r="U483" s="19"/>
      <c r="V483" s="19"/>
      <c r="W483" s="20"/>
      <c r="X483" s="43"/>
    </row>
    <row r="484" spans="1:24" ht="15.75" hidden="1" customHeight="1" x14ac:dyDescent="0.25">
      <c r="A484" s="16"/>
      <c r="B484" s="16" t="str">
        <f t="shared" si="2"/>
        <v/>
      </c>
      <c r="C484" s="16"/>
      <c r="D484" s="40"/>
      <c r="E484" s="16"/>
      <c r="F484" s="41"/>
      <c r="G484" s="16"/>
      <c r="H484" s="16"/>
      <c r="I484" s="16"/>
      <c r="J484" s="22"/>
      <c r="K484" s="16"/>
      <c r="L484" s="50"/>
      <c r="M484" s="16"/>
      <c r="N484" s="19"/>
      <c r="O484" s="19"/>
      <c r="P484" s="19"/>
      <c r="Q484" s="19"/>
      <c r="R484" s="19"/>
      <c r="S484" s="19"/>
      <c r="T484" s="19"/>
      <c r="U484" s="19"/>
      <c r="V484" s="19"/>
      <c r="W484" s="20"/>
      <c r="X484" s="43"/>
    </row>
    <row r="485" spans="1:24" ht="15.75" hidden="1" customHeight="1" x14ac:dyDescent="0.25">
      <c r="A485" s="16"/>
      <c r="B485" s="16" t="str">
        <f t="shared" si="2"/>
        <v/>
      </c>
      <c r="C485" s="16"/>
      <c r="D485" s="40"/>
      <c r="E485" s="16"/>
      <c r="F485" s="41"/>
      <c r="G485" s="16"/>
      <c r="H485" s="16"/>
      <c r="I485" s="16"/>
      <c r="J485" s="22"/>
      <c r="K485" s="16"/>
      <c r="L485" s="50"/>
      <c r="M485" s="16"/>
      <c r="N485" s="19"/>
      <c r="O485" s="19"/>
      <c r="P485" s="19"/>
      <c r="Q485" s="19"/>
      <c r="R485" s="19"/>
      <c r="S485" s="19"/>
      <c r="T485" s="19"/>
      <c r="U485" s="19"/>
      <c r="V485" s="19"/>
      <c r="W485" s="20"/>
      <c r="X485" s="43"/>
    </row>
    <row r="486" spans="1:24" ht="15.75" hidden="1" customHeight="1" x14ac:dyDescent="0.25">
      <c r="A486" s="16"/>
      <c r="B486" s="16" t="str">
        <f t="shared" si="2"/>
        <v/>
      </c>
      <c r="C486" s="16"/>
      <c r="D486" s="40"/>
      <c r="E486" s="16"/>
      <c r="F486" s="41"/>
      <c r="G486" s="16"/>
      <c r="H486" s="16"/>
      <c r="I486" s="16"/>
      <c r="J486" s="22"/>
      <c r="K486" s="16"/>
      <c r="L486" s="50"/>
      <c r="M486" s="16"/>
      <c r="N486" s="19"/>
      <c r="O486" s="19"/>
      <c r="P486" s="19"/>
      <c r="Q486" s="19"/>
      <c r="R486" s="19"/>
      <c r="S486" s="19"/>
      <c r="T486" s="19"/>
      <c r="U486" s="19"/>
      <c r="V486" s="19"/>
      <c r="W486" s="20"/>
      <c r="X486" s="43"/>
    </row>
    <row r="487" spans="1:24" ht="15.75" hidden="1" customHeight="1" x14ac:dyDescent="0.25">
      <c r="A487" s="16"/>
      <c r="B487" s="16" t="str">
        <f t="shared" si="2"/>
        <v/>
      </c>
      <c r="C487" s="16"/>
      <c r="D487" s="40"/>
      <c r="E487" s="16"/>
      <c r="F487" s="41"/>
      <c r="G487" s="16"/>
      <c r="H487" s="16"/>
      <c r="I487" s="16"/>
      <c r="J487" s="22"/>
      <c r="K487" s="16"/>
      <c r="L487" s="50"/>
      <c r="M487" s="16"/>
      <c r="N487" s="19"/>
      <c r="O487" s="19"/>
      <c r="P487" s="19"/>
      <c r="Q487" s="19"/>
      <c r="R487" s="19"/>
      <c r="S487" s="19"/>
      <c r="T487" s="19"/>
      <c r="U487" s="19"/>
      <c r="V487" s="19"/>
      <c r="W487" s="20"/>
      <c r="X487" s="43"/>
    </row>
    <row r="488" spans="1:24" ht="15.75" hidden="1" customHeight="1" x14ac:dyDescent="0.25">
      <c r="A488" s="16"/>
      <c r="B488" s="16" t="str">
        <f t="shared" si="2"/>
        <v/>
      </c>
      <c r="C488" s="16"/>
      <c r="D488" s="40"/>
      <c r="E488" s="16"/>
      <c r="F488" s="41"/>
      <c r="G488" s="16"/>
      <c r="H488" s="16"/>
      <c r="I488" s="16"/>
      <c r="J488" s="22"/>
      <c r="K488" s="16"/>
      <c r="L488" s="50"/>
      <c r="M488" s="16"/>
      <c r="N488" s="19"/>
      <c r="O488" s="19"/>
      <c r="P488" s="19"/>
      <c r="Q488" s="19"/>
      <c r="R488" s="19"/>
      <c r="S488" s="19"/>
      <c r="T488" s="19"/>
      <c r="U488" s="19"/>
      <c r="V488" s="19"/>
      <c r="W488" s="20"/>
      <c r="X488" s="43"/>
    </row>
    <row r="489" spans="1:24" ht="15.75" hidden="1" customHeight="1" x14ac:dyDescent="0.25">
      <c r="A489" s="16"/>
      <c r="B489" s="16" t="str">
        <f t="shared" si="2"/>
        <v/>
      </c>
      <c r="C489" s="16"/>
      <c r="D489" s="40"/>
      <c r="E489" s="16"/>
      <c r="F489" s="41"/>
      <c r="G489" s="16"/>
      <c r="H489" s="16"/>
      <c r="I489" s="16"/>
      <c r="J489" s="22"/>
      <c r="K489" s="16"/>
      <c r="L489" s="50"/>
      <c r="M489" s="16"/>
      <c r="N489" s="19"/>
      <c r="O489" s="19"/>
      <c r="P489" s="19"/>
      <c r="Q489" s="19"/>
      <c r="R489" s="19"/>
      <c r="S489" s="19"/>
      <c r="T489" s="19"/>
      <c r="U489" s="19"/>
      <c r="V489" s="19"/>
      <c r="W489" s="20"/>
      <c r="X489" s="43"/>
    </row>
    <row r="490" spans="1:24" ht="15.75" hidden="1" customHeight="1" x14ac:dyDescent="0.25">
      <c r="A490" s="16"/>
      <c r="B490" s="16" t="str">
        <f t="shared" si="2"/>
        <v/>
      </c>
      <c r="C490" s="16"/>
      <c r="D490" s="40"/>
      <c r="E490" s="16"/>
      <c r="F490" s="41"/>
      <c r="G490" s="16"/>
      <c r="H490" s="16"/>
      <c r="I490" s="16"/>
      <c r="J490" s="22"/>
      <c r="K490" s="16"/>
      <c r="L490" s="50"/>
      <c r="M490" s="16"/>
      <c r="N490" s="19"/>
      <c r="O490" s="19"/>
      <c r="P490" s="19"/>
      <c r="Q490" s="19"/>
      <c r="R490" s="19"/>
      <c r="S490" s="19"/>
      <c r="T490" s="19"/>
      <c r="U490" s="19"/>
      <c r="V490" s="19"/>
      <c r="W490" s="20"/>
      <c r="X490" s="43"/>
    </row>
    <row r="491" spans="1:24" ht="15.75" hidden="1" customHeight="1" x14ac:dyDescent="0.25">
      <c r="A491" s="16"/>
      <c r="B491" s="16" t="str">
        <f t="shared" si="2"/>
        <v/>
      </c>
      <c r="C491" s="16"/>
      <c r="D491" s="40"/>
      <c r="E491" s="16"/>
      <c r="F491" s="41"/>
      <c r="G491" s="16"/>
      <c r="H491" s="16"/>
      <c r="I491" s="16"/>
      <c r="J491" s="22"/>
      <c r="K491" s="16"/>
      <c r="L491" s="50"/>
      <c r="M491" s="16"/>
      <c r="N491" s="19"/>
      <c r="O491" s="19"/>
      <c r="P491" s="19"/>
      <c r="Q491" s="19"/>
      <c r="R491" s="19"/>
      <c r="S491" s="19"/>
      <c r="T491" s="19"/>
      <c r="U491" s="19"/>
      <c r="V491" s="19"/>
      <c r="W491" s="20"/>
      <c r="X491" s="43"/>
    </row>
    <row r="492" spans="1:24" ht="15.75" hidden="1" customHeight="1" x14ac:dyDescent="0.25">
      <c r="A492" s="16"/>
      <c r="B492" s="16" t="str">
        <f t="shared" si="2"/>
        <v/>
      </c>
      <c r="C492" s="16"/>
      <c r="D492" s="40"/>
      <c r="E492" s="16"/>
      <c r="F492" s="41"/>
      <c r="G492" s="16"/>
      <c r="H492" s="16"/>
      <c r="I492" s="16"/>
      <c r="J492" s="22"/>
      <c r="K492" s="16"/>
      <c r="L492" s="50"/>
      <c r="M492" s="16"/>
      <c r="N492" s="19"/>
      <c r="O492" s="19"/>
      <c r="P492" s="19"/>
      <c r="Q492" s="19"/>
      <c r="R492" s="19"/>
      <c r="S492" s="19"/>
      <c r="T492" s="19"/>
      <c r="U492" s="19"/>
      <c r="V492" s="19"/>
      <c r="W492" s="20"/>
      <c r="X492" s="43"/>
    </row>
    <row r="493" spans="1:24" ht="15.75" hidden="1" customHeight="1" x14ac:dyDescent="0.25">
      <c r="A493" s="16"/>
      <c r="B493" s="16" t="str">
        <f t="shared" si="2"/>
        <v/>
      </c>
      <c r="C493" s="16"/>
      <c r="D493" s="40"/>
      <c r="E493" s="16"/>
      <c r="F493" s="41"/>
      <c r="G493" s="16"/>
      <c r="H493" s="16"/>
      <c r="I493" s="16"/>
      <c r="J493" s="22"/>
      <c r="K493" s="16"/>
      <c r="L493" s="50"/>
      <c r="M493" s="16"/>
      <c r="N493" s="19"/>
      <c r="O493" s="19"/>
      <c r="P493" s="19"/>
      <c r="Q493" s="19"/>
      <c r="R493" s="19"/>
      <c r="S493" s="19"/>
      <c r="T493" s="19"/>
      <c r="U493" s="19"/>
      <c r="V493" s="19"/>
      <c r="W493" s="20"/>
      <c r="X493" s="43"/>
    </row>
    <row r="494" spans="1:24" ht="15.75" hidden="1" customHeight="1" x14ac:dyDescent="0.25">
      <c r="A494" s="16"/>
      <c r="B494" s="16" t="str">
        <f t="shared" si="2"/>
        <v/>
      </c>
      <c r="C494" s="16"/>
      <c r="D494" s="40"/>
      <c r="E494" s="16"/>
      <c r="F494" s="41"/>
      <c r="G494" s="16"/>
      <c r="H494" s="16"/>
      <c r="I494" s="16"/>
      <c r="J494" s="22"/>
      <c r="K494" s="16"/>
      <c r="L494" s="50"/>
      <c r="M494" s="16"/>
      <c r="N494" s="19"/>
      <c r="O494" s="19"/>
      <c r="P494" s="19"/>
      <c r="Q494" s="19"/>
      <c r="R494" s="19"/>
      <c r="S494" s="19"/>
      <c r="T494" s="19"/>
      <c r="U494" s="19"/>
      <c r="V494" s="19"/>
      <c r="W494" s="20"/>
      <c r="X494" s="43"/>
    </row>
    <row r="495" spans="1:24" ht="15.75" hidden="1" customHeight="1" x14ac:dyDescent="0.25">
      <c r="A495" s="16"/>
      <c r="B495" s="16" t="str">
        <f t="shared" si="2"/>
        <v/>
      </c>
      <c r="C495" s="16"/>
      <c r="D495" s="40"/>
      <c r="E495" s="16"/>
      <c r="F495" s="41"/>
      <c r="G495" s="16"/>
      <c r="H495" s="16"/>
      <c r="I495" s="16"/>
      <c r="J495" s="22"/>
      <c r="K495" s="16"/>
      <c r="L495" s="50"/>
      <c r="M495" s="16"/>
      <c r="N495" s="19"/>
      <c r="O495" s="19"/>
      <c r="P495" s="19"/>
      <c r="Q495" s="19"/>
      <c r="R495" s="19"/>
      <c r="S495" s="19"/>
      <c r="T495" s="19"/>
      <c r="U495" s="19"/>
      <c r="V495" s="19"/>
      <c r="W495" s="20"/>
      <c r="X495" s="43"/>
    </row>
    <row r="496" spans="1:24" ht="15.75" hidden="1" customHeight="1" x14ac:dyDescent="0.25">
      <c r="A496" s="16"/>
      <c r="B496" s="16" t="str">
        <f t="shared" si="2"/>
        <v/>
      </c>
      <c r="C496" s="16"/>
      <c r="D496" s="40"/>
      <c r="E496" s="16"/>
      <c r="F496" s="41"/>
      <c r="G496" s="16"/>
      <c r="H496" s="16"/>
      <c r="I496" s="16"/>
      <c r="J496" s="22"/>
      <c r="K496" s="16"/>
      <c r="L496" s="50"/>
      <c r="M496" s="16"/>
      <c r="N496" s="19"/>
      <c r="O496" s="19"/>
      <c r="P496" s="19"/>
      <c r="Q496" s="19"/>
      <c r="R496" s="19"/>
      <c r="S496" s="19"/>
      <c r="T496" s="19"/>
      <c r="U496" s="19"/>
      <c r="V496" s="19"/>
      <c r="W496" s="20"/>
      <c r="X496" s="43"/>
    </row>
    <row r="497" spans="1:24" ht="15.75" hidden="1" customHeight="1" x14ac:dyDescent="0.25">
      <c r="A497" s="16"/>
      <c r="B497" s="16" t="str">
        <f t="shared" si="2"/>
        <v/>
      </c>
      <c r="C497" s="16"/>
      <c r="D497" s="40"/>
      <c r="E497" s="16"/>
      <c r="F497" s="41"/>
      <c r="G497" s="16"/>
      <c r="H497" s="16"/>
      <c r="I497" s="16"/>
      <c r="J497" s="22"/>
      <c r="K497" s="16"/>
      <c r="L497" s="50"/>
      <c r="M497" s="16"/>
      <c r="N497" s="19"/>
      <c r="O497" s="19"/>
      <c r="P497" s="19"/>
      <c r="Q497" s="19"/>
      <c r="R497" s="19"/>
      <c r="S497" s="19"/>
      <c r="T497" s="19"/>
      <c r="U497" s="19"/>
      <c r="V497" s="19"/>
      <c r="W497" s="20"/>
      <c r="X497" s="43"/>
    </row>
    <row r="498" spans="1:24" ht="15.75" hidden="1" customHeight="1" x14ac:dyDescent="0.25">
      <c r="A498" s="16"/>
      <c r="B498" s="16" t="str">
        <f t="shared" si="2"/>
        <v/>
      </c>
      <c r="C498" s="16"/>
      <c r="D498" s="40"/>
      <c r="E498" s="16"/>
      <c r="F498" s="41"/>
      <c r="G498" s="16"/>
      <c r="H498" s="16"/>
      <c r="I498" s="16"/>
      <c r="J498" s="22"/>
      <c r="K498" s="16"/>
      <c r="L498" s="50"/>
      <c r="M498" s="16"/>
      <c r="N498" s="19"/>
      <c r="O498" s="19"/>
      <c r="P498" s="19"/>
      <c r="Q498" s="19"/>
      <c r="R498" s="19"/>
      <c r="S498" s="19"/>
      <c r="T498" s="19"/>
      <c r="U498" s="19"/>
      <c r="V498" s="19"/>
      <c r="W498" s="20"/>
      <c r="X498" s="43"/>
    </row>
    <row r="499" spans="1:24" ht="15.75" hidden="1" customHeight="1" x14ac:dyDescent="0.25">
      <c r="A499" s="16"/>
      <c r="B499" s="16" t="str">
        <f t="shared" si="2"/>
        <v/>
      </c>
      <c r="C499" s="16"/>
      <c r="D499" s="40"/>
      <c r="E499" s="16"/>
      <c r="F499" s="41"/>
      <c r="G499" s="16"/>
      <c r="H499" s="16"/>
      <c r="I499" s="16"/>
      <c r="J499" s="22"/>
      <c r="K499" s="16"/>
      <c r="L499" s="50"/>
      <c r="M499" s="16"/>
      <c r="N499" s="19"/>
      <c r="O499" s="19"/>
      <c r="P499" s="19"/>
      <c r="Q499" s="19"/>
      <c r="R499" s="19"/>
      <c r="S499" s="19"/>
      <c r="T499" s="19"/>
      <c r="U499" s="19"/>
      <c r="V499" s="19"/>
      <c r="W499" s="20"/>
      <c r="X499" s="43"/>
    </row>
    <row r="500" spans="1:24" ht="15.75" hidden="1" customHeight="1" x14ac:dyDescent="0.25">
      <c r="A500" s="16"/>
      <c r="B500" s="16" t="str">
        <f t="shared" si="2"/>
        <v/>
      </c>
      <c r="C500" s="16"/>
      <c r="D500" s="40"/>
      <c r="E500" s="16"/>
      <c r="F500" s="41"/>
      <c r="G500" s="16"/>
      <c r="H500" s="16"/>
      <c r="I500" s="16"/>
      <c r="J500" s="22"/>
      <c r="K500" s="16"/>
      <c r="L500" s="50"/>
      <c r="M500" s="16"/>
      <c r="N500" s="19"/>
      <c r="O500" s="19"/>
      <c r="P500" s="19"/>
      <c r="Q500" s="19"/>
      <c r="R500" s="19"/>
      <c r="S500" s="19"/>
      <c r="T500" s="19"/>
      <c r="U500" s="19"/>
      <c r="V500" s="19"/>
      <c r="W500" s="20"/>
      <c r="X500" s="43"/>
    </row>
    <row r="501" spans="1:24" ht="15.75" hidden="1" customHeight="1" x14ac:dyDescent="0.25">
      <c r="A501" s="16"/>
      <c r="B501" s="16" t="str">
        <f t="shared" si="2"/>
        <v/>
      </c>
      <c r="C501" s="16"/>
      <c r="D501" s="40"/>
      <c r="E501" s="16"/>
      <c r="F501" s="41"/>
      <c r="G501" s="16"/>
      <c r="H501" s="16"/>
      <c r="I501" s="16"/>
      <c r="J501" s="22"/>
      <c r="K501" s="16"/>
      <c r="L501" s="50"/>
      <c r="M501" s="16"/>
      <c r="N501" s="19"/>
      <c r="O501" s="19"/>
      <c r="P501" s="19"/>
      <c r="Q501" s="19"/>
      <c r="R501" s="19"/>
      <c r="S501" s="19"/>
      <c r="T501" s="19"/>
      <c r="U501" s="19"/>
      <c r="V501" s="19"/>
      <c r="W501" s="20"/>
      <c r="X501" s="43"/>
    </row>
    <row r="502" spans="1:24" ht="15.75" hidden="1" customHeight="1" x14ac:dyDescent="0.25">
      <c r="A502" s="16"/>
      <c r="B502" s="16" t="str">
        <f t="shared" si="2"/>
        <v/>
      </c>
      <c r="C502" s="16"/>
      <c r="D502" s="40"/>
      <c r="E502" s="16"/>
      <c r="F502" s="41"/>
      <c r="G502" s="16"/>
      <c r="H502" s="16"/>
      <c r="I502" s="16"/>
      <c r="J502" s="22"/>
      <c r="K502" s="16"/>
      <c r="L502" s="50"/>
      <c r="M502" s="16"/>
      <c r="N502" s="19"/>
      <c r="O502" s="19"/>
      <c r="P502" s="19"/>
      <c r="Q502" s="19"/>
      <c r="R502" s="19"/>
      <c r="S502" s="19"/>
      <c r="T502" s="19"/>
      <c r="U502" s="19"/>
      <c r="V502" s="19"/>
      <c r="W502" s="20"/>
      <c r="X502" s="43"/>
    </row>
    <row r="503" spans="1:24" ht="15.75" hidden="1" customHeight="1" x14ac:dyDescent="0.25">
      <c r="A503" s="16"/>
      <c r="B503" s="16" t="str">
        <f t="shared" si="2"/>
        <v/>
      </c>
      <c r="C503" s="16"/>
      <c r="D503" s="40"/>
      <c r="E503" s="16"/>
      <c r="F503" s="41"/>
      <c r="G503" s="16"/>
      <c r="H503" s="16"/>
      <c r="I503" s="16"/>
      <c r="J503" s="22"/>
      <c r="K503" s="16"/>
      <c r="L503" s="50"/>
      <c r="M503" s="16"/>
      <c r="N503" s="19"/>
      <c r="O503" s="19"/>
      <c r="P503" s="19"/>
      <c r="Q503" s="19"/>
      <c r="R503" s="19"/>
      <c r="S503" s="19"/>
      <c r="T503" s="19"/>
      <c r="U503" s="19"/>
      <c r="V503" s="19"/>
      <c r="W503" s="20"/>
      <c r="X503" s="43"/>
    </row>
    <row r="504" spans="1:24" ht="15.75" hidden="1" customHeight="1" x14ac:dyDescent="0.25">
      <c r="A504" s="16"/>
      <c r="B504" s="16" t="str">
        <f t="shared" si="2"/>
        <v/>
      </c>
      <c r="C504" s="16"/>
      <c r="D504" s="40"/>
      <c r="E504" s="16"/>
      <c r="F504" s="41"/>
      <c r="G504" s="16"/>
      <c r="H504" s="16"/>
      <c r="I504" s="16"/>
      <c r="J504" s="22"/>
      <c r="K504" s="16"/>
      <c r="L504" s="50"/>
      <c r="M504" s="16"/>
      <c r="N504" s="19"/>
      <c r="O504" s="19"/>
      <c r="P504" s="19"/>
      <c r="Q504" s="19"/>
      <c r="R504" s="19"/>
      <c r="S504" s="19"/>
      <c r="T504" s="19"/>
      <c r="U504" s="19"/>
      <c r="V504" s="19"/>
      <c r="W504" s="20"/>
      <c r="X504" s="43"/>
    </row>
    <row r="505" spans="1:24" ht="15.75" hidden="1" customHeight="1" x14ac:dyDescent="0.25">
      <c r="A505" s="16"/>
      <c r="B505" s="16" t="str">
        <f t="shared" si="2"/>
        <v/>
      </c>
      <c r="C505" s="16"/>
      <c r="D505" s="40"/>
      <c r="E505" s="16"/>
      <c r="F505" s="41"/>
      <c r="G505" s="16"/>
      <c r="H505" s="16"/>
      <c r="I505" s="16"/>
      <c r="J505" s="22"/>
      <c r="K505" s="16"/>
      <c r="L505" s="50"/>
      <c r="M505" s="16"/>
      <c r="N505" s="19"/>
      <c r="O505" s="19"/>
      <c r="P505" s="19"/>
      <c r="Q505" s="19"/>
      <c r="R505" s="19"/>
      <c r="S505" s="19"/>
      <c r="T505" s="19"/>
      <c r="U505" s="19"/>
      <c r="V505" s="19"/>
      <c r="W505" s="20"/>
      <c r="X505" s="43"/>
    </row>
    <row r="506" spans="1:24" ht="15.75" hidden="1" customHeight="1" x14ac:dyDescent="0.25">
      <c r="A506" s="16"/>
      <c r="B506" s="16" t="str">
        <f t="shared" si="2"/>
        <v/>
      </c>
      <c r="C506" s="16"/>
      <c r="D506" s="40"/>
      <c r="E506" s="16"/>
      <c r="F506" s="41"/>
      <c r="G506" s="16"/>
      <c r="H506" s="16"/>
      <c r="I506" s="16"/>
      <c r="J506" s="22"/>
      <c r="K506" s="16"/>
      <c r="L506" s="50"/>
      <c r="M506" s="16"/>
      <c r="N506" s="19"/>
      <c r="O506" s="19"/>
      <c r="P506" s="19"/>
      <c r="Q506" s="19"/>
      <c r="R506" s="19"/>
      <c r="S506" s="19"/>
      <c r="T506" s="19"/>
      <c r="U506" s="19"/>
      <c r="V506" s="19"/>
      <c r="W506" s="20"/>
      <c r="X506" s="43"/>
    </row>
    <row r="507" spans="1:24" ht="15.75" hidden="1" customHeight="1" x14ac:dyDescent="0.25">
      <c r="A507" s="16"/>
      <c r="B507" s="16" t="str">
        <f t="shared" si="2"/>
        <v/>
      </c>
      <c r="C507" s="16"/>
      <c r="D507" s="40"/>
      <c r="E507" s="16"/>
      <c r="F507" s="41"/>
      <c r="G507" s="16"/>
      <c r="H507" s="16"/>
      <c r="I507" s="16"/>
      <c r="J507" s="22"/>
      <c r="K507" s="16"/>
      <c r="L507" s="50"/>
      <c r="M507" s="16"/>
      <c r="N507" s="19"/>
      <c r="O507" s="19"/>
      <c r="P507" s="19"/>
      <c r="Q507" s="19"/>
      <c r="R507" s="19"/>
      <c r="S507" s="19"/>
      <c r="T507" s="19"/>
      <c r="U507" s="19"/>
      <c r="V507" s="19"/>
      <c r="W507" s="20"/>
      <c r="X507" s="43"/>
    </row>
    <row r="508" spans="1:24" ht="15.75" hidden="1" customHeight="1" x14ac:dyDescent="0.25">
      <c r="A508" s="16"/>
      <c r="B508" s="16" t="str">
        <f t="shared" si="2"/>
        <v/>
      </c>
      <c r="C508" s="16"/>
      <c r="D508" s="40"/>
      <c r="E508" s="16"/>
      <c r="F508" s="41"/>
      <c r="G508" s="16"/>
      <c r="H508" s="16"/>
      <c r="I508" s="16"/>
      <c r="J508" s="22"/>
      <c r="K508" s="16"/>
      <c r="L508" s="50"/>
      <c r="M508" s="16"/>
      <c r="N508" s="19"/>
      <c r="O508" s="19"/>
      <c r="P508" s="19"/>
      <c r="Q508" s="19"/>
      <c r="R508" s="19"/>
      <c r="S508" s="19"/>
      <c r="T508" s="19"/>
      <c r="U508" s="19"/>
      <c r="V508" s="19"/>
      <c r="W508" s="20"/>
      <c r="X508" s="43"/>
    </row>
    <row r="509" spans="1:24" ht="15.75" hidden="1" customHeight="1" x14ac:dyDescent="0.25">
      <c r="A509" s="16"/>
      <c r="B509" s="16" t="str">
        <f t="shared" si="2"/>
        <v/>
      </c>
      <c r="C509" s="16"/>
      <c r="D509" s="40"/>
      <c r="E509" s="16"/>
      <c r="F509" s="41"/>
      <c r="G509" s="16"/>
      <c r="H509" s="16"/>
      <c r="I509" s="16"/>
      <c r="J509" s="22"/>
      <c r="K509" s="16"/>
      <c r="L509" s="50"/>
      <c r="M509" s="16"/>
      <c r="N509" s="19"/>
      <c r="O509" s="19"/>
      <c r="P509" s="19"/>
      <c r="Q509" s="19"/>
      <c r="R509" s="19"/>
      <c r="S509" s="19"/>
      <c r="T509" s="19"/>
      <c r="U509" s="19"/>
      <c r="V509" s="19"/>
      <c r="W509" s="20"/>
      <c r="X509" s="43"/>
    </row>
    <row r="510" spans="1:24" ht="15.75" hidden="1" customHeight="1" x14ac:dyDescent="0.25">
      <c r="A510" s="16"/>
      <c r="B510" s="16" t="str">
        <f t="shared" si="2"/>
        <v/>
      </c>
      <c r="C510" s="16"/>
      <c r="D510" s="40"/>
      <c r="E510" s="16"/>
      <c r="F510" s="41"/>
      <c r="G510" s="16"/>
      <c r="H510" s="16"/>
      <c r="I510" s="16"/>
      <c r="J510" s="22"/>
      <c r="K510" s="16"/>
      <c r="L510" s="50"/>
      <c r="M510" s="16"/>
      <c r="N510" s="19"/>
      <c r="O510" s="19"/>
      <c r="P510" s="19"/>
      <c r="Q510" s="19"/>
      <c r="R510" s="19"/>
      <c r="S510" s="19"/>
      <c r="T510" s="19"/>
      <c r="U510" s="19"/>
      <c r="V510" s="19"/>
      <c r="W510" s="20"/>
      <c r="X510" s="43"/>
    </row>
    <row r="511" spans="1:24" ht="15.75" hidden="1" customHeight="1" x14ac:dyDescent="0.25">
      <c r="A511" s="16"/>
      <c r="B511" s="16" t="str">
        <f t="shared" si="2"/>
        <v/>
      </c>
      <c r="C511" s="16"/>
      <c r="D511" s="40"/>
      <c r="E511" s="16"/>
      <c r="F511" s="41"/>
      <c r="G511" s="16"/>
      <c r="H511" s="16"/>
      <c r="I511" s="16"/>
      <c r="J511" s="22"/>
      <c r="K511" s="16"/>
      <c r="L511" s="50"/>
      <c r="M511" s="16"/>
      <c r="N511" s="19"/>
      <c r="O511" s="19"/>
      <c r="P511" s="19"/>
      <c r="Q511" s="19"/>
      <c r="R511" s="19"/>
      <c r="S511" s="19"/>
      <c r="T511" s="19"/>
      <c r="U511" s="19"/>
      <c r="V511" s="19"/>
      <c r="W511" s="20"/>
      <c r="X511" s="43"/>
    </row>
    <row r="512" spans="1:24" ht="15.75" hidden="1" customHeight="1" x14ac:dyDescent="0.25">
      <c r="A512" s="16"/>
      <c r="B512" s="16" t="str">
        <f t="shared" si="2"/>
        <v/>
      </c>
      <c r="C512" s="16"/>
      <c r="D512" s="40"/>
      <c r="E512" s="16"/>
      <c r="F512" s="41"/>
      <c r="G512" s="16"/>
      <c r="H512" s="16"/>
      <c r="I512" s="16"/>
      <c r="J512" s="22"/>
      <c r="K512" s="16"/>
      <c r="L512" s="50"/>
      <c r="M512" s="16"/>
      <c r="N512" s="19"/>
      <c r="O512" s="19"/>
      <c r="P512" s="19"/>
      <c r="Q512" s="19"/>
      <c r="R512" s="19"/>
      <c r="S512" s="19"/>
      <c r="T512" s="19"/>
      <c r="U512" s="19"/>
      <c r="V512" s="19"/>
      <c r="W512" s="20"/>
      <c r="X512" s="43"/>
    </row>
    <row r="513" spans="1:24" ht="15.75" hidden="1" customHeight="1" x14ac:dyDescent="0.25">
      <c r="A513" s="16"/>
      <c r="B513" s="16" t="str">
        <f t="shared" si="2"/>
        <v/>
      </c>
      <c r="C513" s="16"/>
      <c r="D513" s="40"/>
      <c r="E513" s="16"/>
      <c r="F513" s="41"/>
      <c r="G513" s="16"/>
      <c r="H513" s="16"/>
      <c r="I513" s="16"/>
      <c r="J513" s="22"/>
      <c r="K513" s="16"/>
      <c r="L513" s="50"/>
      <c r="M513" s="16"/>
      <c r="N513" s="19"/>
      <c r="O513" s="19"/>
      <c r="P513" s="19"/>
      <c r="Q513" s="19"/>
      <c r="R513" s="19"/>
      <c r="S513" s="19"/>
      <c r="T513" s="19"/>
      <c r="U513" s="19"/>
      <c r="V513" s="19"/>
      <c r="W513" s="20"/>
      <c r="X513" s="43"/>
    </row>
    <row r="514" spans="1:24" ht="15.75" hidden="1" customHeight="1" x14ac:dyDescent="0.25">
      <c r="A514" s="16"/>
      <c r="B514" s="16" t="str">
        <f t="shared" si="2"/>
        <v/>
      </c>
      <c r="C514" s="16"/>
      <c r="D514" s="40"/>
      <c r="E514" s="16"/>
      <c r="F514" s="41"/>
      <c r="G514" s="16"/>
      <c r="H514" s="16"/>
      <c r="I514" s="16"/>
      <c r="J514" s="22"/>
      <c r="K514" s="16"/>
      <c r="L514" s="50"/>
      <c r="M514" s="16"/>
      <c r="N514" s="19"/>
      <c r="O514" s="19"/>
      <c r="P514" s="19"/>
      <c r="Q514" s="19"/>
      <c r="R514" s="19"/>
      <c r="S514" s="19"/>
      <c r="T514" s="19"/>
      <c r="U514" s="19"/>
      <c r="V514" s="19"/>
      <c r="W514" s="20"/>
      <c r="X514" s="43"/>
    </row>
    <row r="515" spans="1:24" ht="15.75" hidden="1" customHeight="1" x14ac:dyDescent="0.25">
      <c r="A515" s="16"/>
      <c r="B515" s="16" t="str">
        <f t="shared" si="2"/>
        <v/>
      </c>
      <c r="C515" s="16"/>
      <c r="D515" s="40"/>
      <c r="E515" s="16"/>
      <c r="F515" s="41"/>
      <c r="G515" s="16"/>
      <c r="H515" s="16"/>
      <c r="I515" s="16"/>
      <c r="J515" s="22"/>
      <c r="K515" s="16"/>
      <c r="L515" s="50"/>
      <c r="M515" s="16"/>
      <c r="N515" s="19"/>
      <c r="O515" s="19"/>
      <c r="P515" s="19"/>
      <c r="Q515" s="19"/>
      <c r="R515" s="19"/>
      <c r="S515" s="19"/>
      <c r="T515" s="19"/>
      <c r="U515" s="19"/>
      <c r="V515" s="19"/>
      <c r="W515" s="20"/>
      <c r="X515" s="43"/>
    </row>
    <row r="516" spans="1:24" ht="15.75" hidden="1" customHeight="1" x14ac:dyDescent="0.25">
      <c r="A516" s="16"/>
      <c r="B516" s="16" t="str">
        <f t="shared" si="2"/>
        <v/>
      </c>
      <c r="C516" s="16"/>
      <c r="D516" s="40"/>
      <c r="E516" s="16"/>
      <c r="F516" s="41"/>
      <c r="G516" s="16"/>
      <c r="H516" s="16"/>
      <c r="I516" s="16"/>
      <c r="J516" s="22"/>
      <c r="K516" s="16"/>
      <c r="L516" s="50"/>
      <c r="M516" s="16"/>
      <c r="N516" s="19"/>
      <c r="O516" s="19"/>
      <c r="P516" s="19"/>
      <c r="Q516" s="19"/>
      <c r="R516" s="19"/>
      <c r="S516" s="19"/>
      <c r="T516" s="19"/>
      <c r="U516" s="19"/>
      <c r="V516" s="19"/>
      <c r="W516" s="20"/>
      <c r="X516" s="43"/>
    </row>
    <row r="517" spans="1:24" ht="15.75" hidden="1" customHeight="1" x14ac:dyDescent="0.25">
      <c r="A517" s="16"/>
      <c r="B517" s="16" t="str">
        <f t="shared" si="2"/>
        <v/>
      </c>
      <c r="C517" s="16"/>
      <c r="D517" s="40"/>
      <c r="E517" s="16"/>
      <c r="F517" s="41"/>
      <c r="G517" s="16"/>
      <c r="H517" s="16"/>
      <c r="I517" s="16"/>
      <c r="J517" s="22"/>
      <c r="K517" s="16"/>
      <c r="L517" s="50"/>
      <c r="M517" s="16"/>
      <c r="N517" s="19"/>
      <c r="O517" s="19"/>
      <c r="P517" s="19"/>
      <c r="Q517" s="19"/>
      <c r="R517" s="19"/>
      <c r="S517" s="19"/>
      <c r="T517" s="19"/>
      <c r="U517" s="19"/>
      <c r="V517" s="19"/>
      <c r="W517" s="20"/>
      <c r="X517" s="43"/>
    </row>
    <row r="518" spans="1:24" ht="15.75" hidden="1" customHeight="1" x14ac:dyDescent="0.25">
      <c r="A518" s="16"/>
      <c r="B518" s="16" t="str">
        <f t="shared" si="2"/>
        <v/>
      </c>
      <c r="C518" s="16"/>
      <c r="D518" s="40"/>
      <c r="E518" s="16"/>
      <c r="F518" s="41"/>
      <c r="G518" s="16"/>
      <c r="H518" s="16"/>
      <c r="I518" s="16"/>
      <c r="J518" s="22"/>
      <c r="K518" s="16"/>
      <c r="L518" s="50"/>
      <c r="M518" s="16"/>
      <c r="N518" s="19"/>
      <c r="O518" s="19"/>
      <c r="P518" s="19"/>
      <c r="Q518" s="19"/>
      <c r="R518" s="19"/>
      <c r="S518" s="19"/>
      <c r="T518" s="19"/>
      <c r="U518" s="19"/>
      <c r="V518" s="19"/>
      <c r="W518" s="20"/>
      <c r="X518" s="43"/>
    </row>
    <row r="519" spans="1:24" ht="15.75" hidden="1" customHeight="1" x14ac:dyDescent="0.25">
      <c r="A519" s="16"/>
      <c r="B519" s="16" t="str">
        <f t="shared" si="2"/>
        <v/>
      </c>
      <c r="C519" s="16"/>
      <c r="D519" s="40"/>
      <c r="E519" s="16"/>
      <c r="F519" s="41"/>
      <c r="G519" s="16"/>
      <c r="H519" s="16"/>
      <c r="I519" s="16"/>
      <c r="J519" s="22"/>
      <c r="K519" s="16"/>
      <c r="L519" s="50"/>
      <c r="M519" s="16"/>
      <c r="N519" s="19"/>
      <c r="O519" s="19"/>
      <c r="P519" s="19"/>
      <c r="Q519" s="19"/>
      <c r="R519" s="19"/>
      <c r="S519" s="19"/>
      <c r="T519" s="19"/>
      <c r="U519" s="19"/>
      <c r="V519" s="19"/>
      <c r="W519" s="20"/>
      <c r="X519" s="43"/>
    </row>
    <row r="520" spans="1:24" ht="15.75" hidden="1" customHeight="1" x14ac:dyDescent="0.25">
      <c r="A520" s="16"/>
      <c r="B520" s="16" t="str">
        <f t="shared" si="2"/>
        <v/>
      </c>
      <c r="C520" s="16"/>
      <c r="D520" s="40"/>
      <c r="E520" s="16"/>
      <c r="F520" s="41"/>
      <c r="G520" s="16"/>
      <c r="H520" s="16"/>
      <c r="I520" s="16"/>
      <c r="J520" s="22"/>
      <c r="K520" s="16"/>
      <c r="L520" s="50"/>
      <c r="M520" s="16"/>
      <c r="N520" s="19"/>
      <c r="O520" s="19"/>
      <c r="P520" s="19"/>
      <c r="Q520" s="19"/>
      <c r="R520" s="19"/>
      <c r="S520" s="19"/>
      <c r="T520" s="19"/>
      <c r="U520" s="19"/>
      <c r="V520" s="19"/>
      <c r="W520" s="20"/>
      <c r="X520" s="43"/>
    </row>
    <row r="521" spans="1:24" ht="15.75" hidden="1" customHeight="1" x14ac:dyDescent="0.25">
      <c r="A521" s="16"/>
      <c r="B521" s="16" t="str">
        <f t="shared" si="2"/>
        <v/>
      </c>
      <c r="C521" s="16"/>
      <c r="D521" s="40"/>
      <c r="E521" s="16"/>
      <c r="F521" s="41"/>
      <c r="G521" s="16"/>
      <c r="H521" s="16"/>
      <c r="I521" s="16"/>
      <c r="J521" s="22"/>
      <c r="K521" s="16"/>
      <c r="L521" s="50"/>
      <c r="M521" s="16"/>
      <c r="N521" s="19"/>
      <c r="O521" s="19"/>
      <c r="P521" s="19"/>
      <c r="Q521" s="19"/>
      <c r="R521" s="19"/>
      <c r="S521" s="19"/>
      <c r="T521" s="19"/>
      <c r="U521" s="19"/>
      <c r="V521" s="19"/>
      <c r="W521" s="20"/>
      <c r="X521" s="43"/>
    </row>
    <row r="522" spans="1:24" ht="15.75" hidden="1" customHeight="1" x14ac:dyDescent="0.25">
      <c r="A522" s="16"/>
      <c r="B522" s="16" t="str">
        <f t="shared" si="2"/>
        <v/>
      </c>
      <c r="C522" s="16"/>
      <c r="D522" s="40"/>
      <c r="E522" s="16"/>
      <c r="F522" s="41"/>
      <c r="G522" s="16"/>
      <c r="H522" s="16"/>
      <c r="I522" s="16"/>
      <c r="J522" s="22"/>
      <c r="K522" s="16"/>
      <c r="L522" s="50"/>
      <c r="M522" s="16"/>
      <c r="N522" s="19"/>
      <c r="O522" s="19"/>
      <c r="P522" s="19"/>
      <c r="Q522" s="19"/>
      <c r="R522" s="19"/>
      <c r="S522" s="19"/>
      <c r="T522" s="19"/>
      <c r="U522" s="19"/>
      <c r="V522" s="19"/>
      <c r="W522" s="20"/>
      <c r="X522" s="43"/>
    </row>
    <row r="523" spans="1:24" ht="15.75" hidden="1" customHeight="1" x14ac:dyDescent="0.25">
      <c r="A523" s="16"/>
      <c r="B523" s="16" t="str">
        <f t="shared" si="2"/>
        <v/>
      </c>
      <c r="C523" s="16"/>
      <c r="D523" s="40"/>
      <c r="E523" s="16"/>
      <c r="F523" s="41"/>
      <c r="G523" s="16"/>
      <c r="H523" s="16"/>
      <c r="I523" s="16"/>
      <c r="J523" s="22"/>
      <c r="K523" s="16"/>
      <c r="L523" s="50"/>
      <c r="M523" s="16"/>
      <c r="N523" s="19"/>
      <c r="O523" s="19"/>
      <c r="P523" s="19"/>
      <c r="Q523" s="19"/>
      <c r="R523" s="19"/>
      <c r="S523" s="19"/>
      <c r="T523" s="19"/>
      <c r="U523" s="19"/>
      <c r="V523" s="19"/>
      <c r="W523" s="20"/>
      <c r="X523" s="43"/>
    </row>
    <row r="524" spans="1:24" ht="15.75" hidden="1" customHeight="1" x14ac:dyDescent="0.25">
      <c r="A524" s="16"/>
      <c r="B524" s="16" t="str">
        <f t="shared" si="2"/>
        <v/>
      </c>
      <c r="C524" s="16"/>
      <c r="D524" s="40"/>
      <c r="E524" s="16"/>
      <c r="F524" s="41"/>
      <c r="G524" s="16"/>
      <c r="H524" s="16"/>
      <c r="I524" s="16"/>
      <c r="J524" s="22"/>
      <c r="K524" s="16"/>
      <c r="L524" s="50"/>
      <c r="M524" s="16"/>
      <c r="N524" s="19"/>
      <c r="O524" s="19"/>
      <c r="P524" s="19"/>
      <c r="Q524" s="19"/>
      <c r="R524" s="19"/>
      <c r="S524" s="19"/>
      <c r="T524" s="19"/>
      <c r="U524" s="19"/>
      <c r="V524" s="19"/>
      <c r="W524" s="20"/>
      <c r="X524" s="43"/>
    </row>
    <row r="525" spans="1:24" ht="15.75" hidden="1" customHeight="1" x14ac:dyDescent="0.25">
      <c r="A525" s="16"/>
      <c r="B525" s="16" t="str">
        <f t="shared" si="2"/>
        <v/>
      </c>
      <c r="C525" s="16"/>
      <c r="D525" s="40"/>
      <c r="E525" s="16"/>
      <c r="F525" s="41"/>
      <c r="G525" s="16"/>
      <c r="H525" s="16"/>
      <c r="I525" s="16"/>
      <c r="J525" s="22"/>
      <c r="K525" s="16"/>
      <c r="L525" s="50"/>
      <c r="M525" s="16"/>
      <c r="N525" s="19"/>
      <c r="O525" s="19"/>
      <c r="P525" s="19"/>
      <c r="Q525" s="19"/>
      <c r="R525" s="19"/>
      <c r="S525" s="19"/>
      <c r="T525" s="19"/>
      <c r="U525" s="19"/>
      <c r="V525" s="19"/>
      <c r="W525" s="20"/>
      <c r="X525" s="43"/>
    </row>
    <row r="526" spans="1:24" ht="15.75" hidden="1" customHeight="1" x14ac:dyDescent="0.25">
      <c r="A526" s="16"/>
      <c r="B526" s="16" t="str">
        <f t="shared" si="2"/>
        <v/>
      </c>
      <c r="C526" s="16"/>
      <c r="D526" s="40"/>
      <c r="E526" s="16"/>
      <c r="F526" s="41"/>
      <c r="G526" s="16"/>
      <c r="H526" s="16"/>
      <c r="I526" s="16"/>
      <c r="J526" s="22"/>
      <c r="K526" s="16"/>
      <c r="L526" s="50"/>
      <c r="M526" s="16"/>
      <c r="N526" s="19"/>
      <c r="O526" s="19"/>
      <c r="P526" s="19"/>
      <c r="Q526" s="19"/>
      <c r="R526" s="19"/>
      <c r="S526" s="19"/>
      <c r="T526" s="19"/>
      <c r="U526" s="19"/>
      <c r="V526" s="19"/>
      <c r="W526" s="20"/>
      <c r="X526" s="43"/>
    </row>
    <row r="527" spans="1:24" ht="15.75" hidden="1" customHeight="1" x14ac:dyDescent="0.25">
      <c r="A527" s="16"/>
      <c r="B527" s="16" t="str">
        <f t="shared" si="2"/>
        <v/>
      </c>
      <c r="C527" s="16"/>
      <c r="D527" s="40"/>
      <c r="E527" s="16"/>
      <c r="F527" s="41"/>
      <c r="G527" s="16"/>
      <c r="H527" s="16"/>
      <c r="I527" s="16"/>
      <c r="J527" s="22"/>
      <c r="K527" s="16"/>
      <c r="L527" s="50"/>
      <c r="M527" s="16"/>
      <c r="N527" s="19"/>
      <c r="O527" s="19"/>
      <c r="P527" s="19"/>
      <c r="Q527" s="19"/>
      <c r="R527" s="19"/>
      <c r="S527" s="19"/>
      <c r="T527" s="19"/>
      <c r="U527" s="19"/>
      <c r="V527" s="19"/>
      <c r="W527" s="20"/>
      <c r="X527" s="43"/>
    </row>
    <row r="528" spans="1:24" ht="15.75" hidden="1" customHeight="1" x14ac:dyDescent="0.25">
      <c r="A528" s="16"/>
      <c r="B528" s="16" t="str">
        <f t="shared" si="2"/>
        <v/>
      </c>
      <c r="C528" s="16"/>
      <c r="D528" s="40"/>
      <c r="E528" s="16"/>
      <c r="F528" s="41"/>
      <c r="G528" s="16"/>
      <c r="H528" s="16"/>
      <c r="I528" s="16"/>
      <c r="J528" s="22"/>
      <c r="K528" s="16"/>
      <c r="L528" s="50"/>
      <c r="M528" s="16"/>
      <c r="N528" s="19"/>
      <c r="O528" s="19"/>
      <c r="P528" s="19"/>
      <c r="Q528" s="19"/>
      <c r="R528" s="19"/>
      <c r="S528" s="19"/>
      <c r="T528" s="19"/>
      <c r="U528" s="19"/>
      <c r="V528" s="19"/>
      <c r="W528" s="20"/>
      <c r="X528" s="43"/>
    </row>
    <row r="529" spans="1:24" ht="15.75" hidden="1" customHeight="1" x14ac:dyDescent="0.25">
      <c r="A529" s="16"/>
      <c r="B529" s="16" t="str">
        <f t="shared" si="2"/>
        <v/>
      </c>
      <c r="C529" s="16"/>
      <c r="D529" s="40"/>
      <c r="E529" s="16"/>
      <c r="F529" s="41"/>
      <c r="G529" s="16"/>
      <c r="H529" s="16"/>
      <c r="I529" s="16"/>
      <c r="J529" s="22"/>
      <c r="K529" s="16"/>
      <c r="L529" s="50"/>
      <c r="M529" s="16"/>
      <c r="N529" s="19"/>
      <c r="O529" s="19"/>
      <c r="P529" s="19"/>
      <c r="Q529" s="19"/>
      <c r="R529" s="19"/>
      <c r="S529" s="19"/>
      <c r="T529" s="19"/>
      <c r="U529" s="19"/>
      <c r="V529" s="19"/>
      <c r="W529" s="20"/>
      <c r="X529" s="43"/>
    </row>
    <row r="530" spans="1:24" ht="15.75" hidden="1" customHeight="1" x14ac:dyDescent="0.25">
      <c r="A530" s="16"/>
      <c r="B530" s="16" t="str">
        <f t="shared" si="2"/>
        <v/>
      </c>
      <c r="C530" s="16"/>
      <c r="D530" s="40"/>
      <c r="E530" s="16"/>
      <c r="F530" s="41"/>
      <c r="G530" s="16"/>
      <c r="H530" s="16"/>
      <c r="I530" s="16"/>
      <c r="J530" s="22"/>
      <c r="K530" s="16"/>
      <c r="L530" s="50"/>
      <c r="M530" s="16"/>
      <c r="N530" s="19"/>
      <c r="O530" s="19"/>
      <c r="P530" s="19"/>
      <c r="Q530" s="19"/>
      <c r="R530" s="19"/>
      <c r="S530" s="19"/>
      <c r="T530" s="19"/>
      <c r="U530" s="19"/>
      <c r="V530" s="19"/>
      <c r="W530" s="20"/>
      <c r="X530" s="43"/>
    </row>
    <row r="531" spans="1:24" ht="15.75" hidden="1" customHeight="1" x14ac:dyDescent="0.25">
      <c r="A531" s="16"/>
      <c r="B531" s="16" t="str">
        <f t="shared" si="2"/>
        <v/>
      </c>
      <c r="C531" s="16"/>
      <c r="D531" s="40"/>
      <c r="E531" s="16"/>
      <c r="F531" s="41"/>
      <c r="G531" s="16"/>
      <c r="H531" s="16"/>
      <c r="I531" s="16"/>
      <c r="J531" s="22"/>
      <c r="K531" s="16"/>
      <c r="L531" s="50"/>
      <c r="M531" s="16"/>
      <c r="N531" s="19"/>
      <c r="O531" s="19"/>
      <c r="P531" s="19"/>
      <c r="Q531" s="19"/>
      <c r="R531" s="19"/>
      <c r="S531" s="19"/>
      <c r="T531" s="19"/>
      <c r="U531" s="19"/>
      <c r="V531" s="19"/>
      <c r="W531" s="20"/>
      <c r="X531" s="43"/>
    </row>
    <row r="532" spans="1:24" ht="15.75" hidden="1" customHeight="1" x14ac:dyDescent="0.25">
      <c r="A532" s="16"/>
      <c r="B532" s="16" t="str">
        <f t="shared" si="2"/>
        <v/>
      </c>
      <c r="C532" s="16"/>
      <c r="D532" s="40"/>
      <c r="E532" s="16"/>
      <c r="F532" s="41"/>
      <c r="G532" s="16"/>
      <c r="H532" s="16"/>
      <c r="I532" s="16"/>
      <c r="J532" s="22"/>
      <c r="K532" s="16"/>
      <c r="L532" s="50"/>
      <c r="M532" s="16"/>
      <c r="N532" s="19"/>
      <c r="O532" s="19"/>
      <c r="P532" s="19"/>
      <c r="Q532" s="19"/>
      <c r="R532" s="19"/>
      <c r="S532" s="19"/>
      <c r="T532" s="19"/>
      <c r="U532" s="19"/>
      <c r="V532" s="19"/>
      <c r="W532" s="20"/>
      <c r="X532" s="43"/>
    </row>
    <row r="533" spans="1:24" ht="15.75" hidden="1" customHeight="1" x14ac:dyDescent="0.25">
      <c r="A533" s="16"/>
      <c r="B533" s="16" t="str">
        <f t="shared" si="2"/>
        <v/>
      </c>
      <c r="C533" s="16"/>
      <c r="D533" s="40"/>
      <c r="E533" s="16"/>
      <c r="F533" s="41"/>
      <c r="G533" s="16"/>
      <c r="H533" s="16"/>
      <c r="I533" s="16"/>
      <c r="J533" s="22"/>
      <c r="K533" s="16"/>
      <c r="L533" s="50"/>
      <c r="M533" s="16"/>
      <c r="N533" s="19"/>
      <c r="O533" s="19"/>
      <c r="P533" s="19"/>
      <c r="Q533" s="19"/>
      <c r="R533" s="19"/>
      <c r="S533" s="19"/>
      <c r="T533" s="19"/>
      <c r="U533" s="19"/>
      <c r="V533" s="19"/>
      <c r="W533" s="20"/>
      <c r="X533" s="43"/>
    </row>
    <row r="534" spans="1:24" ht="15.75" hidden="1" customHeight="1" x14ac:dyDescent="0.25">
      <c r="A534" s="16"/>
      <c r="B534" s="16" t="str">
        <f t="shared" si="2"/>
        <v/>
      </c>
      <c r="C534" s="16"/>
      <c r="D534" s="40"/>
      <c r="E534" s="16"/>
      <c r="F534" s="41"/>
      <c r="G534" s="16"/>
      <c r="H534" s="16"/>
      <c r="I534" s="16"/>
      <c r="J534" s="22"/>
      <c r="K534" s="16"/>
      <c r="L534" s="50"/>
      <c r="M534" s="16"/>
      <c r="N534" s="19"/>
      <c r="O534" s="19"/>
      <c r="P534" s="19"/>
      <c r="Q534" s="19"/>
      <c r="R534" s="19"/>
      <c r="S534" s="19"/>
      <c r="T534" s="19"/>
      <c r="U534" s="19"/>
      <c r="V534" s="19"/>
      <c r="W534" s="20"/>
      <c r="X534" s="43"/>
    </row>
    <row r="535" spans="1:24" ht="15.75" hidden="1" customHeight="1" x14ac:dyDescent="0.25">
      <c r="A535" s="16"/>
      <c r="B535" s="16" t="str">
        <f t="shared" si="2"/>
        <v/>
      </c>
      <c r="C535" s="16"/>
      <c r="D535" s="40"/>
      <c r="E535" s="16"/>
      <c r="F535" s="41"/>
      <c r="G535" s="16"/>
      <c r="H535" s="16"/>
      <c r="I535" s="16"/>
      <c r="J535" s="22"/>
      <c r="K535" s="16"/>
      <c r="L535" s="50"/>
      <c r="M535" s="16"/>
      <c r="N535" s="19"/>
      <c r="O535" s="19"/>
      <c r="P535" s="19"/>
      <c r="Q535" s="19"/>
      <c r="R535" s="19"/>
      <c r="S535" s="19"/>
      <c r="T535" s="19"/>
      <c r="U535" s="19"/>
      <c r="V535" s="19"/>
      <c r="W535" s="20"/>
      <c r="X535" s="43"/>
    </row>
    <row r="536" spans="1:24" ht="15.75" hidden="1" customHeight="1" x14ac:dyDescent="0.25">
      <c r="A536" s="16"/>
      <c r="B536" s="16" t="str">
        <f t="shared" si="2"/>
        <v/>
      </c>
      <c r="C536" s="16"/>
      <c r="D536" s="40"/>
      <c r="E536" s="16"/>
      <c r="F536" s="41"/>
      <c r="G536" s="16"/>
      <c r="H536" s="16"/>
      <c r="I536" s="16"/>
      <c r="J536" s="22"/>
      <c r="K536" s="16"/>
      <c r="L536" s="50"/>
      <c r="M536" s="16"/>
      <c r="N536" s="19"/>
      <c r="O536" s="19"/>
      <c r="P536" s="19"/>
      <c r="Q536" s="19"/>
      <c r="R536" s="19"/>
      <c r="S536" s="19"/>
      <c r="T536" s="19"/>
      <c r="U536" s="19"/>
      <c r="V536" s="19"/>
      <c r="W536" s="20"/>
      <c r="X536" s="43"/>
    </row>
    <row r="537" spans="1:24" ht="15.75" hidden="1" customHeight="1" x14ac:dyDescent="0.25">
      <c r="A537" s="16"/>
      <c r="B537" s="16" t="str">
        <f t="shared" si="2"/>
        <v/>
      </c>
      <c r="C537" s="16"/>
      <c r="D537" s="40"/>
      <c r="E537" s="16"/>
      <c r="F537" s="41"/>
      <c r="G537" s="16"/>
      <c r="H537" s="16"/>
      <c r="I537" s="16"/>
      <c r="J537" s="22"/>
      <c r="K537" s="16"/>
      <c r="L537" s="50"/>
      <c r="M537" s="16"/>
      <c r="N537" s="19"/>
      <c r="O537" s="19"/>
      <c r="P537" s="19"/>
      <c r="Q537" s="19"/>
      <c r="R537" s="19"/>
      <c r="S537" s="19"/>
      <c r="T537" s="19"/>
      <c r="U537" s="19"/>
      <c r="V537" s="19"/>
      <c r="W537" s="20"/>
      <c r="X537" s="43"/>
    </row>
    <row r="538" spans="1:24" ht="15.75" hidden="1" customHeight="1" x14ac:dyDescent="0.25">
      <c r="A538" s="16"/>
      <c r="B538" s="16" t="str">
        <f t="shared" si="2"/>
        <v/>
      </c>
      <c r="C538" s="16"/>
      <c r="D538" s="40"/>
      <c r="E538" s="16"/>
      <c r="F538" s="41"/>
      <c r="G538" s="16"/>
      <c r="H538" s="16"/>
      <c r="I538" s="16"/>
      <c r="J538" s="22"/>
      <c r="K538" s="16"/>
      <c r="L538" s="50"/>
      <c r="M538" s="16"/>
      <c r="N538" s="19"/>
      <c r="O538" s="19"/>
      <c r="P538" s="19"/>
      <c r="Q538" s="19"/>
      <c r="R538" s="19"/>
      <c r="S538" s="19"/>
      <c r="T538" s="19"/>
      <c r="U538" s="19"/>
      <c r="V538" s="19"/>
      <c r="W538" s="20"/>
      <c r="X538" s="43"/>
    </row>
    <row r="539" spans="1:24" ht="15.75" hidden="1" customHeight="1" x14ac:dyDescent="0.25">
      <c r="A539" s="16"/>
      <c r="B539" s="16" t="str">
        <f t="shared" si="2"/>
        <v/>
      </c>
      <c r="C539" s="16"/>
      <c r="D539" s="40"/>
      <c r="E539" s="16"/>
      <c r="F539" s="41"/>
      <c r="G539" s="16"/>
      <c r="H539" s="16"/>
      <c r="I539" s="16"/>
      <c r="J539" s="22"/>
      <c r="K539" s="16"/>
      <c r="L539" s="50"/>
      <c r="M539" s="16"/>
      <c r="N539" s="19"/>
      <c r="O539" s="19"/>
      <c r="P539" s="19"/>
      <c r="Q539" s="19"/>
      <c r="R539" s="19"/>
      <c r="S539" s="19"/>
      <c r="T539" s="19"/>
      <c r="U539" s="19"/>
      <c r="V539" s="19"/>
      <c r="W539" s="20"/>
      <c r="X539" s="43"/>
    </row>
    <row r="540" spans="1:24" ht="15.75" hidden="1" customHeight="1" x14ac:dyDescent="0.25">
      <c r="A540" s="16"/>
      <c r="B540" s="16" t="str">
        <f t="shared" si="2"/>
        <v/>
      </c>
      <c r="C540" s="16"/>
      <c r="D540" s="40"/>
      <c r="E540" s="16"/>
      <c r="F540" s="41"/>
      <c r="G540" s="16"/>
      <c r="H540" s="16"/>
      <c r="I540" s="16"/>
      <c r="J540" s="22"/>
      <c r="K540" s="16"/>
      <c r="L540" s="50"/>
      <c r="M540" s="16"/>
      <c r="N540" s="19"/>
      <c r="O540" s="19"/>
      <c r="P540" s="19"/>
      <c r="Q540" s="19"/>
      <c r="R540" s="19"/>
      <c r="S540" s="19"/>
      <c r="T540" s="19"/>
      <c r="U540" s="19"/>
      <c r="V540" s="19"/>
      <c r="W540" s="20"/>
      <c r="X540" s="43"/>
    </row>
    <row r="541" spans="1:24" ht="15.75" hidden="1" customHeight="1" x14ac:dyDescent="0.25">
      <c r="A541" s="16"/>
      <c r="B541" s="16" t="str">
        <f t="shared" si="2"/>
        <v/>
      </c>
      <c r="C541" s="16"/>
      <c r="D541" s="40"/>
      <c r="E541" s="16"/>
      <c r="F541" s="41"/>
      <c r="G541" s="16"/>
      <c r="H541" s="16"/>
      <c r="I541" s="16"/>
      <c r="J541" s="22"/>
      <c r="K541" s="16"/>
      <c r="L541" s="50"/>
      <c r="M541" s="16"/>
      <c r="N541" s="19"/>
      <c r="O541" s="19"/>
      <c r="P541" s="19"/>
      <c r="Q541" s="19"/>
      <c r="R541" s="19"/>
      <c r="S541" s="19"/>
      <c r="T541" s="19"/>
      <c r="U541" s="19"/>
      <c r="V541" s="19"/>
      <c r="W541" s="20"/>
      <c r="X541" s="43"/>
    </row>
    <row r="542" spans="1:24" ht="15.75" hidden="1" customHeight="1" x14ac:dyDescent="0.25">
      <c r="A542" s="16"/>
      <c r="B542" s="16" t="str">
        <f t="shared" si="2"/>
        <v/>
      </c>
      <c r="C542" s="16"/>
      <c r="D542" s="40"/>
      <c r="E542" s="16"/>
      <c r="F542" s="41"/>
      <c r="G542" s="16"/>
      <c r="H542" s="16"/>
      <c r="I542" s="16"/>
      <c r="J542" s="22"/>
      <c r="K542" s="16"/>
      <c r="L542" s="50"/>
      <c r="M542" s="16"/>
      <c r="N542" s="19"/>
      <c r="O542" s="19"/>
      <c r="P542" s="19"/>
      <c r="Q542" s="19"/>
      <c r="R542" s="19"/>
      <c r="S542" s="19"/>
      <c r="T542" s="19"/>
      <c r="U542" s="19"/>
      <c r="V542" s="19"/>
      <c r="W542" s="20"/>
      <c r="X542" s="43"/>
    </row>
    <row r="543" spans="1:24" ht="15.75" hidden="1" customHeight="1" x14ac:dyDescent="0.25">
      <c r="A543" s="16"/>
      <c r="B543" s="16" t="str">
        <f t="shared" si="2"/>
        <v/>
      </c>
      <c r="C543" s="16"/>
      <c r="D543" s="40"/>
      <c r="E543" s="16"/>
      <c r="F543" s="41"/>
      <c r="G543" s="16"/>
      <c r="H543" s="16"/>
      <c r="I543" s="16"/>
      <c r="J543" s="22"/>
      <c r="K543" s="16"/>
      <c r="L543" s="50"/>
      <c r="M543" s="16"/>
      <c r="N543" s="19"/>
      <c r="O543" s="19"/>
      <c r="P543" s="19"/>
      <c r="Q543" s="19"/>
      <c r="R543" s="19"/>
      <c r="S543" s="19"/>
      <c r="T543" s="19"/>
      <c r="U543" s="19"/>
      <c r="V543" s="19"/>
      <c r="W543" s="20"/>
      <c r="X543" s="43"/>
    </row>
    <row r="544" spans="1:24" ht="15.75" hidden="1" customHeight="1" x14ac:dyDescent="0.25">
      <c r="A544" s="16"/>
      <c r="B544" s="16" t="str">
        <f t="shared" si="2"/>
        <v/>
      </c>
      <c r="C544" s="16"/>
      <c r="D544" s="40"/>
      <c r="E544" s="16"/>
      <c r="F544" s="41"/>
      <c r="G544" s="16"/>
      <c r="H544" s="16"/>
      <c r="I544" s="16"/>
      <c r="J544" s="22"/>
      <c r="K544" s="16"/>
      <c r="L544" s="50"/>
      <c r="M544" s="16"/>
      <c r="N544" s="19"/>
      <c r="O544" s="19"/>
      <c r="P544" s="19"/>
      <c r="Q544" s="19"/>
      <c r="R544" s="19"/>
      <c r="S544" s="19"/>
      <c r="T544" s="19"/>
      <c r="U544" s="19"/>
      <c r="V544" s="19"/>
      <c r="W544" s="20"/>
      <c r="X544" s="43"/>
    </row>
    <row r="545" spans="1:24" ht="15.75" hidden="1" customHeight="1" x14ac:dyDescent="0.25">
      <c r="A545" s="16"/>
      <c r="B545" s="16" t="str">
        <f t="shared" si="2"/>
        <v/>
      </c>
      <c r="C545" s="16"/>
      <c r="D545" s="40"/>
      <c r="E545" s="16"/>
      <c r="F545" s="41"/>
      <c r="G545" s="16"/>
      <c r="H545" s="16"/>
      <c r="I545" s="16"/>
      <c r="J545" s="22"/>
      <c r="K545" s="16"/>
      <c r="L545" s="50"/>
      <c r="M545" s="16"/>
      <c r="N545" s="19"/>
      <c r="O545" s="19"/>
      <c r="P545" s="19"/>
      <c r="Q545" s="19"/>
      <c r="R545" s="19"/>
      <c r="S545" s="19"/>
      <c r="T545" s="19"/>
      <c r="U545" s="19"/>
      <c r="V545" s="19"/>
      <c r="W545" s="20"/>
      <c r="X545" s="43"/>
    </row>
    <row r="546" spans="1:24" ht="15.75" hidden="1" customHeight="1" x14ac:dyDescent="0.25">
      <c r="A546" s="16"/>
      <c r="B546" s="16" t="str">
        <f t="shared" si="2"/>
        <v/>
      </c>
      <c r="C546" s="16"/>
      <c r="D546" s="40"/>
      <c r="E546" s="16"/>
      <c r="F546" s="41"/>
      <c r="G546" s="16"/>
      <c r="H546" s="16"/>
      <c r="I546" s="16"/>
      <c r="J546" s="22"/>
      <c r="K546" s="16"/>
      <c r="L546" s="50"/>
      <c r="M546" s="16"/>
      <c r="N546" s="19"/>
      <c r="O546" s="19"/>
      <c r="P546" s="19"/>
      <c r="Q546" s="19"/>
      <c r="R546" s="19"/>
      <c r="S546" s="19"/>
      <c r="T546" s="19"/>
      <c r="U546" s="19"/>
      <c r="V546" s="19"/>
      <c r="W546" s="20"/>
      <c r="X546" s="43"/>
    </row>
    <row r="547" spans="1:24" ht="15.75" hidden="1" customHeight="1" x14ac:dyDescent="0.25">
      <c r="A547" s="16"/>
      <c r="B547" s="16" t="str">
        <f t="shared" si="2"/>
        <v/>
      </c>
      <c r="C547" s="16"/>
      <c r="D547" s="40"/>
      <c r="E547" s="16"/>
      <c r="F547" s="41"/>
      <c r="G547" s="16"/>
      <c r="H547" s="16"/>
      <c r="I547" s="16"/>
      <c r="J547" s="22"/>
      <c r="K547" s="16"/>
      <c r="L547" s="50"/>
      <c r="M547" s="16"/>
      <c r="N547" s="19"/>
      <c r="O547" s="19"/>
      <c r="P547" s="19"/>
      <c r="Q547" s="19"/>
      <c r="R547" s="19"/>
      <c r="S547" s="19"/>
      <c r="T547" s="19"/>
      <c r="U547" s="19"/>
      <c r="V547" s="19"/>
      <c r="W547" s="20"/>
      <c r="X547" s="43"/>
    </row>
    <row r="548" spans="1:24" ht="15.75" hidden="1" customHeight="1" x14ac:dyDescent="0.25">
      <c r="A548" s="16"/>
      <c r="B548" s="16" t="str">
        <f t="shared" si="2"/>
        <v/>
      </c>
      <c r="C548" s="16"/>
      <c r="D548" s="40"/>
      <c r="E548" s="16"/>
      <c r="F548" s="41"/>
      <c r="G548" s="16"/>
      <c r="H548" s="16"/>
      <c r="I548" s="16"/>
      <c r="J548" s="22"/>
      <c r="K548" s="16"/>
      <c r="L548" s="50"/>
      <c r="M548" s="16"/>
      <c r="N548" s="19"/>
      <c r="O548" s="19"/>
      <c r="P548" s="19"/>
      <c r="Q548" s="19"/>
      <c r="R548" s="19"/>
      <c r="S548" s="19"/>
      <c r="T548" s="19"/>
      <c r="U548" s="19"/>
      <c r="V548" s="19"/>
      <c r="W548" s="20"/>
      <c r="X548" s="43"/>
    </row>
    <row r="549" spans="1:24" ht="15.75" hidden="1" customHeight="1" x14ac:dyDescent="0.25">
      <c r="A549" s="16"/>
      <c r="B549" s="16" t="str">
        <f t="shared" si="2"/>
        <v/>
      </c>
      <c r="C549" s="16"/>
      <c r="D549" s="40"/>
      <c r="E549" s="16"/>
      <c r="F549" s="41"/>
      <c r="G549" s="16"/>
      <c r="H549" s="16"/>
      <c r="I549" s="16"/>
      <c r="J549" s="22"/>
      <c r="K549" s="16"/>
      <c r="L549" s="50"/>
      <c r="M549" s="16"/>
      <c r="N549" s="19"/>
      <c r="O549" s="19"/>
      <c r="P549" s="19"/>
      <c r="Q549" s="19"/>
      <c r="R549" s="19"/>
      <c r="S549" s="19"/>
      <c r="T549" s="19"/>
      <c r="U549" s="19"/>
      <c r="V549" s="19"/>
      <c r="W549" s="20"/>
      <c r="X549" s="43"/>
    </row>
    <row r="550" spans="1:24" ht="15.75" hidden="1" customHeight="1" x14ac:dyDescent="0.25">
      <c r="A550" s="16"/>
      <c r="B550" s="16" t="str">
        <f t="shared" si="2"/>
        <v/>
      </c>
      <c r="C550" s="16"/>
      <c r="D550" s="40"/>
      <c r="E550" s="16"/>
      <c r="F550" s="41"/>
      <c r="G550" s="16"/>
      <c r="H550" s="16"/>
      <c r="I550" s="16"/>
      <c r="J550" s="22"/>
      <c r="K550" s="16"/>
      <c r="L550" s="50"/>
      <c r="M550" s="16"/>
      <c r="N550" s="19"/>
      <c r="O550" s="19"/>
      <c r="P550" s="19"/>
      <c r="Q550" s="19"/>
      <c r="R550" s="19"/>
      <c r="S550" s="19"/>
      <c r="T550" s="19"/>
      <c r="U550" s="19"/>
      <c r="V550" s="19"/>
      <c r="W550" s="20"/>
      <c r="X550" s="43"/>
    </row>
    <row r="551" spans="1:24" ht="15.75" hidden="1" customHeight="1" x14ac:dyDescent="0.25">
      <c r="A551" s="16"/>
      <c r="B551" s="16" t="str">
        <f t="shared" si="2"/>
        <v/>
      </c>
      <c r="C551" s="16"/>
      <c r="D551" s="40"/>
      <c r="E551" s="16"/>
      <c r="F551" s="41"/>
      <c r="G551" s="16"/>
      <c r="H551" s="16"/>
      <c r="I551" s="16"/>
      <c r="J551" s="22"/>
      <c r="K551" s="16"/>
      <c r="L551" s="50"/>
      <c r="M551" s="16"/>
      <c r="N551" s="19"/>
      <c r="O551" s="19"/>
      <c r="P551" s="19"/>
      <c r="Q551" s="19"/>
      <c r="R551" s="19"/>
      <c r="S551" s="19"/>
      <c r="T551" s="19"/>
      <c r="U551" s="19"/>
      <c r="V551" s="19"/>
      <c r="W551" s="20"/>
      <c r="X551" s="43"/>
    </row>
    <row r="552" spans="1:24" ht="15.75" hidden="1" customHeight="1" x14ac:dyDescent="0.25">
      <c r="A552" s="16"/>
      <c r="B552" s="16" t="str">
        <f t="shared" si="2"/>
        <v/>
      </c>
      <c r="C552" s="16"/>
      <c r="D552" s="40"/>
      <c r="E552" s="16"/>
      <c r="F552" s="41"/>
      <c r="G552" s="16"/>
      <c r="H552" s="16"/>
      <c r="I552" s="16"/>
      <c r="J552" s="22"/>
      <c r="K552" s="16"/>
      <c r="L552" s="50"/>
      <c r="M552" s="16"/>
      <c r="N552" s="19"/>
      <c r="O552" s="19"/>
      <c r="P552" s="19"/>
      <c r="Q552" s="19"/>
      <c r="R552" s="19"/>
      <c r="S552" s="19"/>
      <c r="T552" s="19"/>
      <c r="U552" s="19"/>
      <c r="V552" s="19"/>
      <c r="W552" s="20"/>
      <c r="X552" s="43"/>
    </row>
    <row r="553" spans="1:24" ht="15.75" hidden="1" customHeight="1" x14ac:dyDescent="0.25">
      <c r="A553" s="16"/>
      <c r="B553" s="16" t="str">
        <f t="shared" si="2"/>
        <v/>
      </c>
      <c r="C553" s="16"/>
      <c r="D553" s="40"/>
      <c r="E553" s="16"/>
      <c r="F553" s="41"/>
      <c r="G553" s="16"/>
      <c r="H553" s="16"/>
      <c r="I553" s="16"/>
      <c r="J553" s="22"/>
      <c r="K553" s="16"/>
      <c r="L553" s="50"/>
      <c r="M553" s="16"/>
      <c r="N553" s="19"/>
      <c r="O553" s="19"/>
      <c r="P553" s="19"/>
      <c r="Q553" s="19"/>
      <c r="R553" s="19"/>
      <c r="S553" s="19"/>
      <c r="T553" s="19"/>
      <c r="U553" s="19"/>
      <c r="V553" s="19"/>
      <c r="W553" s="20"/>
      <c r="X553" s="43"/>
    </row>
    <row r="554" spans="1:24" ht="15.75" hidden="1" customHeight="1" x14ac:dyDescent="0.25">
      <c r="A554" s="16"/>
      <c r="B554" s="16" t="str">
        <f t="shared" si="2"/>
        <v/>
      </c>
      <c r="C554" s="16"/>
      <c r="D554" s="40"/>
      <c r="E554" s="16"/>
      <c r="F554" s="41"/>
      <c r="G554" s="16"/>
      <c r="H554" s="16"/>
      <c r="I554" s="16"/>
      <c r="J554" s="22"/>
      <c r="K554" s="16"/>
      <c r="L554" s="50"/>
      <c r="M554" s="16"/>
      <c r="N554" s="19"/>
      <c r="O554" s="19"/>
      <c r="P554" s="19"/>
      <c r="Q554" s="19"/>
      <c r="R554" s="19"/>
      <c r="S554" s="19"/>
      <c r="T554" s="19"/>
      <c r="U554" s="19"/>
      <c r="V554" s="19"/>
      <c r="W554" s="20"/>
      <c r="X554" s="43"/>
    </row>
    <row r="555" spans="1:24" ht="15.75" hidden="1" customHeight="1" x14ac:dyDescent="0.25">
      <c r="A555" s="16"/>
      <c r="B555" s="16" t="str">
        <f t="shared" si="2"/>
        <v/>
      </c>
      <c r="C555" s="16"/>
      <c r="D555" s="40"/>
      <c r="E555" s="16"/>
      <c r="F555" s="41"/>
      <c r="G555" s="16"/>
      <c r="H555" s="16"/>
      <c r="I555" s="16"/>
      <c r="J555" s="22"/>
      <c r="K555" s="16"/>
      <c r="L555" s="50"/>
      <c r="M555" s="16"/>
      <c r="N555" s="19"/>
      <c r="O555" s="19"/>
      <c r="P555" s="19"/>
      <c r="Q555" s="19"/>
      <c r="R555" s="19"/>
      <c r="S555" s="19"/>
      <c r="T555" s="19"/>
      <c r="U555" s="19"/>
      <c r="V555" s="19"/>
      <c r="W555" s="20"/>
      <c r="X555" s="43"/>
    </row>
    <row r="556" spans="1:24" ht="15.75" hidden="1" customHeight="1" x14ac:dyDescent="0.25">
      <c r="A556" s="16"/>
      <c r="B556" s="16" t="str">
        <f t="shared" si="2"/>
        <v/>
      </c>
      <c r="C556" s="16"/>
      <c r="D556" s="40"/>
      <c r="E556" s="16"/>
      <c r="F556" s="41"/>
      <c r="G556" s="16"/>
      <c r="H556" s="16"/>
      <c r="I556" s="16"/>
      <c r="J556" s="22"/>
      <c r="K556" s="16"/>
      <c r="L556" s="50"/>
      <c r="M556" s="16"/>
      <c r="N556" s="19"/>
      <c r="O556" s="19"/>
      <c r="P556" s="19"/>
      <c r="Q556" s="19"/>
      <c r="R556" s="19"/>
      <c r="S556" s="19"/>
      <c r="T556" s="19"/>
      <c r="U556" s="19"/>
      <c r="V556" s="19"/>
      <c r="W556" s="20"/>
      <c r="X556" s="43"/>
    </row>
    <row r="557" spans="1:24" ht="15.75" hidden="1" customHeight="1" x14ac:dyDescent="0.25">
      <c r="A557" s="16"/>
      <c r="B557" s="16" t="str">
        <f t="shared" si="2"/>
        <v/>
      </c>
      <c r="C557" s="16"/>
      <c r="D557" s="40"/>
      <c r="E557" s="16"/>
      <c r="F557" s="41"/>
      <c r="G557" s="16"/>
      <c r="H557" s="16"/>
      <c r="I557" s="16"/>
      <c r="J557" s="22"/>
      <c r="K557" s="16"/>
      <c r="L557" s="50"/>
      <c r="M557" s="16"/>
      <c r="N557" s="19"/>
      <c r="O557" s="19"/>
      <c r="P557" s="19"/>
      <c r="Q557" s="19"/>
      <c r="R557" s="19"/>
      <c r="S557" s="19"/>
      <c r="T557" s="19"/>
      <c r="U557" s="19"/>
      <c r="V557" s="19"/>
      <c r="W557" s="20"/>
      <c r="X557" s="43"/>
    </row>
    <row r="558" spans="1:24" ht="15.75" hidden="1" customHeight="1" x14ac:dyDescent="0.25">
      <c r="A558" s="16"/>
      <c r="B558" s="16" t="str">
        <f t="shared" si="2"/>
        <v/>
      </c>
      <c r="C558" s="16"/>
      <c r="D558" s="40"/>
      <c r="E558" s="16"/>
      <c r="F558" s="41"/>
      <c r="G558" s="16"/>
      <c r="H558" s="16"/>
      <c r="I558" s="16"/>
      <c r="J558" s="22"/>
      <c r="K558" s="16"/>
      <c r="L558" s="50"/>
      <c r="M558" s="16"/>
      <c r="N558" s="19"/>
      <c r="O558" s="19"/>
      <c r="P558" s="19"/>
      <c r="Q558" s="19"/>
      <c r="R558" s="19"/>
      <c r="S558" s="19"/>
      <c r="T558" s="19"/>
      <c r="U558" s="19"/>
      <c r="V558" s="19"/>
      <c r="W558" s="20"/>
      <c r="X558" s="43"/>
    </row>
    <row r="559" spans="1:24" ht="15.75" hidden="1" customHeight="1" x14ac:dyDescent="0.25">
      <c r="A559" s="16"/>
      <c r="B559" s="16" t="str">
        <f t="shared" si="2"/>
        <v/>
      </c>
      <c r="C559" s="16"/>
      <c r="D559" s="40"/>
      <c r="E559" s="16"/>
      <c r="F559" s="41"/>
      <c r="G559" s="16"/>
      <c r="H559" s="16"/>
      <c r="I559" s="16"/>
      <c r="J559" s="22"/>
      <c r="K559" s="16"/>
      <c r="L559" s="50"/>
      <c r="M559" s="16"/>
      <c r="N559" s="19"/>
      <c r="O559" s="19"/>
      <c r="P559" s="19"/>
      <c r="Q559" s="19"/>
      <c r="R559" s="19"/>
      <c r="S559" s="19"/>
      <c r="T559" s="19"/>
      <c r="U559" s="19"/>
      <c r="V559" s="19"/>
      <c r="W559" s="20"/>
      <c r="X559" s="43"/>
    </row>
    <row r="560" spans="1:24" ht="15.75" hidden="1" customHeight="1" x14ac:dyDescent="0.25">
      <c r="A560" s="16"/>
      <c r="B560" s="16" t="str">
        <f t="shared" ref="B560:B814" si="3">MID(X560,17,30)</f>
        <v/>
      </c>
      <c r="C560" s="16"/>
      <c r="D560" s="40"/>
      <c r="E560" s="16"/>
      <c r="F560" s="41"/>
      <c r="G560" s="16"/>
      <c r="H560" s="16"/>
      <c r="I560" s="16"/>
      <c r="J560" s="22"/>
      <c r="K560" s="16"/>
      <c r="L560" s="50"/>
      <c r="M560" s="16"/>
      <c r="N560" s="19"/>
      <c r="O560" s="19"/>
      <c r="P560" s="19"/>
      <c r="Q560" s="19"/>
      <c r="R560" s="19"/>
      <c r="S560" s="19"/>
      <c r="T560" s="19"/>
      <c r="U560" s="19"/>
      <c r="V560" s="19"/>
      <c r="W560" s="20"/>
      <c r="X560" s="43"/>
    </row>
    <row r="561" spans="1:24" ht="15.75" hidden="1" customHeight="1" x14ac:dyDescent="0.25">
      <c r="A561" s="16"/>
      <c r="B561" s="16" t="str">
        <f t="shared" si="3"/>
        <v/>
      </c>
      <c r="C561" s="16"/>
      <c r="D561" s="40"/>
      <c r="E561" s="16"/>
      <c r="F561" s="41"/>
      <c r="G561" s="16"/>
      <c r="H561" s="16"/>
      <c r="I561" s="16"/>
      <c r="J561" s="22"/>
      <c r="K561" s="16"/>
      <c r="L561" s="50"/>
      <c r="M561" s="16"/>
      <c r="N561" s="19"/>
      <c r="O561" s="19"/>
      <c r="P561" s="19"/>
      <c r="Q561" s="19"/>
      <c r="R561" s="19"/>
      <c r="S561" s="19"/>
      <c r="T561" s="19"/>
      <c r="U561" s="19"/>
      <c r="V561" s="19"/>
      <c r="W561" s="20"/>
      <c r="X561" s="43"/>
    </row>
    <row r="562" spans="1:24" ht="15.75" hidden="1" customHeight="1" x14ac:dyDescent="0.25">
      <c r="A562" s="16"/>
      <c r="B562" s="16" t="str">
        <f t="shared" si="3"/>
        <v/>
      </c>
      <c r="C562" s="16"/>
      <c r="D562" s="40"/>
      <c r="E562" s="16"/>
      <c r="F562" s="41"/>
      <c r="G562" s="16"/>
      <c r="H562" s="16"/>
      <c r="I562" s="16"/>
      <c r="J562" s="22"/>
      <c r="K562" s="16"/>
      <c r="L562" s="50"/>
      <c r="M562" s="16"/>
      <c r="N562" s="19"/>
      <c r="O562" s="19"/>
      <c r="P562" s="19"/>
      <c r="Q562" s="19"/>
      <c r="R562" s="19"/>
      <c r="S562" s="19"/>
      <c r="T562" s="19"/>
      <c r="U562" s="19"/>
      <c r="V562" s="19"/>
      <c r="W562" s="20"/>
      <c r="X562" s="43"/>
    </row>
    <row r="563" spans="1:24" ht="15.75" hidden="1" customHeight="1" x14ac:dyDescent="0.25">
      <c r="A563" s="16"/>
      <c r="B563" s="16" t="str">
        <f t="shared" si="3"/>
        <v/>
      </c>
      <c r="C563" s="16"/>
      <c r="D563" s="40"/>
      <c r="E563" s="16"/>
      <c r="F563" s="41"/>
      <c r="G563" s="16"/>
      <c r="H563" s="16"/>
      <c r="I563" s="16"/>
      <c r="J563" s="22"/>
      <c r="K563" s="16"/>
      <c r="L563" s="50"/>
      <c r="M563" s="16"/>
      <c r="N563" s="19"/>
      <c r="O563" s="19"/>
      <c r="P563" s="19"/>
      <c r="Q563" s="19"/>
      <c r="R563" s="19"/>
      <c r="S563" s="19"/>
      <c r="T563" s="19"/>
      <c r="U563" s="19"/>
      <c r="V563" s="19"/>
      <c r="W563" s="20"/>
      <c r="X563" s="43"/>
    </row>
    <row r="564" spans="1:24" ht="15.75" hidden="1" customHeight="1" x14ac:dyDescent="0.25">
      <c r="A564" s="16"/>
      <c r="B564" s="16" t="str">
        <f t="shared" si="3"/>
        <v/>
      </c>
      <c r="C564" s="16"/>
      <c r="D564" s="40"/>
      <c r="E564" s="16"/>
      <c r="F564" s="41"/>
      <c r="G564" s="16"/>
      <c r="H564" s="16"/>
      <c r="I564" s="16"/>
      <c r="J564" s="22"/>
      <c r="K564" s="16"/>
      <c r="L564" s="50"/>
      <c r="M564" s="16"/>
      <c r="N564" s="19"/>
      <c r="O564" s="19"/>
      <c r="P564" s="19"/>
      <c r="Q564" s="19"/>
      <c r="R564" s="19"/>
      <c r="S564" s="19"/>
      <c r="T564" s="19"/>
      <c r="U564" s="19"/>
      <c r="V564" s="19"/>
      <c r="W564" s="20"/>
      <c r="X564" s="43"/>
    </row>
    <row r="565" spans="1:24" ht="15.75" hidden="1" customHeight="1" x14ac:dyDescent="0.25">
      <c r="A565" s="16"/>
      <c r="B565" s="16" t="str">
        <f t="shared" si="3"/>
        <v/>
      </c>
      <c r="C565" s="16"/>
      <c r="D565" s="40"/>
      <c r="E565" s="16"/>
      <c r="F565" s="41"/>
      <c r="G565" s="16"/>
      <c r="H565" s="16"/>
      <c r="I565" s="16"/>
      <c r="J565" s="22"/>
      <c r="K565" s="16"/>
      <c r="L565" s="50"/>
      <c r="M565" s="16"/>
      <c r="N565" s="19"/>
      <c r="O565" s="19"/>
      <c r="P565" s="19"/>
      <c r="Q565" s="19"/>
      <c r="R565" s="19"/>
      <c r="S565" s="19"/>
      <c r="T565" s="19"/>
      <c r="U565" s="19"/>
      <c r="V565" s="19"/>
      <c r="W565" s="20"/>
      <c r="X565" s="43"/>
    </row>
    <row r="566" spans="1:24" ht="15.75" hidden="1" customHeight="1" x14ac:dyDescent="0.25">
      <c r="A566" s="16"/>
      <c r="B566" s="16" t="str">
        <f t="shared" si="3"/>
        <v/>
      </c>
      <c r="C566" s="16"/>
      <c r="D566" s="40"/>
      <c r="E566" s="16"/>
      <c r="F566" s="41"/>
      <c r="G566" s="16"/>
      <c r="H566" s="16"/>
      <c r="I566" s="16"/>
      <c r="J566" s="22"/>
      <c r="K566" s="16"/>
      <c r="L566" s="50"/>
      <c r="M566" s="16"/>
      <c r="N566" s="19"/>
      <c r="O566" s="19"/>
      <c r="P566" s="19"/>
      <c r="Q566" s="19"/>
      <c r="R566" s="19"/>
      <c r="S566" s="19"/>
      <c r="T566" s="19"/>
      <c r="U566" s="19"/>
      <c r="V566" s="19"/>
      <c r="W566" s="20"/>
      <c r="X566" s="43"/>
    </row>
    <row r="567" spans="1:24" ht="15.75" hidden="1" customHeight="1" x14ac:dyDescent="0.25">
      <c r="A567" s="16"/>
      <c r="B567" s="16" t="str">
        <f t="shared" si="3"/>
        <v/>
      </c>
      <c r="C567" s="16"/>
      <c r="D567" s="40"/>
      <c r="E567" s="16"/>
      <c r="F567" s="41"/>
      <c r="G567" s="16"/>
      <c r="H567" s="16"/>
      <c r="I567" s="16"/>
      <c r="J567" s="22"/>
      <c r="K567" s="16"/>
      <c r="L567" s="50"/>
      <c r="M567" s="16"/>
      <c r="N567" s="19"/>
      <c r="O567" s="19"/>
      <c r="P567" s="19"/>
      <c r="Q567" s="19"/>
      <c r="R567" s="19"/>
      <c r="S567" s="19"/>
      <c r="T567" s="19"/>
      <c r="U567" s="19"/>
      <c r="V567" s="19"/>
      <c r="W567" s="20"/>
      <c r="X567" s="43"/>
    </row>
    <row r="568" spans="1:24" ht="15.75" hidden="1" customHeight="1" x14ac:dyDescent="0.25">
      <c r="A568" s="16"/>
      <c r="B568" s="16" t="str">
        <f t="shared" si="3"/>
        <v/>
      </c>
      <c r="C568" s="16"/>
      <c r="D568" s="40"/>
      <c r="E568" s="16"/>
      <c r="F568" s="41"/>
      <c r="G568" s="16"/>
      <c r="H568" s="16"/>
      <c r="I568" s="16"/>
      <c r="J568" s="22"/>
      <c r="K568" s="16"/>
      <c r="L568" s="50"/>
      <c r="M568" s="16"/>
      <c r="N568" s="19"/>
      <c r="O568" s="19"/>
      <c r="P568" s="19"/>
      <c r="Q568" s="19"/>
      <c r="R568" s="19"/>
      <c r="S568" s="19"/>
      <c r="T568" s="19"/>
      <c r="U568" s="19"/>
      <c r="V568" s="19"/>
      <c r="W568" s="20"/>
      <c r="X568" s="43"/>
    </row>
    <row r="569" spans="1:24" ht="15.75" hidden="1" customHeight="1" x14ac:dyDescent="0.25">
      <c r="A569" s="16"/>
      <c r="B569" s="16" t="str">
        <f t="shared" si="3"/>
        <v/>
      </c>
      <c r="C569" s="16"/>
      <c r="D569" s="40"/>
      <c r="E569" s="16"/>
      <c r="F569" s="41"/>
      <c r="G569" s="16"/>
      <c r="H569" s="16"/>
      <c r="I569" s="16"/>
      <c r="J569" s="22"/>
      <c r="K569" s="16"/>
      <c r="L569" s="50"/>
      <c r="M569" s="16"/>
      <c r="N569" s="19"/>
      <c r="O569" s="19"/>
      <c r="P569" s="19"/>
      <c r="Q569" s="19"/>
      <c r="R569" s="19"/>
      <c r="S569" s="19"/>
      <c r="T569" s="19"/>
      <c r="U569" s="19"/>
      <c r="V569" s="19"/>
      <c r="W569" s="20"/>
      <c r="X569" s="43"/>
    </row>
    <row r="570" spans="1:24" ht="15.75" hidden="1" customHeight="1" x14ac:dyDescent="0.25">
      <c r="A570" s="16"/>
      <c r="B570" s="16" t="str">
        <f t="shared" si="3"/>
        <v/>
      </c>
      <c r="C570" s="16"/>
      <c r="D570" s="40"/>
      <c r="E570" s="16"/>
      <c r="F570" s="41"/>
      <c r="G570" s="16"/>
      <c r="H570" s="16"/>
      <c r="I570" s="16"/>
      <c r="J570" s="22"/>
      <c r="K570" s="16"/>
      <c r="L570" s="50"/>
      <c r="M570" s="16"/>
      <c r="N570" s="19"/>
      <c r="O570" s="19"/>
      <c r="P570" s="19"/>
      <c r="Q570" s="19"/>
      <c r="R570" s="19"/>
      <c r="S570" s="19"/>
      <c r="T570" s="19"/>
      <c r="U570" s="19"/>
      <c r="V570" s="19"/>
      <c r="W570" s="20"/>
      <c r="X570" s="43"/>
    </row>
    <row r="571" spans="1:24" ht="15.75" hidden="1" customHeight="1" x14ac:dyDescent="0.25">
      <c r="A571" s="16"/>
      <c r="B571" s="16" t="str">
        <f t="shared" si="3"/>
        <v/>
      </c>
      <c r="C571" s="16"/>
      <c r="D571" s="40"/>
      <c r="E571" s="16"/>
      <c r="F571" s="41"/>
      <c r="G571" s="16"/>
      <c r="H571" s="16"/>
      <c r="I571" s="16"/>
      <c r="J571" s="22"/>
      <c r="K571" s="16"/>
      <c r="L571" s="50"/>
      <c r="M571" s="16"/>
      <c r="N571" s="19"/>
      <c r="O571" s="19"/>
      <c r="P571" s="19"/>
      <c r="Q571" s="19"/>
      <c r="R571" s="19"/>
      <c r="S571" s="19"/>
      <c r="T571" s="19"/>
      <c r="U571" s="19"/>
      <c r="V571" s="19"/>
      <c r="W571" s="20"/>
      <c r="X571" s="43"/>
    </row>
    <row r="572" spans="1:24" ht="15.75" hidden="1" customHeight="1" x14ac:dyDescent="0.25">
      <c r="A572" s="16"/>
      <c r="B572" s="16" t="str">
        <f t="shared" si="3"/>
        <v/>
      </c>
      <c r="C572" s="16"/>
      <c r="D572" s="40"/>
      <c r="E572" s="16"/>
      <c r="F572" s="41"/>
      <c r="G572" s="16"/>
      <c r="H572" s="16"/>
      <c r="I572" s="16"/>
      <c r="J572" s="22"/>
      <c r="K572" s="16"/>
      <c r="L572" s="50"/>
      <c r="M572" s="16"/>
      <c r="N572" s="19"/>
      <c r="O572" s="19"/>
      <c r="P572" s="19"/>
      <c r="Q572" s="19"/>
      <c r="R572" s="19"/>
      <c r="S572" s="19"/>
      <c r="T572" s="19"/>
      <c r="U572" s="19"/>
      <c r="V572" s="19"/>
      <c r="W572" s="20"/>
      <c r="X572" s="43"/>
    </row>
    <row r="573" spans="1:24" ht="15.75" hidden="1" customHeight="1" x14ac:dyDescent="0.25">
      <c r="A573" s="16"/>
      <c r="B573" s="16" t="str">
        <f t="shared" si="3"/>
        <v/>
      </c>
      <c r="C573" s="16"/>
      <c r="D573" s="40"/>
      <c r="E573" s="16"/>
      <c r="F573" s="41"/>
      <c r="G573" s="16"/>
      <c r="H573" s="16"/>
      <c r="I573" s="16"/>
      <c r="J573" s="22"/>
      <c r="K573" s="16"/>
      <c r="L573" s="50"/>
      <c r="M573" s="16"/>
      <c r="N573" s="19"/>
      <c r="O573" s="19"/>
      <c r="P573" s="19"/>
      <c r="Q573" s="19"/>
      <c r="R573" s="19"/>
      <c r="S573" s="19"/>
      <c r="T573" s="19"/>
      <c r="U573" s="19"/>
      <c r="V573" s="19"/>
      <c r="W573" s="20"/>
      <c r="X573" s="43"/>
    </row>
    <row r="574" spans="1:24" ht="15.75" hidden="1" customHeight="1" x14ac:dyDescent="0.25">
      <c r="A574" s="16"/>
      <c r="B574" s="16" t="str">
        <f t="shared" si="3"/>
        <v/>
      </c>
      <c r="C574" s="16"/>
      <c r="D574" s="40"/>
      <c r="E574" s="16"/>
      <c r="F574" s="41"/>
      <c r="G574" s="16"/>
      <c r="H574" s="16"/>
      <c r="I574" s="16"/>
      <c r="J574" s="22"/>
      <c r="K574" s="16"/>
      <c r="L574" s="50"/>
      <c r="M574" s="16"/>
      <c r="N574" s="19"/>
      <c r="O574" s="19"/>
      <c r="P574" s="19"/>
      <c r="Q574" s="19"/>
      <c r="R574" s="19"/>
      <c r="S574" s="19"/>
      <c r="T574" s="19"/>
      <c r="U574" s="19"/>
      <c r="V574" s="19"/>
      <c r="W574" s="20"/>
      <c r="X574" s="43"/>
    </row>
    <row r="575" spans="1:24" ht="15.75" hidden="1" customHeight="1" x14ac:dyDescent="0.25">
      <c r="A575" s="16"/>
      <c r="B575" s="16" t="str">
        <f t="shared" si="3"/>
        <v/>
      </c>
      <c r="C575" s="16"/>
      <c r="D575" s="40"/>
      <c r="E575" s="16"/>
      <c r="F575" s="41"/>
      <c r="G575" s="16"/>
      <c r="H575" s="16"/>
      <c r="I575" s="16"/>
      <c r="J575" s="22"/>
      <c r="K575" s="16"/>
      <c r="L575" s="50"/>
      <c r="M575" s="16"/>
      <c r="N575" s="19"/>
      <c r="O575" s="19"/>
      <c r="P575" s="19"/>
      <c r="Q575" s="19"/>
      <c r="R575" s="19"/>
      <c r="S575" s="19"/>
      <c r="T575" s="19"/>
      <c r="U575" s="19"/>
      <c r="V575" s="19"/>
      <c r="W575" s="20"/>
      <c r="X575" s="43"/>
    </row>
    <row r="576" spans="1:24" ht="15.75" hidden="1" customHeight="1" x14ac:dyDescent="0.25">
      <c r="A576" s="16"/>
      <c r="B576" s="16" t="str">
        <f t="shared" si="3"/>
        <v/>
      </c>
      <c r="C576" s="16"/>
      <c r="D576" s="40"/>
      <c r="E576" s="16"/>
      <c r="F576" s="41"/>
      <c r="G576" s="16"/>
      <c r="H576" s="16"/>
      <c r="I576" s="16"/>
      <c r="J576" s="22"/>
      <c r="K576" s="16"/>
      <c r="L576" s="50"/>
      <c r="M576" s="16"/>
      <c r="N576" s="19"/>
      <c r="O576" s="19"/>
      <c r="P576" s="19"/>
      <c r="Q576" s="19"/>
      <c r="R576" s="19"/>
      <c r="S576" s="19"/>
      <c r="T576" s="19"/>
      <c r="U576" s="19"/>
      <c r="V576" s="19"/>
      <c r="W576" s="20"/>
      <c r="X576" s="43"/>
    </row>
    <row r="577" spans="1:24" ht="15.75" hidden="1" customHeight="1" x14ac:dyDescent="0.25">
      <c r="A577" s="16"/>
      <c r="B577" s="16" t="str">
        <f t="shared" si="3"/>
        <v/>
      </c>
      <c r="C577" s="16"/>
      <c r="D577" s="40"/>
      <c r="E577" s="16"/>
      <c r="F577" s="41"/>
      <c r="G577" s="16"/>
      <c r="H577" s="16"/>
      <c r="I577" s="16"/>
      <c r="J577" s="22"/>
      <c r="K577" s="16"/>
      <c r="L577" s="50"/>
      <c r="M577" s="16"/>
      <c r="N577" s="19"/>
      <c r="O577" s="19"/>
      <c r="P577" s="19"/>
      <c r="Q577" s="19"/>
      <c r="R577" s="19"/>
      <c r="S577" s="19"/>
      <c r="T577" s="19"/>
      <c r="U577" s="19"/>
      <c r="V577" s="19"/>
      <c r="W577" s="20"/>
      <c r="X577" s="43"/>
    </row>
    <row r="578" spans="1:24" ht="15.75" hidden="1" customHeight="1" x14ac:dyDescent="0.25">
      <c r="A578" s="16"/>
      <c r="B578" s="16" t="str">
        <f t="shared" si="3"/>
        <v/>
      </c>
      <c r="C578" s="16"/>
      <c r="D578" s="40"/>
      <c r="E578" s="16"/>
      <c r="F578" s="41"/>
      <c r="G578" s="16"/>
      <c r="H578" s="16"/>
      <c r="I578" s="16"/>
      <c r="J578" s="22"/>
      <c r="K578" s="16"/>
      <c r="L578" s="50"/>
      <c r="M578" s="16"/>
      <c r="N578" s="19"/>
      <c r="O578" s="19"/>
      <c r="P578" s="19"/>
      <c r="Q578" s="19"/>
      <c r="R578" s="19"/>
      <c r="S578" s="19"/>
      <c r="T578" s="19"/>
      <c r="U578" s="19"/>
      <c r="V578" s="19"/>
      <c r="W578" s="20"/>
      <c r="X578" s="43"/>
    </row>
    <row r="579" spans="1:24" ht="15.75" hidden="1" customHeight="1" x14ac:dyDescent="0.25">
      <c r="A579" s="16"/>
      <c r="B579" s="16" t="str">
        <f t="shared" si="3"/>
        <v/>
      </c>
      <c r="C579" s="16"/>
      <c r="D579" s="40"/>
      <c r="E579" s="16"/>
      <c r="F579" s="41"/>
      <c r="G579" s="16"/>
      <c r="H579" s="16"/>
      <c r="I579" s="16"/>
      <c r="J579" s="22"/>
      <c r="K579" s="16"/>
      <c r="L579" s="50"/>
      <c r="M579" s="16"/>
      <c r="N579" s="19"/>
      <c r="O579" s="19"/>
      <c r="P579" s="19"/>
      <c r="Q579" s="19"/>
      <c r="R579" s="19"/>
      <c r="S579" s="19"/>
      <c r="T579" s="19"/>
      <c r="U579" s="19"/>
      <c r="V579" s="19"/>
      <c r="W579" s="20"/>
      <c r="X579" s="43"/>
    </row>
    <row r="580" spans="1:24" ht="15.75" hidden="1" customHeight="1" x14ac:dyDescent="0.25">
      <c r="A580" s="16"/>
      <c r="B580" s="16" t="str">
        <f t="shared" si="3"/>
        <v/>
      </c>
      <c r="C580" s="16"/>
      <c r="D580" s="40"/>
      <c r="E580" s="16"/>
      <c r="F580" s="41"/>
      <c r="G580" s="16"/>
      <c r="H580" s="16"/>
      <c r="I580" s="16"/>
      <c r="J580" s="22"/>
      <c r="K580" s="16"/>
      <c r="L580" s="50"/>
      <c r="M580" s="16"/>
      <c r="N580" s="19"/>
      <c r="O580" s="19"/>
      <c r="P580" s="19"/>
      <c r="Q580" s="19"/>
      <c r="R580" s="19"/>
      <c r="S580" s="19"/>
      <c r="T580" s="19"/>
      <c r="U580" s="19"/>
      <c r="V580" s="19"/>
      <c r="W580" s="20"/>
      <c r="X580" s="43"/>
    </row>
    <row r="581" spans="1:24" ht="15.75" hidden="1" customHeight="1" x14ac:dyDescent="0.25">
      <c r="A581" s="16"/>
      <c r="B581" s="16" t="str">
        <f t="shared" si="3"/>
        <v/>
      </c>
      <c r="C581" s="16"/>
      <c r="D581" s="40"/>
      <c r="E581" s="16"/>
      <c r="F581" s="41"/>
      <c r="G581" s="16"/>
      <c r="H581" s="16"/>
      <c r="I581" s="16"/>
      <c r="J581" s="22"/>
      <c r="K581" s="16"/>
      <c r="L581" s="50"/>
      <c r="M581" s="16"/>
      <c r="N581" s="19"/>
      <c r="O581" s="19"/>
      <c r="P581" s="19"/>
      <c r="Q581" s="19"/>
      <c r="R581" s="19"/>
      <c r="S581" s="19"/>
      <c r="T581" s="19"/>
      <c r="U581" s="19"/>
      <c r="V581" s="19"/>
      <c r="W581" s="20"/>
      <c r="X581" s="43"/>
    </row>
    <row r="582" spans="1:24" ht="15.75" hidden="1" customHeight="1" x14ac:dyDescent="0.25">
      <c r="A582" s="16"/>
      <c r="B582" s="16" t="str">
        <f t="shared" si="3"/>
        <v/>
      </c>
      <c r="C582" s="16"/>
      <c r="D582" s="40"/>
      <c r="E582" s="16"/>
      <c r="F582" s="41"/>
      <c r="G582" s="16"/>
      <c r="H582" s="16"/>
      <c r="I582" s="16"/>
      <c r="J582" s="22"/>
      <c r="K582" s="16"/>
      <c r="L582" s="50"/>
      <c r="M582" s="16"/>
      <c r="N582" s="19"/>
      <c r="O582" s="19"/>
      <c r="P582" s="19"/>
      <c r="Q582" s="19"/>
      <c r="R582" s="19"/>
      <c r="S582" s="19"/>
      <c r="T582" s="19"/>
      <c r="U582" s="19"/>
      <c r="V582" s="19"/>
      <c r="W582" s="20"/>
      <c r="X582" s="43"/>
    </row>
    <row r="583" spans="1:24" ht="15.75" hidden="1" customHeight="1" x14ac:dyDescent="0.25">
      <c r="A583" s="16"/>
      <c r="B583" s="16" t="str">
        <f t="shared" si="3"/>
        <v/>
      </c>
      <c r="C583" s="16"/>
      <c r="D583" s="40"/>
      <c r="E583" s="16"/>
      <c r="F583" s="41"/>
      <c r="G583" s="16"/>
      <c r="H583" s="16"/>
      <c r="I583" s="16"/>
      <c r="J583" s="22"/>
      <c r="K583" s="16"/>
      <c r="L583" s="50"/>
      <c r="M583" s="16"/>
      <c r="N583" s="19"/>
      <c r="O583" s="19"/>
      <c r="P583" s="19"/>
      <c r="Q583" s="19"/>
      <c r="R583" s="19"/>
      <c r="S583" s="19"/>
      <c r="T583" s="19"/>
      <c r="U583" s="19"/>
      <c r="V583" s="19"/>
      <c r="W583" s="20"/>
      <c r="X583" s="43"/>
    </row>
    <row r="584" spans="1:24" ht="15.75" hidden="1" customHeight="1" x14ac:dyDescent="0.25">
      <c r="A584" s="16"/>
      <c r="B584" s="16" t="str">
        <f t="shared" si="3"/>
        <v/>
      </c>
      <c r="C584" s="16"/>
      <c r="D584" s="40"/>
      <c r="E584" s="16"/>
      <c r="F584" s="41"/>
      <c r="G584" s="16"/>
      <c r="H584" s="16"/>
      <c r="I584" s="16"/>
      <c r="J584" s="22"/>
      <c r="K584" s="16"/>
      <c r="L584" s="50"/>
      <c r="M584" s="16"/>
      <c r="N584" s="19"/>
      <c r="O584" s="19"/>
      <c r="P584" s="19"/>
      <c r="Q584" s="19"/>
      <c r="R584" s="19"/>
      <c r="S584" s="19"/>
      <c r="T584" s="19"/>
      <c r="U584" s="19"/>
      <c r="V584" s="19"/>
      <c r="W584" s="20"/>
      <c r="X584" s="43"/>
    </row>
    <row r="585" spans="1:24" ht="15.75" hidden="1" customHeight="1" x14ac:dyDescent="0.25">
      <c r="A585" s="16"/>
      <c r="B585" s="16" t="str">
        <f t="shared" si="3"/>
        <v/>
      </c>
      <c r="C585" s="16"/>
      <c r="D585" s="40"/>
      <c r="E585" s="16"/>
      <c r="F585" s="41"/>
      <c r="G585" s="16"/>
      <c r="H585" s="16"/>
      <c r="I585" s="16"/>
      <c r="J585" s="22"/>
      <c r="K585" s="16"/>
      <c r="L585" s="50"/>
      <c r="M585" s="16"/>
      <c r="N585" s="19"/>
      <c r="O585" s="19"/>
      <c r="P585" s="19"/>
      <c r="Q585" s="19"/>
      <c r="R585" s="19"/>
      <c r="S585" s="19"/>
      <c r="T585" s="19"/>
      <c r="U585" s="19"/>
      <c r="V585" s="19"/>
      <c r="W585" s="20"/>
      <c r="X585" s="43"/>
    </row>
    <row r="586" spans="1:24" ht="15.75" hidden="1" customHeight="1" x14ac:dyDescent="0.25">
      <c r="A586" s="16"/>
      <c r="B586" s="16" t="str">
        <f t="shared" si="3"/>
        <v/>
      </c>
      <c r="C586" s="16"/>
      <c r="D586" s="40"/>
      <c r="E586" s="16"/>
      <c r="F586" s="41"/>
      <c r="G586" s="16"/>
      <c r="H586" s="16"/>
      <c r="I586" s="16"/>
      <c r="J586" s="22"/>
      <c r="K586" s="16"/>
      <c r="L586" s="50"/>
      <c r="M586" s="16"/>
      <c r="N586" s="19"/>
      <c r="O586" s="19"/>
      <c r="P586" s="19"/>
      <c r="Q586" s="19"/>
      <c r="R586" s="19"/>
      <c r="S586" s="19"/>
      <c r="T586" s="19"/>
      <c r="U586" s="19"/>
      <c r="V586" s="19"/>
      <c r="W586" s="20"/>
      <c r="X586" s="43"/>
    </row>
    <row r="587" spans="1:24" ht="15.75" hidden="1" customHeight="1" x14ac:dyDescent="0.25">
      <c r="A587" s="16"/>
      <c r="B587" s="16" t="str">
        <f t="shared" si="3"/>
        <v/>
      </c>
      <c r="C587" s="16"/>
      <c r="D587" s="40"/>
      <c r="E587" s="16"/>
      <c r="F587" s="41"/>
      <c r="G587" s="16"/>
      <c r="H587" s="16"/>
      <c r="I587" s="16"/>
      <c r="J587" s="22"/>
      <c r="K587" s="16"/>
      <c r="L587" s="50"/>
      <c r="M587" s="16"/>
      <c r="N587" s="19"/>
      <c r="O587" s="19"/>
      <c r="P587" s="19"/>
      <c r="Q587" s="19"/>
      <c r="R587" s="19"/>
      <c r="S587" s="19"/>
      <c r="T587" s="19"/>
      <c r="U587" s="19"/>
      <c r="V587" s="19"/>
      <c r="W587" s="20"/>
      <c r="X587" s="43"/>
    </row>
    <row r="588" spans="1:24" ht="15.75" hidden="1" customHeight="1" x14ac:dyDescent="0.25">
      <c r="A588" s="16"/>
      <c r="B588" s="16" t="str">
        <f t="shared" si="3"/>
        <v/>
      </c>
      <c r="C588" s="16"/>
      <c r="D588" s="40"/>
      <c r="E588" s="16"/>
      <c r="F588" s="41"/>
      <c r="G588" s="16"/>
      <c r="H588" s="16"/>
      <c r="I588" s="16"/>
      <c r="J588" s="22"/>
      <c r="K588" s="16"/>
      <c r="L588" s="50"/>
      <c r="M588" s="16"/>
      <c r="N588" s="19"/>
      <c r="O588" s="19"/>
      <c r="P588" s="19"/>
      <c r="Q588" s="19"/>
      <c r="R588" s="19"/>
      <c r="S588" s="19"/>
      <c r="T588" s="19"/>
      <c r="U588" s="19"/>
      <c r="V588" s="19"/>
      <c r="W588" s="20"/>
      <c r="X588" s="43"/>
    </row>
    <row r="589" spans="1:24" ht="15.75" hidden="1" customHeight="1" x14ac:dyDescent="0.25">
      <c r="A589" s="16"/>
      <c r="B589" s="16" t="str">
        <f t="shared" si="3"/>
        <v/>
      </c>
      <c r="C589" s="16"/>
      <c r="D589" s="40"/>
      <c r="E589" s="16"/>
      <c r="F589" s="41"/>
      <c r="G589" s="16"/>
      <c r="H589" s="16"/>
      <c r="I589" s="16"/>
      <c r="J589" s="22"/>
      <c r="K589" s="16"/>
      <c r="L589" s="50"/>
      <c r="M589" s="16"/>
      <c r="N589" s="19"/>
      <c r="O589" s="19"/>
      <c r="P589" s="19"/>
      <c r="Q589" s="19"/>
      <c r="R589" s="19"/>
      <c r="S589" s="19"/>
      <c r="T589" s="19"/>
      <c r="U589" s="19"/>
      <c r="V589" s="19"/>
      <c r="W589" s="20"/>
      <c r="X589" s="43"/>
    </row>
    <row r="590" spans="1:24" ht="15.75" hidden="1" customHeight="1" x14ac:dyDescent="0.25">
      <c r="A590" s="16"/>
      <c r="B590" s="16" t="str">
        <f t="shared" si="3"/>
        <v/>
      </c>
      <c r="C590" s="16"/>
      <c r="D590" s="40"/>
      <c r="E590" s="16"/>
      <c r="F590" s="41"/>
      <c r="G590" s="16"/>
      <c r="H590" s="16"/>
      <c r="I590" s="16"/>
      <c r="J590" s="22"/>
      <c r="K590" s="16"/>
      <c r="L590" s="50"/>
      <c r="M590" s="16"/>
      <c r="N590" s="19"/>
      <c r="O590" s="19"/>
      <c r="P590" s="19"/>
      <c r="Q590" s="19"/>
      <c r="R590" s="19"/>
      <c r="S590" s="19"/>
      <c r="T590" s="19"/>
      <c r="U590" s="19"/>
      <c r="V590" s="19"/>
      <c r="W590" s="20"/>
      <c r="X590" s="43"/>
    </row>
    <row r="591" spans="1:24" ht="15.75" hidden="1" customHeight="1" x14ac:dyDescent="0.25">
      <c r="A591" s="16"/>
      <c r="B591" s="16" t="str">
        <f t="shared" si="3"/>
        <v/>
      </c>
      <c r="C591" s="16"/>
      <c r="D591" s="40"/>
      <c r="E591" s="16"/>
      <c r="F591" s="41"/>
      <c r="G591" s="16"/>
      <c r="H591" s="16"/>
      <c r="I591" s="16"/>
      <c r="J591" s="22"/>
      <c r="K591" s="16"/>
      <c r="L591" s="50"/>
      <c r="M591" s="16"/>
      <c r="N591" s="19"/>
      <c r="O591" s="19"/>
      <c r="P591" s="19"/>
      <c r="Q591" s="19"/>
      <c r="R591" s="19"/>
      <c r="S591" s="19"/>
      <c r="T591" s="19"/>
      <c r="U591" s="19"/>
      <c r="V591" s="19"/>
      <c r="W591" s="20"/>
      <c r="X591" s="43"/>
    </row>
    <row r="592" spans="1:24" ht="15.75" hidden="1" customHeight="1" x14ac:dyDescent="0.25">
      <c r="A592" s="16"/>
      <c r="B592" s="16" t="str">
        <f t="shared" si="3"/>
        <v/>
      </c>
      <c r="C592" s="16"/>
      <c r="D592" s="40"/>
      <c r="E592" s="16"/>
      <c r="F592" s="41"/>
      <c r="G592" s="16"/>
      <c r="H592" s="16"/>
      <c r="I592" s="16"/>
      <c r="J592" s="22"/>
      <c r="K592" s="16"/>
      <c r="L592" s="50"/>
      <c r="M592" s="16"/>
      <c r="N592" s="19"/>
      <c r="O592" s="19"/>
      <c r="P592" s="19"/>
      <c r="Q592" s="19"/>
      <c r="R592" s="19"/>
      <c r="S592" s="19"/>
      <c r="T592" s="19"/>
      <c r="U592" s="19"/>
      <c r="V592" s="19"/>
      <c r="W592" s="20"/>
      <c r="X592" s="43"/>
    </row>
    <row r="593" spans="1:24" ht="15.75" hidden="1" customHeight="1" x14ac:dyDescent="0.25">
      <c r="A593" s="16"/>
      <c r="B593" s="16" t="str">
        <f t="shared" si="3"/>
        <v/>
      </c>
      <c r="C593" s="16"/>
      <c r="D593" s="40"/>
      <c r="E593" s="16"/>
      <c r="F593" s="41"/>
      <c r="G593" s="16"/>
      <c r="H593" s="16"/>
      <c r="I593" s="16"/>
      <c r="J593" s="22"/>
      <c r="K593" s="16"/>
      <c r="L593" s="50"/>
      <c r="M593" s="16"/>
      <c r="N593" s="19"/>
      <c r="O593" s="19"/>
      <c r="P593" s="19"/>
      <c r="Q593" s="19"/>
      <c r="R593" s="19"/>
      <c r="S593" s="19"/>
      <c r="T593" s="19"/>
      <c r="U593" s="19"/>
      <c r="V593" s="19"/>
      <c r="W593" s="20"/>
      <c r="X593" s="43"/>
    </row>
    <row r="594" spans="1:24" ht="15.75" hidden="1" customHeight="1" x14ac:dyDescent="0.25">
      <c r="A594" s="16"/>
      <c r="B594" s="16" t="str">
        <f t="shared" si="3"/>
        <v/>
      </c>
      <c r="C594" s="16"/>
      <c r="D594" s="40"/>
      <c r="E594" s="16"/>
      <c r="F594" s="41"/>
      <c r="G594" s="16"/>
      <c r="H594" s="16"/>
      <c r="I594" s="16"/>
      <c r="J594" s="22"/>
      <c r="K594" s="16"/>
      <c r="L594" s="50"/>
      <c r="M594" s="16"/>
      <c r="N594" s="19"/>
      <c r="O594" s="19"/>
      <c r="P594" s="19"/>
      <c r="Q594" s="19"/>
      <c r="R594" s="19"/>
      <c r="S594" s="19"/>
      <c r="T594" s="19"/>
      <c r="U594" s="19"/>
      <c r="V594" s="19"/>
      <c r="W594" s="20"/>
      <c r="X594" s="43"/>
    </row>
    <row r="595" spans="1:24" ht="15.75" hidden="1" customHeight="1" x14ac:dyDescent="0.25">
      <c r="A595" s="16"/>
      <c r="B595" s="16" t="str">
        <f t="shared" si="3"/>
        <v/>
      </c>
      <c r="C595" s="16"/>
      <c r="D595" s="40"/>
      <c r="E595" s="16"/>
      <c r="F595" s="41"/>
      <c r="G595" s="16"/>
      <c r="H595" s="16"/>
      <c r="I595" s="16"/>
      <c r="J595" s="22"/>
      <c r="K595" s="16"/>
      <c r="L595" s="50"/>
      <c r="M595" s="16"/>
      <c r="N595" s="19"/>
      <c r="O595" s="19"/>
      <c r="P595" s="19"/>
      <c r="Q595" s="19"/>
      <c r="R595" s="19"/>
      <c r="S595" s="19"/>
      <c r="T595" s="19"/>
      <c r="U595" s="19"/>
      <c r="V595" s="19"/>
      <c r="W595" s="20"/>
      <c r="X595" s="43"/>
    </row>
    <row r="596" spans="1:24" ht="15.75" hidden="1" customHeight="1" x14ac:dyDescent="0.25">
      <c r="A596" s="16"/>
      <c r="B596" s="16" t="str">
        <f t="shared" si="3"/>
        <v/>
      </c>
      <c r="C596" s="16"/>
      <c r="D596" s="40"/>
      <c r="E596" s="16"/>
      <c r="F596" s="41"/>
      <c r="G596" s="16"/>
      <c r="H596" s="16"/>
      <c r="I596" s="16"/>
      <c r="J596" s="22"/>
      <c r="K596" s="16"/>
      <c r="L596" s="50"/>
      <c r="M596" s="16"/>
      <c r="N596" s="19"/>
      <c r="O596" s="19"/>
      <c r="P596" s="19"/>
      <c r="Q596" s="19"/>
      <c r="R596" s="19"/>
      <c r="S596" s="19"/>
      <c r="T596" s="19"/>
      <c r="U596" s="19"/>
      <c r="V596" s="19"/>
      <c r="W596" s="20"/>
      <c r="X596" s="43"/>
    </row>
    <row r="597" spans="1:24" ht="15.75" hidden="1" customHeight="1" x14ac:dyDescent="0.25">
      <c r="A597" s="16"/>
      <c r="B597" s="16" t="str">
        <f t="shared" si="3"/>
        <v/>
      </c>
      <c r="C597" s="16"/>
      <c r="D597" s="40"/>
      <c r="E597" s="16"/>
      <c r="F597" s="41"/>
      <c r="G597" s="16"/>
      <c r="H597" s="16"/>
      <c r="I597" s="16"/>
      <c r="J597" s="22"/>
      <c r="K597" s="16"/>
      <c r="L597" s="50"/>
      <c r="M597" s="16"/>
      <c r="N597" s="19"/>
      <c r="O597" s="19"/>
      <c r="P597" s="19"/>
      <c r="Q597" s="19"/>
      <c r="R597" s="19"/>
      <c r="S597" s="19"/>
      <c r="T597" s="19"/>
      <c r="U597" s="19"/>
      <c r="V597" s="19"/>
      <c r="W597" s="20"/>
      <c r="X597" s="43"/>
    </row>
    <row r="598" spans="1:24" ht="15.75" hidden="1" customHeight="1" x14ac:dyDescent="0.25">
      <c r="A598" s="16"/>
      <c r="B598" s="16" t="str">
        <f t="shared" si="3"/>
        <v/>
      </c>
      <c r="C598" s="16"/>
      <c r="D598" s="40"/>
      <c r="E598" s="16"/>
      <c r="F598" s="41"/>
      <c r="G598" s="16"/>
      <c r="H598" s="16"/>
      <c r="I598" s="16"/>
      <c r="J598" s="22"/>
      <c r="K598" s="16"/>
      <c r="L598" s="50"/>
      <c r="M598" s="16"/>
      <c r="N598" s="19"/>
      <c r="O598" s="19"/>
      <c r="P598" s="19"/>
      <c r="Q598" s="19"/>
      <c r="R598" s="19"/>
      <c r="S598" s="19"/>
      <c r="T598" s="19"/>
      <c r="U598" s="19"/>
      <c r="V598" s="19"/>
      <c r="W598" s="20"/>
      <c r="X598" s="43"/>
    </row>
    <row r="599" spans="1:24" ht="15.75" hidden="1" customHeight="1" x14ac:dyDescent="0.25">
      <c r="A599" s="16"/>
      <c r="B599" s="16" t="str">
        <f t="shared" si="3"/>
        <v/>
      </c>
      <c r="C599" s="16"/>
      <c r="D599" s="40"/>
      <c r="E599" s="16"/>
      <c r="F599" s="41"/>
      <c r="G599" s="16"/>
      <c r="H599" s="16"/>
      <c r="I599" s="16"/>
      <c r="J599" s="22"/>
      <c r="K599" s="16"/>
      <c r="L599" s="50"/>
      <c r="M599" s="16"/>
      <c r="N599" s="19"/>
      <c r="O599" s="19"/>
      <c r="P599" s="19"/>
      <c r="Q599" s="19"/>
      <c r="R599" s="19"/>
      <c r="S599" s="19"/>
      <c r="T599" s="19"/>
      <c r="U599" s="19"/>
      <c r="V599" s="19"/>
      <c r="W599" s="20"/>
      <c r="X599" s="43"/>
    </row>
    <row r="600" spans="1:24" ht="15.75" hidden="1" customHeight="1" x14ac:dyDescent="0.25">
      <c r="A600" s="16"/>
      <c r="B600" s="16" t="str">
        <f t="shared" si="3"/>
        <v/>
      </c>
      <c r="C600" s="16"/>
      <c r="D600" s="40"/>
      <c r="E600" s="16"/>
      <c r="F600" s="41"/>
      <c r="G600" s="16"/>
      <c r="H600" s="16"/>
      <c r="I600" s="16"/>
      <c r="J600" s="22"/>
      <c r="K600" s="16"/>
      <c r="L600" s="50"/>
      <c r="M600" s="16"/>
      <c r="N600" s="19"/>
      <c r="O600" s="19"/>
      <c r="P600" s="19"/>
      <c r="Q600" s="19"/>
      <c r="R600" s="19"/>
      <c r="S600" s="19"/>
      <c r="T600" s="19"/>
      <c r="U600" s="19"/>
      <c r="V600" s="19"/>
      <c r="W600" s="20"/>
      <c r="X600" s="43"/>
    </row>
    <row r="601" spans="1:24" ht="15.75" hidden="1" customHeight="1" x14ac:dyDescent="0.25">
      <c r="A601" s="16"/>
      <c r="B601" s="16" t="str">
        <f t="shared" si="3"/>
        <v/>
      </c>
      <c r="C601" s="16"/>
      <c r="D601" s="40"/>
      <c r="E601" s="16"/>
      <c r="F601" s="41"/>
      <c r="G601" s="16"/>
      <c r="H601" s="16"/>
      <c r="I601" s="16"/>
      <c r="J601" s="22"/>
      <c r="K601" s="16"/>
      <c r="L601" s="50"/>
      <c r="M601" s="16"/>
      <c r="N601" s="19"/>
      <c r="O601" s="19"/>
      <c r="P601" s="19"/>
      <c r="Q601" s="19"/>
      <c r="R601" s="19"/>
      <c r="S601" s="19"/>
      <c r="T601" s="19"/>
      <c r="U601" s="19"/>
      <c r="V601" s="19"/>
      <c r="W601" s="20"/>
      <c r="X601" s="43"/>
    </row>
    <row r="602" spans="1:24" ht="15.75" hidden="1" customHeight="1" x14ac:dyDescent="0.25">
      <c r="A602" s="16"/>
      <c r="B602" s="16" t="str">
        <f t="shared" si="3"/>
        <v/>
      </c>
      <c r="C602" s="16"/>
      <c r="D602" s="40"/>
      <c r="E602" s="16"/>
      <c r="F602" s="41"/>
      <c r="G602" s="16"/>
      <c r="H602" s="16"/>
      <c r="I602" s="16"/>
      <c r="J602" s="22"/>
      <c r="K602" s="16"/>
      <c r="L602" s="50"/>
      <c r="M602" s="16"/>
      <c r="N602" s="19"/>
      <c r="O602" s="19"/>
      <c r="P602" s="19"/>
      <c r="Q602" s="19"/>
      <c r="R602" s="19"/>
      <c r="S602" s="19"/>
      <c r="T602" s="19"/>
      <c r="U602" s="19"/>
      <c r="V602" s="19"/>
      <c r="W602" s="20"/>
      <c r="X602" s="43"/>
    </row>
    <row r="603" spans="1:24" ht="15.75" hidden="1" customHeight="1" x14ac:dyDescent="0.25">
      <c r="A603" s="16"/>
      <c r="B603" s="16" t="str">
        <f t="shared" si="3"/>
        <v/>
      </c>
      <c r="C603" s="16"/>
      <c r="D603" s="40"/>
      <c r="E603" s="16"/>
      <c r="F603" s="41"/>
      <c r="G603" s="16"/>
      <c r="H603" s="16"/>
      <c r="I603" s="16"/>
      <c r="J603" s="22"/>
      <c r="K603" s="16"/>
      <c r="L603" s="50"/>
      <c r="M603" s="16"/>
      <c r="N603" s="19"/>
      <c r="O603" s="19"/>
      <c r="P603" s="19"/>
      <c r="Q603" s="19"/>
      <c r="R603" s="19"/>
      <c r="S603" s="19"/>
      <c r="T603" s="19"/>
      <c r="U603" s="19"/>
      <c r="V603" s="19"/>
      <c r="W603" s="20"/>
      <c r="X603" s="43"/>
    </row>
    <row r="604" spans="1:24" ht="15.75" hidden="1" customHeight="1" x14ac:dyDescent="0.25">
      <c r="A604" s="16"/>
      <c r="B604" s="16" t="str">
        <f t="shared" si="3"/>
        <v/>
      </c>
      <c r="C604" s="16"/>
      <c r="D604" s="40"/>
      <c r="E604" s="16"/>
      <c r="F604" s="41"/>
      <c r="G604" s="16"/>
      <c r="H604" s="16"/>
      <c r="I604" s="16"/>
      <c r="J604" s="22"/>
      <c r="K604" s="16"/>
      <c r="L604" s="50"/>
      <c r="M604" s="16"/>
      <c r="N604" s="19"/>
      <c r="O604" s="19"/>
      <c r="P604" s="19"/>
      <c r="Q604" s="19"/>
      <c r="R604" s="19"/>
      <c r="S604" s="19"/>
      <c r="T604" s="19"/>
      <c r="U604" s="19"/>
      <c r="V604" s="19"/>
      <c r="W604" s="20"/>
      <c r="X604" s="43"/>
    </row>
    <row r="605" spans="1:24" ht="15.75" hidden="1" customHeight="1" x14ac:dyDescent="0.25">
      <c r="A605" s="16"/>
      <c r="B605" s="16" t="str">
        <f t="shared" si="3"/>
        <v/>
      </c>
      <c r="C605" s="16"/>
      <c r="D605" s="40"/>
      <c r="E605" s="16"/>
      <c r="F605" s="41"/>
      <c r="G605" s="16"/>
      <c r="H605" s="16"/>
      <c r="I605" s="16"/>
      <c r="J605" s="22"/>
      <c r="K605" s="16"/>
      <c r="L605" s="50"/>
      <c r="M605" s="16"/>
      <c r="N605" s="19"/>
      <c r="O605" s="19"/>
      <c r="P605" s="19"/>
      <c r="Q605" s="19"/>
      <c r="R605" s="19"/>
      <c r="S605" s="19"/>
      <c r="T605" s="19"/>
      <c r="U605" s="19"/>
      <c r="V605" s="19"/>
      <c r="W605" s="20"/>
      <c r="X605" s="43"/>
    </row>
    <row r="606" spans="1:24" ht="15.75" hidden="1" customHeight="1" x14ac:dyDescent="0.25">
      <c r="A606" s="16"/>
      <c r="B606" s="16" t="str">
        <f t="shared" si="3"/>
        <v/>
      </c>
      <c r="C606" s="16"/>
      <c r="D606" s="40"/>
      <c r="E606" s="16"/>
      <c r="F606" s="41"/>
      <c r="G606" s="16"/>
      <c r="H606" s="16"/>
      <c r="I606" s="16"/>
      <c r="J606" s="22"/>
      <c r="K606" s="16"/>
      <c r="L606" s="50"/>
      <c r="M606" s="16"/>
      <c r="N606" s="19"/>
      <c r="O606" s="19"/>
      <c r="P606" s="19"/>
      <c r="Q606" s="19"/>
      <c r="R606" s="19"/>
      <c r="S606" s="19"/>
      <c r="T606" s="19"/>
      <c r="U606" s="19"/>
      <c r="V606" s="19"/>
      <c r="W606" s="20"/>
      <c r="X606" s="43"/>
    </row>
    <row r="607" spans="1:24" ht="15.75" hidden="1" customHeight="1" x14ac:dyDescent="0.25">
      <c r="A607" s="16"/>
      <c r="B607" s="16" t="str">
        <f t="shared" si="3"/>
        <v/>
      </c>
      <c r="C607" s="16"/>
      <c r="D607" s="40"/>
      <c r="E607" s="16"/>
      <c r="F607" s="41"/>
      <c r="G607" s="16"/>
      <c r="H607" s="16"/>
      <c r="I607" s="16"/>
      <c r="J607" s="22"/>
      <c r="K607" s="16"/>
      <c r="L607" s="50"/>
      <c r="M607" s="16"/>
      <c r="N607" s="19"/>
      <c r="O607" s="19"/>
      <c r="P607" s="19"/>
      <c r="Q607" s="19"/>
      <c r="R607" s="19"/>
      <c r="S607" s="19"/>
      <c r="T607" s="19"/>
      <c r="U607" s="19"/>
      <c r="V607" s="19"/>
      <c r="W607" s="20"/>
      <c r="X607" s="43"/>
    </row>
    <row r="608" spans="1:24" ht="15.75" hidden="1" customHeight="1" x14ac:dyDescent="0.25">
      <c r="A608" s="16"/>
      <c r="B608" s="16" t="str">
        <f t="shared" si="3"/>
        <v/>
      </c>
      <c r="C608" s="16"/>
      <c r="D608" s="40"/>
      <c r="E608" s="16"/>
      <c r="F608" s="41"/>
      <c r="G608" s="16"/>
      <c r="H608" s="16"/>
      <c r="I608" s="16"/>
      <c r="J608" s="22"/>
      <c r="K608" s="16"/>
      <c r="L608" s="50"/>
      <c r="M608" s="16"/>
      <c r="N608" s="19"/>
      <c r="O608" s="19"/>
      <c r="P608" s="19"/>
      <c r="Q608" s="19"/>
      <c r="R608" s="19"/>
      <c r="S608" s="19"/>
      <c r="T608" s="19"/>
      <c r="U608" s="19"/>
      <c r="V608" s="19"/>
      <c r="W608" s="20"/>
      <c r="X608" s="43"/>
    </row>
    <row r="609" spans="1:24" ht="15.75" hidden="1" customHeight="1" x14ac:dyDescent="0.25">
      <c r="A609" s="16"/>
      <c r="B609" s="16" t="str">
        <f t="shared" si="3"/>
        <v/>
      </c>
      <c r="C609" s="16"/>
      <c r="D609" s="40"/>
      <c r="E609" s="16"/>
      <c r="F609" s="41"/>
      <c r="G609" s="16"/>
      <c r="H609" s="16"/>
      <c r="I609" s="16"/>
      <c r="J609" s="22"/>
      <c r="K609" s="16"/>
      <c r="L609" s="50"/>
      <c r="M609" s="16"/>
      <c r="N609" s="19"/>
      <c r="O609" s="19"/>
      <c r="P609" s="19"/>
      <c r="Q609" s="19"/>
      <c r="R609" s="19"/>
      <c r="S609" s="19"/>
      <c r="T609" s="19"/>
      <c r="U609" s="19"/>
      <c r="V609" s="19"/>
      <c r="W609" s="20"/>
      <c r="X609" s="43"/>
    </row>
    <row r="610" spans="1:24" ht="15.75" hidden="1" customHeight="1" x14ac:dyDescent="0.25">
      <c r="A610" s="16"/>
      <c r="B610" s="16" t="str">
        <f t="shared" si="3"/>
        <v/>
      </c>
      <c r="C610" s="16"/>
      <c r="D610" s="40"/>
      <c r="E610" s="16"/>
      <c r="F610" s="41"/>
      <c r="G610" s="16"/>
      <c r="H610" s="16"/>
      <c r="I610" s="16"/>
      <c r="J610" s="22"/>
      <c r="K610" s="16"/>
      <c r="L610" s="50"/>
      <c r="M610" s="16"/>
      <c r="N610" s="19"/>
      <c r="O610" s="19"/>
      <c r="P610" s="19"/>
      <c r="Q610" s="19"/>
      <c r="R610" s="19"/>
      <c r="S610" s="19"/>
      <c r="T610" s="19"/>
      <c r="U610" s="19"/>
      <c r="V610" s="19"/>
      <c r="W610" s="20"/>
      <c r="X610" s="43"/>
    </row>
    <row r="611" spans="1:24" ht="15.75" hidden="1" customHeight="1" x14ac:dyDescent="0.25">
      <c r="A611" s="16"/>
      <c r="B611" s="16" t="str">
        <f t="shared" si="3"/>
        <v/>
      </c>
      <c r="C611" s="16"/>
      <c r="D611" s="40"/>
      <c r="E611" s="16"/>
      <c r="F611" s="41"/>
      <c r="G611" s="16"/>
      <c r="H611" s="16"/>
      <c r="I611" s="16"/>
      <c r="J611" s="22"/>
      <c r="K611" s="16"/>
      <c r="L611" s="50"/>
      <c r="M611" s="16"/>
      <c r="N611" s="19"/>
      <c r="O611" s="19"/>
      <c r="P611" s="19"/>
      <c r="Q611" s="19"/>
      <c r="R611" s="19"/>
      <c r="S611" s="19"/>
      <c r="T611" s="19"/>
      <c r="U611" s="19"/>
      <c r="V611" s="19"/>
      <c r="W611" s="20"/>
      <c r="X611" s="43"/>
    </row>
    <row r="612" spans="1:24" ht="15.75" hidden="1" customHeight="1" x14ac:dyDescent="0.25">
      <c r="A612" s="16"/>
      <c r="B612" s="16" t="str">
        <f t="shared" si="3"/>
        <v/>
      </c>
      <c r="C612" s="16"/>
      <c r="D612" s="40"/>
      <c r="E612" s="16"/>
      <c r="F612" s="41"/>
      <c r="G612" s="16"/>
      <c r="H612" s="16"/>
      <c r="I612" s="16"/>
      <c r="J612" s="22"/>
      <c r="K612" s="16"/>
      <c r="L612" s="50"/>
      <c r="M612" s="16"/>
      <c r="N612" s="19"/>
      <c r="O612" s="19"/>
      <c r="P612" s="19"/>
      <c r="Q612" s="19"/>
      <c r="R612" s="19"/>
      <c r="S612" s="19"/>
      <c r="T612" s="19"/>
      <c r="U612" s="19"/>
      <c r="V612" s="19"/>
      <c r="W612" s="20"/>
      <c r="X612" s="43"/>
    </row>
    <row r="613" spans="1:24" ht="15.75" hidden="1" customHeight="1" x14ac:dyDescent="0.25">
      <c r="A613" s="16"/>
      <c r="B613" s="16" t="str">
        <f t="shared" si="3"/>
        <v/>
      </c>
      <c r="C613" s="16"/>
      <c r="D613" s="40"/>
      <c r="E613" s="16"/>
      <c r="F613" s="41"/>
      <c r="G613" s="16"/>
      <c r="H613" s="16"/>
      <c r="I613" s="16"/>
      <c r="J613" s="22"/>
      <c r="K613" s="16"/>
      <c r="L613" s="50"/>
      <c r="M613" s="16"/>
      <c r="N613" s="19"/>
      <c r="O613" s="19"/>
      <c r="P613" s="19"/>
      <c r="Q613" s="19"/>
      <c r="R613" s="19"/>
      <c r="S613" s="19"/>
      <c r="T613" s="19"/>
      <c r="U613" s="19"/>
      <c r="V613" s="19"/>
      <c r="W613" s="20"/>
      <c r="X613" s="43"/>
    </row>
    <row r="614" spans="1:24" ht="15.75" hidden="1" customHeight="1" x14ac:dyDescent="0.25">
      <c r="A614" s="16"/>
      <c r="B614" s="16" t="str">
        <f t="shared" si="3"/>
        <v/>
      </c>
      <c r="C614" s="16"/>
      <c r="D614" s="40"/>
      <c r="E614" s="16"/>
      <c r="F614" s="41"/>
      <c r="G614" s="16"/>
      <c r="H614" s="16"/>
      <c r="I614" s="16"/>
      <c r="J614" s="22"/>
      <c r="K614" s="16"/>
      <c r="L614" s="50"/>
      <c r="M614" s="16"/>
      <c r="N614" s="19"/>
      <c r="O614" s="19"/>
      <c r="P614" s="19"/>
      <c r="Q614" s="19"/>
      <c r="R614" s="19"/>
      <c r="S614" s="19"/>
      <c r="T614" s="19"/>
      <c r="U614" s="19"/>
      <c r="V614" s="19"/>
      <c r="W614" s="20"/>
      <c r="X614" s="43"/>
    </row>
    <row r="615" spans="1:24" ht="15.75" hidden="1" customHeight="1" x14ac:dyDescent="0.25">
      <c r="A615" s="16"/>
      <c r="B615" s="16" t="str">
        <f t="shared" si="3"/>
        <v/>
      </c>
      <c r="C615" s="16"/>
      <c r="D615" s="40"/>
      <c r="E615" s="16"/>
      <c r="F615" s="41"/>
      <c r="G615" s="16"/>
      <c r="H615" s="16"/>
      <c r="I615" s="16"/>
      <c r="J615" s="22"/>
      <c r="K615" s="16"/>
      <c r="L615" s="50"/>
      <c r="M615" s="16"/>
      <c r="N615" s="19"/>
      <c r="O615" s="19"/>
      <c r="P615" s="19"/>
      <c r="Q615" s="19"/>
      <c r="R615" s="19"/>
      <c r="S615" s="19"/>
      <c r="T615" s="19"/>
      <c r="U615" s="19"/>
      <c r="V615" s="19"/>
      <c r="W615" s="20"/>
      <c r="X615" s="43"/>
    </row>
    <row r="616" spans="1:24" ht="15.75" hidden="1" customHeight="1" x14ac:dyDescent="0.25">
      <c r="A616" s="16"/>
      <c r="B616" s="16" t="str">
        <f t="shared" si="3"/>
        <v/>
      </c>
      <c r="C616" s="16"/>
      <c r="D616" s="40"/>
      <c r="E616" s="16"/>
      <c r="F616" s="41"/>
      <c r="G616" s="16"/>
      <c r="H616" s="16"/>
      <c r="I616" s="16"/>
      <c r="J616" s="22"/>
      <c r="K616" s="16"/>
      <c r="L616" s="50"/>
      <c r="M616" s="16"/>
      <c r="N616" s="19"/>
      <c r="O616" s="19"/>
      <c r="P616" s="19"/>
      <c r="Q616" s="19"/>
      <c r="R616" s="19"/>
      <c r="S616" s="19"/>
      <c r="T616" s="19"/>
      <c r="U616" s="19"/>
      <c r="V616" s="19"/>
      <c r="W616" s="20"/>
      <c r="X616" s="43"/>
    </row>
    <row r="617" spans="1:24" ht="15.75" hidden="1" customHeight="1" x14ac:dyDescent="0.25">
      <c r="A617" s="16"/>
      <c r="B617" s="16" t="str">
        <f t="shared" si="3"/>
        <v/>
      </c>
      <c r="C617" s="16"/>
      <c r="D617" s="40"/>
      <c r="E617" s="16"/>
      <c r="F617" s="41"/>
      <c r="G617" s="16"/>
      <c r="H617" s="16"/>
      <c r="I617" s="16"/>
      <c r="J617" s="22"/>
      <c r="K617" s="16"/>
      <c r="L617" s="50"/>
      <c r="M617" s="16"/>
      <c r="N617" s="19"/>
      <c r="O617" s="19"/>
      <c r="P617" s="19"/>
      <c r="Q617" s="19"/>
      <c r="R617" s="19"/>
      <c r="S617" s="19"/>
      <c r="T617" s="19"/>
      <c r="U617" s="19"/>
      <c r="V617" s="19"/>
      <c r="W617" s="20"/>
      <c r="X617" s="43"/>
    </row>
    <row r="618" spans="1:24" ht="15.75" hidden="1" customHeight="1" x14ac:dyDescent="0.25">
      <c r="A618" s="16"/>
      <c r="B618" s="16" t="str">
        <f t="shared" si="3"/>
        <v/>
      </c>
      <c r="C618" s="16"/>
      <c r="D618" s="40"/>
      <c r="E618" s="16"/>
      <c r="F618" s="41"/>
      <c r="G618" s="16"/>
      <c r="H618" s="16"/>
      <c r="I618" s="16"/>
      <c r="J618" s="22"/>
      <c r="K618" s="16"/>
      <c r="L618" s="50"/>
      <c r="M618" s="16"/>
      <c r="N618" s="19"/>
      <c r="O618" s="19"/>
      <c r="P618" s="19"/>
      <c r="Q618" s="19"/>
      <c r="R618" s="19"/>
      <c r="S618" s="19"/>
      <c r="T618" s="19"/>
      <c r="U618" s="19"/>
      <c r="V618" s="19"/>
      <c r="W618" s="20"/>
      <c r="X618" s="43"/>
    </row>
    <row r="619" spans="1:24" ht="15.75" hidden="1" customHeight="1" x14ac:dyDescent="0.25">
      <c r="A619" s="16"/>
      <c r="B619" s="16" t="str">
        <f t="shared" si="3"/>
        <v/>
      </c>
      <c r="C619" s="16"/>
      <c r="D619" s="40"/>
      <c r="E619" s="16"/>
      <c r="F619" s="41"/>
      <c r="G619" s="16"/>
      <c r="H619" s="16"/>
      <c r="I619" s="16"/>
      <c r="J619" s="22"/>
      <c r="K619" s="16"/>
      <c r="L619" s="50"/>
      <c r="M619" s="16"/>
      <c r="N619" s="19"/>
      <c r="O619" s="19"/>
      <c r="P619" s="19"/>
      <c r="Q619" s="19"/>
      <c r="R619" s="19"/>
      <c r="S619" s="19"/>
      <c r="T619" s="19"/>
      <c r="U619" s="19"/>
      <c r="V619" s="19"/>
      <c r="W619" s="20"/>
      <c r="X619" s="43"/>
    </row>
    <row r="620" spans="1:24" ht="15.75" hidden="1" customHeight="1" x14ac:dyDescent="0.25">
      <c r="A620" s="16"/>
      <c r="B620" s="16" t="str">
        <f t="shared" si="3"/>
        <v/>
      </c>
      <c r="C620" s="16"/>
      <c r="D620" s="40"/>
      <c r="E620" s="16"/>
      <c r="F620" s="41"/>
      <c r="G620" s="16"/>
      <c r="H620" s="16"/>
      <c r="I620" s="16"/>
      <c r="J620" s="22"/>
      <c r="K620" s="16"/>
      <c r="L620" s="50"/>
      <c r="M620" s="16"/>
      <c r="N620" s="19"/>
      <c r="O620" s="19"/>
      <c r="P620" s="19"/>
      <c r="Q620" s="19"/>
      <c r="R620" s="19"/>
      <c r="S620" s="19"/>
      <c r="T620" s="19"/>
      <c r="U620" s="19"/>
      <c r="V620" s="19"/>
      <c r="W620" s="20"/>
      <c r="X620" s="43"/>
    </row>
    <row r="621" spans="1:24" ht="15.75" hidden="1" customHeight="1" x14ac:dyDescent="0.25">
      <c r="A621" s="16"/>
      <c r="B621" s="16" t="str">
        <f t="shared" si="3"/>
        <v/>
      </c>
      <c r="C621" s="16"/>
      <c r="D621" s="40"/>
      <c r="E621" s="16"/>
      <c r="F621" s="41"/>
      <c r="G621" s="16"/>
      <c r="H621" s="16"/>
      <c r="I621" s="16"/>
      <c r="J621" s="22"/>
      <c r="K621" s="16"/>
      <c r="L621" s="50"/>
      <c r="M621" s="16"/>
      <c r="N621" s="19"/>
      <c r="O621" s="19"/>
      <c r="P621" s="19"/>
      <c r="Q621" s="19"/>
      <c r="R621" s="19"/>
      <c r="S621" s="19"/>
      <c r="T621" s="19"/>
      <c r="U621" s="19"/>
      <c r="V621" s="19"/>
      <c r="W621" s="20"/>
      <c r="X621" s="43"/>
    </row>
    <row r="622" spans="1:24" ht="15.75" hidden="1" customHeight="1" x14ac:dyDescent="0.25">
      <c r="A622" s="16"/>
      <c r="B622" s="16" t="str">
        <f t="shared" si="3"/>
        <v/>
      </c>
      <c r="C622" s="16"/>
      <c r="D622" s="40"/>
      <c r="E622" s="16"/>
      <c r="F622" s="41"/>
      <c r="G622" s="16"/>
      <c r="H622" s="16"/>
      <c r="I622" s="16"/>
      <c r="J622" s="22"/>
      <c r="K622" s="16"/>
      <c r="L622" s="50"/>
      <c r="M622" s="16"/>
      <c r="N622" s="19"/>
      <c r="O622" s="19"/>
      <c r="P622" s="19"/>
      <c r="Q622" s="19"/>
      <c r="R622" s="19"/>
      <c r="S622" s="19"/>
      <c r="T622" s="19"/>
      <c r="U622" s="19"/>
      <c r="V622" s="19"/>
      <c r="W622" s="20"/>
      <c r="X622" s="43"/>
    </row>
    <row r="623" spans="1:24" ht="15.75" hidden="1" customHeight="1" x14ac:dyDescent="0.25">
      <c r="A623" s="16"/>
      <c r="B623" s="16" t="str">
        <f t="shared" si="3"/>
        <v/>
      </c>
      <c r="C623" s="16"/>
      <c r="D623" s="40"/>
      <c r="E623" s="16"/>
      <c r="F623" s="41"/>
      <c r="G623" s="16"/>
      <c r="H623" s="16"/>
      <c r="I623" s="16"/>
      <c r="J623" s="22"/>
      <c r="K623" s="16"/>
      <c r="L623" s="50"/>
      <c r="M623" s="16"/>
      <c r="N623" s="19"/>
      <c r="O623" s="19"/>
      <c r="P623" s="19"/>
      <c r="Q623" s="19"/>
      <c r="R623" s="19"/>
      <c r="S623" s="19"/>
      <c r="T623" s="19"/>
      <c r="U623" s="19"/>
      <c r="V623" s="19"/>
      <c r="W623" s="20"/>
      <c r="X623" s="43"/>
    </row>
    <row r="624" spans="1:24" ht="15.75" hidden="1" customHeight="1" x14ac:dyDescent="0.25">
      <c r="A624" s="16"/>
      <c r="B624" s="16" t="str">
        <f t="shared" si="3"/>
        <v/>
      </c>
      <c r="C624" s="16"/>
      <c r="D624" s="40"/>
      <c r="E624" s="16"/>
      <c r="F624" s="41"/>
      <c r="G624" s="16"/>
      <c r="H624" s="16"/>
      <c r="I624" s="16"/>
      <c r="J624" s="22"/>
      <c r="K624" s="16"/>
      <c r="L624" s="50"/>
      <c r="M624" s="16"/>
      <c r="N624" s="19"/>
      <c r="O624" s="19"/>
      <c r="P624" s="19"/>
      <c r="Q624" s="19"/>
      <c r="R624" s="19"/>
      <c r="S624" s="19"/>
      <c r="T624" s="19"/>
      <c r="U624" s="19"/>
      <c r="V624" s="19"/>
      <c r="W624" s="20"/>
      <c r="X624" s="43"/>
    </row>
    <row r="625" spans="1:24" ht="15.75" hidden="1" customHeight="1" x14ac:dyDescent="0.25">
      <c r="A625" s="16"/>
      <c r="B625" s="16" t="str">
        <f t="shared" si="3"/>
        <v/>
      </c>
      <c r="C625" s="16"/>
      <c r="D625" s="40"/>
      <c r="E625" s="16"/>
      <c r="F625" s="41"/>
      <c r="G625" s="16"/>
      <c r="H625" s="16"/>
      <c r="I625" s="16"/>
      <c r="J625" s="22"/>
      <c r="K625" s="16"/>
      <c r="L625" s="50"/>
      <c r="M625" s="16"/>
      <c r="N625" s="19"/>
      <c r="O625" s="19"/>
      <c r="P625" s="19"/>
      <c r="Q625" s="19"/>
      <c r="R625" s="19"/>
      <c r="S625" s="19"/>
      <c r="T625" s="19"/>
      <c r="U625" s="19"/>
      <c r="V625" s="19"/>
      <c r="W625" s="20"/>
      <c r="X625" s="43"/>
    </row>
    <row r="626" spans="1:24" ht="15.75" hidden="1" customHeight="1" x14ac:dyDescent="0.25">
      <c r="A626" s="16"/>
      <c r="B626" s="16" t="str">
        <f t="shared" si="3"/>
        <v/>
      </c>
      <c r="C626" s="16"/>
      <c r="D626" s="40"/>
      <c r="E626" s="16"/>
      <c r="F626" s="41"/>
      <c r="G626" s="16"/>
      <c r="H626" s="16"/>
      <c r="I626" s="16"/>
      <c r="J626" s="22"/>
      <c r="K626" s="16"/>
      <c r="L626" s="50"/>
      <c r="M626" s="16"/>
      <c r="N626" s="19"/>
      <c r="O626" s="19"/>
      <c r="P626" s="19"/>
      <c r="Q626" s="19"/>
      <c r="R626" s="19"/>
      <c r="S626" s="19"/>
      <c r="T626" s="19"/>
      <c r="U626" s="19"/>
      <c r="V626" s="19"/>
      <c r="W626" s="20"/>
      <c r="X626" s="43"/>
    </row>
    <row r="627" spans="1:24" ht="15.75" hidden="1" customHeight="1" x14ac:dyDescent="0.25">
      <c r="A627" s="16"/>
      <c r="B627" s="16" t="str">
        <f t="shared" si="3"/>
        <v/>
      </c>
      <c r="C627" s="16"/>
      <c r="D627" s="40"/>
      <c r="E627" s="16"/>
      <c r="F627" s="41"/>
      <c r="G627" s="16"/>
      <c r="H627" s="16"/>
      <c r="I627" s="16"/>
      <c r="J627" s="22"/>
      <c r="K627" s="16"/>
      <c r="L627" s="50"/>
      <c r="M627" s="16"/>
      <c r="N627" s="19"/>
      <c r="O627" s="19"/>
      <c r="P627" s="19"/>
      <c r="Q627" s="19"/>
      <c r="R627" s="19"/>
      <c r="S627" s="19"/>
      <c r="T627" s="19"/>
      <c r="U627" s="19"/>
      <c r="V627" s="19"/>
      <c r="W627" s="20"/>
      <c r="X627" s="43"/>
    </row>
    <row r="628" spans="1:24" ht="15.75" hidden="1" customHeight="1" x14ac:dyDescent="0.25">
      <c r="A628" s="16"/>
      <c r="B628" s="16" t="str">
        <f t="shared" si="3"/>
        <v/>
      </c>
      <c r="C628" s="16"/>
      <c r="D628" s="40"/>
      <c r="E628" s="16"/>
      <c r="F628" s="41"/>
      <c r="G628" s="16"/>
      <c r="H628" s="16"/>
      <c r="I628" s="16"/>
      <c r="J628" s="22"/>
      <c r="K628" s="16"/>
      <c r="L628" s="50"/>
      <c r="M628" s="16"/>
      <c r="N628" s="19"/>
      <c r="O628" s="19"/>
      <c r="P628" s="19"/>
      <c r="Q628" s="19"/>
      <c r="R628" s="19"/>
      <c r="S628" s="19"/>
      <c r="T628" s="19"/>
      <c r="U628" s="19"/>
      <c r="V628" s="19"/>
      <c r="W628" s="20"/>
      <c r="X628" s="43"/>
    </row>
    <row r="629" spans="1:24" ht="15.75" hidden="1" customHeight="1" x14ac:dyDescent="0.25">
      <c r="A629" s="16"/>
      <c r="B629" s="16" t="str">
        <f t="shared" si="3"/>
        <v/>
      </c>
      <c r="C629" s="16"/>
      <c r="D629" s="40"/>
      <c r="E629" s="16"/>
      <c r="F629" s="41"/>
      <c r="G629" s="16"/>
      <c r="H629" s="16"/>
      <c r="I629" s="16"/>
      <c r="J629" s="22"/>
      <c r="K629" s="16"/>
      <c r="L629" s="50"/>
      <c r="M629" s="16"/>
      <c r="N629" s="19"/>
      <c r="O629" s="19"/>
      <c r="P629" s="19"/>
      <c r="Q629" s="19"/>
      <c r="R629" s="19"/>
      <c r="S629" s="19"/>
      <c r="T629" s="19"/>
      <c r="U629" s="19"/>
      <c r="V629" s="19"/>
      <c r="W629" s="20"/>
      <c r="X629" s="43"/>
    </row>
    <row r="630" spans="1:24" ht="15.75" hidden="1" customHeight="1" x14ac:dyDescent="0.25">
      <c r="A630" s="16"/>
      <c r="B630" s="16" t="str">
        <f t="shared" si="3"/>
        <v/>
      </c>
      <c r="C630" s="16"/>
      <c r="D630" s="40"/>
      <c r="E630" s="16"/>
      <c r="F630" s="41"/>
      <c r="G630" s="16"/>
      <c r="H630" s="16"/>
      <c r="I630" s="16"/>
      <c r="J630" s="22"/>
      <c r="K630" s="16"/>
      <c r="L630" s="50"/>
      <c r="M630" s="16"/>
      <c r="N630" s="19"/>
      <c r="O630" s="19"/>
      <c r="P630" s="19"/>
      <c r="Q630" s="19"/>
      <c r="R630" s="19"/>
      <c r="S630" s="19"/>
      <c r="T630" s="19"/>
      <c r="U630" s="19"/>
      <c r="V630" s="19"/>
      <c r="W630" s="20"/>
      <c r="X630" s="43"/>
    </row>
    <row r="631" spans="1:24" ht="15.75" hidden="1" customHeight="1" x14ac:dyDescent="0.25">
      <c r="A631" s="16"/>
      <c r="B631" s="16" t="str">
        <f t="shared" si="3"/>
        <v/>
      </c>
      <c r="C631" s="16"/>
      <c r="D631" s="40"/>
      <c r="E631" s="16"/>
      <c r="F631" s="41"/>
      <c r="G631" s="16"/>
      <c r="H631" s="16"/>
      <c r="I631" s="16"/>
      <c r="J631" s="22"/>
      <c r="K631" s="16"/>
      <c r="L631" s="50"/>
      <c r="M631" s="16"/>
      <c r="N631" s="19"/>
      <c r="O631" s="19"/>
      <c r="P631" s="19"/>
      <c r="Q631" s="19"/>
      <c r="R631" s="19"/>
      <c r="S631" s="19"/>
      <c r="T631" s="19"/>
      <c r="U631" s="19"/>
      <c r="V631" s="19"/>
      <c r="W631" s="20"/>
      <c r="X631" s="43"/>
    </row>
    <row r="632" spans="1:24" ht="15.75" hidden="1" customHeight="1" x14ac:dyDescent="0.25">
      <c r="A632" s="16"/>
      <c r="B632" s="16" t="str">
        <f t="shared" si="3"/>
        <v/>
      </c>
      <c r="C632" s="16"/>
      <c r="D632" s="40"/>
      <c r="E632" s="16"/>
      <c r="F632" s="41"/>
      <c r="G632" s="16"/>
      <c r="H632" s="16"/>
      <c r="I632" s="16"/>
      <c r="J632" s="22"/>
      <c r="K632" s="16"/>
      <c r="L632" s="50"/>
      <c r="M632" s="16"/>
      <c r="N632" s="19"/>
      <c r="O632" s="19"/>
      <c r="P632" s="19"/>
      <c r="Q632" s="19"/>
      <c r="R632" s="19"/>
      <c r="S632" s="19"/>
      <c r="T632" s="19"/>
      <c r="U632" s="19"/>
      <c r="V632" s="19"/>
      <c r="W632" s="20"/>
      <c r="X632" s="43"/>
    </row>
    <row r="633" spans="1:24" ht="15.75" hidden="1" customHeight="1" x14ac:dyDescent="0.25">
      <c r="A633" s="16"/>
      <c r="B633" s="16" t="str">
        <f t="shared" si="3"/>
        <v/>
      </c>
      <c r="C633" s="16"/>
      <c r="D633" s="40"/>
      <c r="E633" s="16"/>
      <c r="F633" s="41"/>
      <c r="G633" s="16"/>
      <c r="H633" s="16"/>
      <c r="I633" s="16"/>
      <c r="J633" s="22"/>
      <c r="K633" s="16"/>
      <c r="L633" s="50"/>
      <c r="M633" s="16"/>
      <c r="N633" s="19"/>
      <c r="O633" s="19"/>
      <c r="P633" s="19"/>
      <c r="Q633" s="19"/>
      <c r="R633" s="19"/>
      <c r="S633" s="19"/>
      <c r="T633" s="19"/>
      <c r="U633" s="19"/>
      <c r="V633" s="19"/>
      <c r="W633" s="20"/>
      <c r="X633" s="43"/>
    </row>
    <row r="634" spans="1:24" ht="15.75" hidden="1" customHeight="1" x14ac:dyDescent="0.25">
      <c r="A634" s="16"/>
      <c r="B634" s="16" t="str">
        <f t="shared" si="3"/>
        <v/>
      </c>
      <c r="C634" s="16"/>
      <c r="D634" s="40"/>
      <c r="E634" s="16"/>
      <c r="F634" s="41"/>
      <c r="G634" s="16"/>
      <c r="H634" s="16"/>
      <c r="I634" s="16"/>
      <c r="J634" s="22"/>
      <c r="K634" s="16"/>
      <c r="L634" s="50"/>
      <c r="M634" s="16"/>
      <c r="N634" s="19"/>
      <c r="O634" s="19"/>
      <c r="P634" s="19"/>
      <c r="Q634" s="19"/>
      <c r="R634" s="19"/>
      <c r="S634" s="19"/>
      <c r="T634" s="19"/>
      <c r="U634" s="19"/>
      <c r="V634" s="19"/>
      <c r="W634" s="20"/>
      <c r="X634" s="43"/>
    </row>
    <row r="635" spans="1:24" ht="15.75" hidden="1" customHeight="1" x14ac:dyDescent="0.25">
      <c r="A635" s="16"/>
      <c r="B635" s="16" t="str">
        <f t="shared" si="3"/>
        <v/>
      </c>
      <c r="C635" s="16"/>
      <c r="D635" s="40"/>
      <c r="E635" s="16"/>
      <c r="F635" s="41"/>
      <c r="G635" s="16"/>
      <c r="H635" s="16"/>
      <c r="I635" s="16"/>
      <c r="J635" s="22"/>
      <c r="K635" s="16"/>
      <c r="L635" s="50"/>
      <c r="M635" s="16"/>
      <c r="N635" s="19"/>
      <c r="O635" s="19"/>
      <c r="P635" s="19"/>
      <c r="Q635" s="19"/>
      <c r="R635" s="19"/>
      <c r="S635" s="19"/>
      <c r="T635" s="19"/>
      <c r="U635" s="19"/>
      <c r="V635" s="19"/>
      <c r="W635" s="20"/>
      <c r="X635" s="43"/>
    </row>
    <row r="636" spans="1:24" ht="15.75" hidden="1" customHeight="1" x14ac:dyDescent="0.25">
      <c r="A636" s="16"/>
      <c r="B636" s="16" t="str">
        <f t="shared" si="3"/>
        <v/>
      </c>
      <c r="C636" s="16"/>
      <c r="D636" s="40"/>
      <c r="E636" s="16"/>
      <c r="F636" s="41"/>
      <c r="G636" s="16"/>
      <c r="H636" s="16"/>
      <c r="I636" s="16"/>
      <c r="J636" s="22"/>
      <c r="K636" s="16"/>
      <c r="L636" s="50"/>
      <c r="M636" s="16"/>
      <c r="N636" s="19"/>
      <c r="O636" s="19"/>
      <c r="P636" s="19"/>
      <c r="Q636" s="19"/>
      <c r="R636" s="19"/>
      <c r="S636" s="19"/>
      <c r="T636" s="19"/>
      <c r="U636" s="19"/>
      <c r="V636" s="19"/>
      <c r="W636" s="20"/>
      <c r="X636" s="43"/>
    </row>
    <row r="637" spans="1:24" ht="15.75" hidden="1" customHeight="1" x14ac:dyDescent="0.25">
      <c r="A637" s="16"/>
      <c r="B637" s="16" t="str">
        <f t="shared" si="3"/>
        <v/>
      </c>
      <c r="C637" s="16"/>
      <c r="D637" s="40"/>
      <c r="E637" s="16"/>
      <c r="F637" s="41"/>
      <c r="G637" s="16"/>
      <c r="H637" s="16"/>
      <c r="I637" s="16"/>
      <c r="J637" s="22"/>
      <c r="K637" s="16"/>
      <c r="L637" s="50"/>
      <c r="M637" s="16"/>
      <c r="N637" s="19"/>
      <c r="O637" s="19"/>
      <c r="P637" s="19"/>
      <c r="Q637" s="19"/>
      <c r="R637" s="19"/>
      <c r="S637" s="19"/>
      <c r="T637" s="19"/>
      <c r="U637" s="19"/>
      <c r="V637" s="19"/>
      <c r="W637" s="20"/>
      <c r="X637" s="43"/>
    </row>
    <row r="638" spans="1:24" ht="15.75" hidden="1" customHeight="1" x14ac:dyDescent="0.25">
      <c r="A638" s="16"/>
      <c r="B638" s="16" t="str">
        <f t="shared" si="3"/>
        <v/>
      </c>
      <c r="C638" s="16"/>
      <c r="D638" s="40"/>
      <c r="E638" s="16"/>
      <c r="F638" s="41"/>
      <c r="G638" s="16"/>
      <c r="H638" s="16"/>
      <c r="I638" s="16"/>
      <c r="J638" s="22"/>
      <c r="K638" s="16"/>
      <c r="L638" s="50"/>
      <c r="M638" s="16"/>
      <c r="N638" s="19"/>
      <c r="O638" s="19"/>
      <c r="P638" s="19"/>
      <c r="Q638" s="19"/>
      <c r="R638" s="19"/>
      <c r="S638" s="19"/>
      <c r="T638" s="19"/>
      <c r="U638" s="19"/>
      <c r="V638" s="19"/>
      <c r="W638" s="20"/>
      <c r="X638" s="43"/>
    </row>
    <row r="639" spans="1:24" ht="15.75" hidden="1" customHeight="1" x14ac:dyDescent="0.25">
      <c r="A639" s="16"/>
      <c r="B639" s="16" t="str">
        <f t="shared" si="3"/>
        <v/>
      </c>
      <c r="C639" s="16"/>
      <c r="D639" s="40"/>
      <c r="E639" s="16"/>
      <c r="F639" s="41"/>
      <c r="G639" s="16"/>
      <c r="H639" s="16"/>
      <c r="I639" s="16"/>
      <c r="J639" s="22"/>
      <c r="K639" s="16"/>
      <c r="L639" s="50"/>
      <c r="M639" s="16"/>
      <c r="N639" s="19"/>
      <c r="O639" s="19"/>
      <c r="P639" s="19"/>
      <c r="Q639" s="19"/>
      <c r="R639" s="19"/>
      <c r="S639" s="19"/>
      <c r="T639" s="19"/>
      <c r="U639" s="19"/>
      <c r="V639" s="19"/>
      <c r="W639" s="20"/>
      <c r="X639" s="43"/>
    </row>
    <row r="640" spans="1:24" ht="15.75" hidden="1" customHeight="1" x14ac:dyDescent="0.25">
      <c r="A640" s="16"/>
      <c r="B640" s="16" t="str">
        <f t="shared" si="3"/>
        <v/>
      </c>
      <c r="C640" s="16"/>
      <c r="D640" s="40"/>
      <c r="E640" s="16"/>
      <c r="F640" s="41"/>
      <c r="G640" s="16"/>
      <c r="H640" s="16"/>
      <c r="I640" s="16"/>
      <c r="J640" s="22"/>
      <c r="K640" s="16"/>
      <c r="L640" s="50"/>
      <c r="M640" s="16"/>
      <c r="N640" s="19"/>
      <c r="O640" s="19"/>
      <c r="P640" s="19"/>
      <c r="Q640" s="19"/>
      <c r="R640" s="19"/>
      <c r="S640" s="19"/>
      <c r="T640" s="19"/>
      <c r="U640" s="19"/>
      <c r="V640" s="19"/>
      <c r="W640" s="20"/>
      <c r="X640" s="43"/>
    </row>
    <row r="641" spans="1:24" ht="15.75" hidden="1" customHeight="1" x14ac:dyDescent="0.25">
      <c r="A641" s="16"/>
      <c r="B641" s="16" t="str">
        <f t="shared" si="3"/>
        <v/>
      </c>
      <c r="C641" s="16"/>
      <c r="D641" s="40"/>
      <c r="E641" s="16"/>
      <c r="F641" s="41"/>
      <c r="G641" s="16"/>
      <c r="H641" s="16"/>
      <c r="I641" s="16"/>
      <c r="J641" s="22"/>
      <c r="K641" s="16"/>
      <c r="L641" s="50"/>
      <c r="M641" s="16"/>
      <c r="N641" s="19"/>
      <c r="O641" s="19"/>
      <c r="P641" s="19"/>
      <c r="Q641" s="19"/>
      <c r="R641" s="19"/>
      <c r="S641" s="19"/>
      <c r="T641" s="19"/>
      <c r="U641" s="19"/>
      <c r="V641" s="19"/>
      <c r="W641" s="20"/>
      <c r="X641" s="43"/>
    </row>
    <row r="642" spans="1:24" ht="15.75" hidden="1" customHeight="1" x14ac:dyDescent="0.25">
      <c r="A642" s="16"/>
      <c r="B642" s="16" t="str">
        <f t="shared" si="3"/>
        <v/>
      </c>
      <c r="C642" s="16"/>
      <c r="D642" s="40"/>
      <c r="E642" s="16"/>
      <c r="F642" s="41"/>
      <c r="G642" s="16"/>
      <c r="H642" s="16"/>
      <c r="I642" s="16"/>
      <c r="J642" s="22"/>
      <c r="K642" s="16"/>
      <c r="L642" s="50"/>
      <c r="M642" s="16"/>
      <c r="N642" s="19"/>
      <c r="O642" s="19"/>
      <c r="P642" s="19"/>
      <c r="Q642" s="19"/>
      <c r="R642" s="19"/>
      <c r="S642" s="19"/>
      <c r="T642" s="19"/>
      <c r="U642" s="19"/>
      <c r="V642" s="19"/>
      <c r="W642" s="20"/>
      <c r="X642" s="43"/>
    </row>
    <row r="643" spans="1:24" ht="15.75" hidden="1" customHeight="1" x14ac:dyDescent="0.25">
      <c r="A643" s="16"/>
      <c r="B643" s="16" t="str">
        <f t="shared" si="3"/>
        <v/>
      </c>
      <c r="C643" s="16"/>
      <c r="D643" s="40"/>
      <c r="E643" s="16"/>
      <c r="F643" s="41"/>
      <c r="G643" s="16"/>
      <c r="H643" s="16"/>
      <c r="I643" s="16"/>
      <c r="J643" s="22"/>
      <c r="K643" s="16"/>
      <c r="L643" s="50"/>
      <c r="M643" s="16"/>
      <c r="N643" s="19"/>
      <c r="O643" s="19"/>
      <c r="P643" s="19"/>
      <c r="Q643" s="19"/>
      <c r="R643" s="19"/>
      <c r="S643" s="19"/>
      <c r="T643" s="19"/>
      <c r="U643" s="19"/>
      <c r="V643" s="19"/>
      <c r="W643" s="20"/>
      <c r="X643" s="43"/>
    </row>
    <row r="644" spans="1:24" ht="15.75" hidden="1" customHeight="1" x14ac:dyDescent="0.25">
      <c r="A644" s="16"/>
      <c r="B644" s="16" t="str">
        <f t="shared" si="3"/>
        <v/>
      </c>
      <c r="C644" s="16"/>
      <c r="D644" s="40"/>
      <c r="E644" s="16"/>
      <c r="F644" s="41"/>
      <c r="G644" s="16"/>
      <c r="H644" s="16"/>
      <c r="I644" s="16"/>
      <c r="J644" s="22"/>
      <c r="K644" s="16"/>
      <c r="L644" s="50"/>
      <c r="M644" s="16"/>
      <c r="N644" s="19"/>
      <c r="O644" s="19"/>
      <c r="P644" s="19"/>
      <c r="Q644" s="19"/>
      <c r="R644" s="19"/>
      <c r="S644" s="19"/>
      <c r="T644" s="19"/>
      <c r="U644" s="19"/>
      <c r="V644" s="19"/>
      <c r="W644" s="20"/>
      <c r="X644" s="43"/>
    </row>
    <row r="645" spans="1:24" ht="15.75" hidden="1" customHeight="1" x14ac:dyDescent="0.25">
      <c r="A645" s="16"/>
      <c r="B645" s="16" t="str">
        <f t="shared" si="3"/>
        <v/>
      </c>
      <c r="C645" s="16"/>
      <c r="D645" s="40"/>
      <c r="E645" s="16"/>
      <c r="F645" s="41"/>
      <c r="G645" s="16"/>
      <c r="H645" s="16"/>
      <c r="I645" s="16"/>
      <c r="J645" s="22"/>
      <c r="K645" s="16"/>
      <c r="L645" s="50"/>
      <c r="M645" s="16"/>
      <c r="N645" s="19"/>
      <c r="O645" s="19"/>
      <c r="P645" s="19"/>
      <c r="Q645" s="19"/>
      <c r="R645" s="19"/>
      <c r="S645" s="19"/>
      <c r="T645" s="19"/>
      <c r="U645" s="19"/>
      <c r="V645" s="19"/>
      <c r="W645" s="20"/>
      <c r="X645" s="43"/>
    </row>
    <row r="646" spans="1:24" ht="15.75" hidden="1" customHeight="1" x14ac:dyDescent="0.25">
      <c r="A646" s="16"/>
      <c r="B646" s="16" t="str">
        <f t="shared" si="3"/>
        <v/>
      </c>
      <c r="C646" s="16"/>
      <c r="D646" s="40"/>
      <c r="E646" s="16"/>
      <c r="F646" s="41"/>
      <c r="G646" s="16"/>
      <c r="H646" s="16"/>
      <c r="I646" s="16"/>
      <c r="J646" s="22"/>
      <c r="K646" s="16"/>
      <c r="L646" s="50"/>
      <c r="M646" s="16"/>
      <c r="N646" s="19"/>
      <c r="O646" s="19"/>
      <c r="P646" s="19"/>
      <c r="Q646" s="19"/>
      <c r="R646" s="19"/>
      <c r="S646" s="19"/>
      <c r="T646" s="19"/>
      <c r="U646" s="19"/>
      <c r="V646" s="19"/>
      <c r="W646" s="20"/>
      <c r="X646" s="43"/>
    </row>
    <row r="647" spans="1:24" ht="15.75" hidden="1" customHeight="1" x14ac:dyDescent="0.25">
      <c r="A647" s="16"/>
      <c r="B647" s="16" t="str">
        <f t="shared" si="3"/>
        <v/>
      </c>
      <c r="C647" s="16"/>
      <c r="D647" s="40"/>
      <c r="E647" s="16"/>
      <c r="F647" s="41"/>
      <c r="G647" s="16"/>
      <c r="H647" s="16"/>
      <c r="I647" s="16"/>
      <c r="J647" s="22"/>
      <c r="K647" s="16"/>
      <c r="L647" s="50"/>
      <c r="M647" s="16"/>
      <c r="N647" s="19"/>
      <c r="O647" s="19"/>
      <c r="P647" s="19"/>
      <c r="Q647" s="19"/>
      <c r="R647" s="19"/>
      <c r="S647" s="19"/>
      <c r="T647" s="19"/>
      <c r="U647" s="19"/>
      <c r="V647" s="19"/>
      <c r="W647" s="20"/>
      <c r="X647" s="43"/>
    </row>
    <row r="648" spans="1:24" ht="15.75" hidden="1" customHeight="1" x14ac:dyDescent="0.25">
      <c r="A648" s="16"/>
      <c r="B648" s="16" t="str">
        <f t="shared" si="3"/>
        <v/>
      </c>
      <c r="C648" s="16"/>
      <c r="D648" s="40"/>
      <c r="E648" s="16"/>
      <c r="F648" s="41"/>
      <c r="G648" s="16"/>
      <c r="H648" s="16"/>
      <c r="I648" s="16"/>
      <c r="J648" s="22"/>
      <c r="K648" s="16"/>
      <c r="L648" s="50"/>
      <c r="M648" s="16"/>
      <c r="N648" s="19"/>
      <c r="O648" s="19"/>
      <c r="P648" s="19"/>
      <c r="Q648" s="19"/>
      <c r="R648" s="19"/>
      <c r="S648" s="19"/>
      <c r="T648" s="19"/>
      <c r="U648" s="19"/>
      <c r="V648" s="19"/>
      <c r="W648" s="20"/>
      <c r="X648" s="43"/>
    </row>
    <row r="649" spans="1:24" ht="15.75" hidden="1" customHeight="1" x14ac:dyDescent="0.25">
      <c r="A649" s="16"/>
      <c r="B649" s="16" t="str">
        <f t="shared" si="3"/>
        <v/>
      </c>
      <c r="C649" s="16"/>
      <c r="D649" s="40"/>
      <c r="E649" s="16"/>
      <c r="F649" s="41"/>
      <c r="G649" s="16"/>
      <c r="H649" s="16"/>
      <c r="I649" s="16"/>
      <c r="J649" s="22"/>
      <c r="K649" s="16"/>
      <c r="L649" s="50"/>
      <c r="M649" s="16"/>
      <c r="N649" s="19"/>
      <c r="O649" s="19"/>
      <c r="P649" s="19"/>
      <c r="Q649" s="19"/>
      <c r="R649" s="19"/>
      <c r="S649" s="19"/>
      <c r="T649" s="19"/>
      <c r="U649" s="19"/>
      <c r="V649" s="19"/>
      <c r="W649" s="20"/>
      <c r="X649" s="43"/>
    </row>
    <row r="650" spans="1:24" ht="15.75" hidden="1" customHeight="1" x14ac:dyDescent="0.25">
      <c r="A650" s="16"/>
      <c r="B650" s="16" t="str">
        <f t="shared" si="3"/>
        <v/>
      </c>
      <c r="C650" s="16"/>
      <c r="D650" s="40"/>
      <c r="E650" s="16"/>
      <c r="F650" s="41"/>
      <c r="G650" s="16"/>
      <c r="H650" s="16"/>
      <c r="I650" s="16"/>
      <c r="J650" s="22"/>
      <c r="K650" s="16"/>
      <c r="L650" s="50"/>
      <c r="M650" s="16"/>
      <c r="N650" s="19"/>
      <c r="O650" s="19"/>
      <c r="P650" s="19"/>
      <c r="Q650" s="19"/>
      <c r="R650" s="19"/>
      <c r="S650" s="19"/>
      <c r="T650" s="19"/>
      <c r="U650" s="19"/>
      <c r="V650" s="19"/>
      <c r="W650" s="20"/>
      <c r="X650" s="43"/>
    </row>
    <row r="651" spans="1:24" ht="15.75" hidden="1" customHeight="1" x14ac:dyDescent="0.25">
      <c r="A651" s="16"/>
      <c r="B651" s="16" t="str">
        <f t="shared" si="3"/>
        <v/>
      </c>
      <c r="C651" s="16"/>
      <c r="D651" s="40"/>
      <c r="E651" s="16"/>
      <c r="F651" s="41"/>
      <c r="G651" s="16"/>
      <c r="H651" s="16"/>
      <c r="I651" s="16"/>
      <c r="J651" s="22"/>
      <c r="K651" s="16"/>
      <c r="L651" s="50"/>
      <c r="M651" s="16"/>
      <c r="N651" s="19"/>
      <c r="O651" s="19"/>
      <c r="P651" s="19"/>
      <c r="Q651" s="19"/>
      <c r="R651" s="19"/>
      <c r="S651" s="19"/>
      <c r="T651" s="19"/>
      <c r="U651" s="19"/>
      <c r="V651" s="19"/>
      <c r="W651" s="20"/>
      <c r="X651" s="43"/>
    </row>
    <row r="652" spans="1:24" ht="15.75" hidden="1" customHeight="1" x14ac:dyDescent="0.25">
      <c r="A652" s="16"/>
      <c r="B652" s="16" t="str">
        <f t="shared" si="3"/>
        <v/>
      </c>
      <c r="C652" s="16"/>
      <c r="D652" s="40"/>
      <c r="E652" s="16"/>
      <c r="F652" s="41"/>
      <c r="G652" s="16"/>
      <c r="H652" s="16"/>
      <c r="I652" s="16"/>
      <c r="J652" s="22"/>
      <c r="K652" s="16"/>
      <c r="L652" s="50"/>
      <c r="M652" s="16"/>
      <c r="N652" s="19"/>
      <c r="O652" s="19"/>
      <c r="P652" s="19"/>
      <c r="Q652" s="19"/>
      <c r="R652" s="19"/>
      <c r="S652" s="19"/>
      <c r="T652" s="19"/>
      <c r="U652" s="19"/>
      <c r="V652" s="19"/>
      <c r="W652" s="20"/>
      <c r="X652" s="43"/>
    </row>
    <row r="653" spans="1:24" ht="15.75" hidden="1" customHeight="1" x14ac:dyDescent="0.25">
      <c r="A653" s="16"/>
      <c r="B653" s="16" t="str">
        <f t="shared" si="3"/>
        <v/>
      </c>
      <c r="C653" s="16"/>
      <c r="D653" s="40"/>
      <c r="E653" s="16"/>
      <c r="F653" s="41"/>
      <c r="G653" s="16"/>
      <c r="H653" s="16"/>
      <c r="I653" s="16"/>
      <c r="J653" s="22"/>
      <c r="K653" s="16"/>
      <c r="L653" s="50"/>
      <c r="M653" s="16"/>
      <c r="N653" s="19"/>
      <c r="O653" s="19"/>
      <c r="P653" s="19"/>
      <c r="Q653" s="19"/>
      <c r="R653" s="19"/>
      <c r="S653" s="19"/>
      <c r="T653" s="19"/>
      <c r="U653" s="19"/>
      <c r="V653" s="19"/>
      <c r="W653" s="20"/>
      <c r="X653" s="43"/>
    </row>
    <row r="654" spans="1:24" ht="15.75" hidden="1" customHeight="1" x14ac:dyDescent="0.25">
      <c r="A654" s="16"/>
      <c r="B654" s="16" t="str">
        <f t="shared" si="3"/>
        <v/>
      </c>
      <c r="C654" s="16"/>
      <c r="D654" s="40"/>
      <c r="E654" s="16"/>
      <c r="F654" s="41"/>
      <c r="G654" s="16"/>
      <c r="H654" s="16"/>
      <c r="I654" s="16"/>
      <c r="J654" s="22"/>
      <c r="K654" s="16"/>
      <c r="L654" s="50"/>
      <c r="M654" s="16"/>
      <c r="N654" s="19"/>
      <c r="O654" s="19"/>
      <c r="P654" s="19"/>
      <c r="Q654" s="19"/>
      <c r="R654" s="19"/>
      <c r="S654" s="19"/>
      <c r="T654" s="19"/>
      <c r="U654" s="19"/>
      <c r="V654" s="19"/>
      <c r="W654" s="20"/>
      <c r="X654" s="43"/>
    </row>
    <row r="655" spans="1:24" ht="15.75" hidden="1" customHeight="1" x14ac:dyDescent="0.25">
      <c r="A655" s="16"/>
      <c r="B655" s="16" t="str">
        <f t="shared" si="3"/>
        <v/>
      </c>
      <c r="C655" s="16"/>
      <c r="D655" s="40"/>
      <c r="E655" s="16"/>
      <c r="F655" s="41"/>
      <c r="G655" s="16"/>
      <c r="H655" s="16"/>
      <c r="I655" s="16"/>
      <c r="J655" s="22"/>
      <c r="K655" s="16"/>
      <c r="L655" s="50"/>
      <c r="M655" s="16"/>
      <c r="N655" s="19"/>
      <c r="O655" s="19"/>
      <c r="P655" s="19"/>
      <c r="Q655" s="19"/>
      <c r="R655" s="19"/>
      <c r="S655" s="19"/>
      <c r="T655" s="19"/>
      <c r="U655" s="19"/>
      <c r="V655" s="19"/>
      <c r="W655" s="20"/>
      <c r="X655" s="43"/>
    </row>
    <row r="656" spans="1:24" ht="15.75" hidden="1" customHeight="1" x14ac:dyDescent="0.25">
      <c r="A656" s="16"/>
      <c r="B656" s="16" t="str">
        <f t="shared" si="3"/>
        <v/>
      </c>
      <c r="C656" s="16"/>
      <c r="D656" s="40"/>
      <c r="E656" s="16"/>
      <c r="F656" s="41"/>
      <c r="G656" s="16"/>
      <c r="H656" s="16"/>
      <c r="I656" s="16"/>
      <c r="J656" s="22"/>
      <c r="K656" s="16"/>
      <c r="L656" s="50"/>
      <c r="M656" s="16"/>
      <c r="N656" s="19"/>
      <c r="O656" s="19"/>
      <c r="P656" s="19"/>
      <c r="Q656" s="19"/>
      <c r="R656" s="19"/>
      <c r="S656" s="19"/>
      <c r="T656" s="19"/>
      <c r="U656" s="19"/>
      <c r="V656" s="19"/>
      <c r="W656" s="20"/>
      <c r="X656" s="43"/>
    </row>
    <row r="657" spans="1:24" ht="15.75" hidden="1" customHeight="1" x14ac:dyDescent="0.25">
      <c r="A657" s="16"/>
      <c r="B657" s="16" t="str">
        <f t="shared" si="3"/>
        <v/>
      </c>
      <c r="C657" s="16"/>
      <c r="D657" s="40"/>
      <c r="E657" s="16"/>
      <c r="F657" s="41"/>
      <c r="G657" s="16"/>
      <c r="H657" s="16"/>
      <c r="I657" s="16"/>
      <c r="J657" s="22"/>
      <c r="K657" s="16"/>
      <c r="L657" s="50"/>
      <c r="M657" s="16"/>
      <c r="N657" s="19"/>
      <c r="O657" s="19"/>
      <c r="P657" s="19"/>
      <c r="Q657" s="19"/>
      <c r="R657" s="19"/>
      <c r="S657" s="19"/>
      <c r="T657" s="19"/>
      <c r="U657" s="19"/>
      <c r="V657" s="19"/>
      <c r="W657" s="20"/>
      <c r="X657" s="43"/>
    </row>
    <row r="658" spans="1:24" ht="15.75" hidden="1" customHeight="1" x14ac:dyDescent="0.25">
      <c r="A658" s="16"/>
      <c r="B658" s="16" t="str">
        <f t="shared" si="3"/>
        <v/>
      </c>
      <c r="C658" s="16"/>
      <c r="D658" s="40"/>
      <c r="E658" s="16"/>
      <c r="F658" s="41"/>
      <c r="G658" s="16"/>
      <c r="H658" s="16"/>
      <c r="I658" s="16"/>
      <c r="J658" s="22"/>
      <c r="K658" s="16"/>
      <c r="L658" s="50"/>
      <c r="M658" s="16"/>
      <c r="N658" s="19"/>
      <c r="O658" s="19"/>
      <c r="P658" s="19"/>
      <c r="Q658" s="19"/>
      <c r="R658" s="19"/>
      <c r="S658" s="19"/>
      <c r="T658" s="19"/>
      <c r="U658" s="19"/>
      <c r="V658" s="19"/>
      <c r="W658" s="20"/>
      <c r="X658" s="43"/>
    </row>
    <row r="659" spans="1:24" ht="15.75" hidden="1" customHeight="1" x14ac:dyDescent="0.25">
      <c r="A659" s="16"/>
      <c r="B659" s="16" t="str">
        <f t="shared" si="3"/>
        <v/>
      </c>
      <c r="C659" s="16"/>
      <c r="D659" s="40"/>
      <c r="E659" s="16"/>
      <c r="F659" s="41"/>
      <c r="G659" s="16"/>
      <c r="H659" s="16"/>
      <c r="I659" s="16"/>
      <c r="J659" s="22"/>
      <c r="K659" s="16"/>
      <c r="L659" s="50"/>
      <c r="M659" s="16"/>
      <c r="N659" s="19"/>
      <c r="O659" s="19"/>
      <c r="P659" s="19"/>
      <c r="Q659" s="19"/>
      <c r="R659" s="19"/>
      <c r="S659" s="19"/>
      <c r="T659" s="19"/>
      <c r="U659" s="19"/>
      <c r="V659" s="19"/>
      <c r="W659" s="20"/>
      <c r="X659" s="43"/>
    </row>
    <row r="660" spans="1:24" ht="15.75" hidden="1" customHeight="1" x14ac:dyDescent="0.25">
      <c r="A660" s="16"/>
      <c r="B660" s="16" t="str">
        <f t="shared" si="3"/>
        <v/>
      </c>
      <c r="C660" s="16"/>
      <c r="D660" s="40"/>
      <c r="E660" s="16"/>
      <c r="F660" s="41"/>
      <c r="G660" s="16"/>
      <c r="H660" s="16"/>
      <c r="I660" s="16"/>
      <c r="J660" s="22"/>
      <c r="K660" s="16"/>
      <c r="L660" s="50"/>
      <c r="M660" s="16"/>
      <c r="N660" s="19"/>
      <c r="O660" s="19"/>
      <c r="P660" s="19"/>
      <c r="Q660" s="19"/>
      <c r="R660" s="19"/>
      <c r="S660" s="19"/>
      <c r="T660" s="19"/>
      <c r="U660" s="19"/>
      <c r="V660" s="19"/>
      <c r="W660" s="20"/>
      <c r="X660" s="43"/>
    </row>
    <row r="661" spans="1:24" ht="15.75" hidden="1" customHeight="1" x14ac:dyDescent="0.25">
      <c r="A661" s="16"/>
      <c r="B661" s="16" t="str">
        <f t="shared" si="3"/>
        <v/>
      </c>
      <c r="C661" s="16"/>
      <c r="D661" s="40"/>
      <c r="E661" s="16"/>
      <c r="F661" s="41"/>
      <c r="G661" s="16"/>
      <c r="H661" s="16"/>
      <c r="I661" s="16"/>
      <c r="J661" s="22"/>
      <c r="K661" s="16"/>
      <c r="L661" s="50"/>
      <c r="M661" s="16"/>
      <c r="N661" s="19"/>
      <c r="O661" s="19"/>
      <c r="P661" s="19"/>
      <c r="Q661" s="19"/>
      <c r="R661" s="19"/>
      <c r="S661" s="19"/>
      <c r="T661" s="19"/>
      <c r="U661" s="19"/>
      <c r="V661" s="19"/>
      <c r="W661" s="20"/>
      <c r="X661" s="43"/>
    </row>
    <row r="662" spans="1:24" ht="15.75" hidden="1" customHeight="1" x14ac:dyDescent="0.25">
      <c r="A662" s="16"/>
      <c r="B662" s="16" t="str">
        <f t="shared" si="3"/>
        <v/>
      </c>
      <c r="C662" s="16"/>
      <c r="D662" s="40"/>
      <c r="E662" s="16"/>
      <c r="F662" s="41"/>
      <c r="G662" s="16"/>
      <c r="H662" s="16"/>
      <c r="I662" s="16"/>
      <c r="J662" s="22"/>
      <c r="K662" s="16"/>
      <c r="L662" s="50"/>
      <c r="M662" s="16"/>
      <c r="N662" s="19"/>
      <c r="O662" s="19"/>
      <c r="P662" s="19"/>
      <c r="Q662" s="19"/>
      <c r="R662" s="19"/>
      <c r="S662" s="19"/>
      <c r="T662" s="19"/>
      <c r="U662" s="19"/>
      <c r="V662" s="19"/>
      <c r="W662" s="20"/>
      <c r="X662" s="43"/>
    </row>
    <row r="663" spans="1:24" ht="15.75" hidden="1" customHeight="1" x14ac:dyDescent="0.25">
      <c r="A663" s="16"/>
      <c r="B663" s="16" t="str">
        <f t="shared" si="3"/>
        <v/>
      </c>
      <c r="C663" s="16"/>
      <c r="D663" s="40"/>
      <c r="E663" s="16"/>
      <c r="F663" s="41"/>
      <c r="G663" s="16"/>
      <c r="H663" s="16"/>
      <c r="I663" s="16"/>
      <c r="J663" s="22"/>
      <c r="K663" s="16"/>
      <c r="L663" s="50"/>
      <c r="M663" s="16"/>
      <c r="N663" s="19"/>
      <c r="O663" s="19"/>
      <c r="P663" s="19"/>
      <c r="Q663" s="19"/>
      <c r="R663" s="19"/>
      <c r="S663" s="19"/>
      <c r="T663" s="19"/>
      <c r="U663" s="19"/>
      <c r="V663" s="19"/>
      <c r="W663" s="20"/>
      <c r="X663" s="43"/>
    </row>
    <row r="664" spans="1:24" ht="15.75" hidden="1" customHeight="1" x14ac:dyDescent="0.25">
      <c r="A664" s="16"/>
      <c r="B664" s="16" t="str">
        <f t="shared" si="3"/>
        <v/>
      </c>
      <c r="C664" s="16"/>
      <c r="D664" s="40"/>
      <c r="E664" s="16"/>
      <c r="F664" s="41"/>
      <c r="G664" s="16"/>
      <c r="H664" s="16"/>
      <c r="I664" s="16"/>
      <c r="J664" s="22"/>
      <c r="K664" s="16"/>
      <c r="L664" s="50"/>
      <c r="M664" s="16"/>
      <c r="N664" s="19"/>
      <c r="O664" s="19"/>
      <c r="P664" s="19"/>
      <c r="Q664" s="19"/>
      <c r="R664" s="19"/>
      <c r="S664" s="19"/>
      <c r="T664" s="19"/>
      <c r="U664" s="19"/>
      <c r="V664" s="19"/>
      <c r="W664" s="20"/>
      <c r="X664" s="43"/>
    </row>
    <row r="665" spans="1:24" ht="15.75" hidden="1" customHeight="1" x14ac:dyDescent="0.25">
      <c r="A665" s="16"/>
      <c r="B665" s="16" t="str">
        <f t="shared" si="3"/>
        <v/>
      </c>
      <c r="C665" s="16"/>
      <c r="D665" s="40"/>
      <c r="E665" s="16"/>
      <c r="F665" s="41"/>
      <c r="G665" s="16"/>
      <c r="H665" s="16"/>
      <c r="I665" s="16"/>
      <c r="J665" s="22"/>
      <c r="K665" s="16"/>
      <c r="L665" s="50"/>
      <c r="M665" s="16"/>
      <c r="N665" s="19"/>
      <c r="O665" s="19"/>
      <c r="P665" s="19"/>
      <c r="Q665" s="19"/>
      <c r="R665" s="19"/>
      <c r="S665" s="19"/>
      <c r="T665" s="19"/>
      <c r="U665" s="19"/>
      <c r="V665" s="19"/>
      <c r="W665" s="20"/>
      <c r="X665" s="43"/>
    </row>
    <row r="666" spans="1:24" ht="15.75" hidden="1" customHeight="1" x14ac:dyDescent="0.25">
      <c r="A666" s="16"/>
      <c r="B666" s="16" t="str">
        <f t="shared" si="3"/>
        <v/>
      </c>
      <c r="C666" s="16"/>
      <c r="D666" s="40"/>
      <c r="E666" s="16"/>
      <c r="F666" s="41"/>
      <c r="G666" s="16"/>
      <c r="H666" s="16"/>
      <c r="I666" s="16"/>
      <c r="J666" s="22"/>
      <c r="K666" s="16"/>
      <c r="L666" s="50"/>
      <c r="M666" s="16"/>
      <c r="N666" s="19"/>
      <c r="O666" s="19"/>
      <c r="P666" s="19"/>
      <c r="Q666" s="19"/>
      <c r="R666" s="19"/>
      <c r="S666" s="19"/>
      <c r="T666" s="19"/>
      <c r="U666" s="19"/>
      <c r="V666" s="19"/>
      <c r="W666" s="20"/>
      <c r="X666" s="43"/>
    </row>
    <row r="667" spans="1:24" ht="15.75" hidden="1" customHeight="1" x14ac:dyDescent="0.25">
      <c r="A667" s="16"/>
      <c r="B667" s="16" t="str">
        <f t="shared" si="3"/>
        <v/>
      </c>
      <c r="C667" s="16"/>
      <c r="D667" s="40"/>
      <c r="E667" s="16"/>
      <c r="F667" s="41"/>
      <c r="G667" s="16"/>
      <c r="H667" s="16"/>
      <c r="I667" s="16"/>
      <c r="J667" s="22"/>
      <c r="K667" s="16"/>
      <c r="L667" s="50"/>
      <c r="M667" s="16"/>
      <c r="N667" s="19"/>
      <c r="O667" s="19"/>
      <c r="P667" s="19"/>
      <c r="Q667" s="19"/>
      <c r="R667" s="19"/>
      <c r="S667" s="19"/>
      <c r="T667" s="19"/>
      <c r="U667" s="19"/>
      <c r="V667" s="19"/>
      <c r="W667" s="20"/>
      <c r="X667" s="43"/>
    </row>
    <row r="668" spans="1:24" ht="15.75" hidden="1" customHeight="1" x14ac:dyDescent="0.25">
      <c r="A668" s="16"/>
      <c r="B668" s="16" t="str">
        <f t="shared" si="3"/>
        <v/>
      </c>
      <c r="C668" s="16"/>
      <c r="D668" s="40"/>
      <c r="E668" s="16"/>
      <c r="F668" s="41"/>
      <c r="G668" s="16"/>
      <c r="H668" s="16"/>
      <c r="I668" s="16"/>
      <c r="J668" s="22"/>
      <c r="K668" s="16"/>
      <c r="L668" s="50"/>
      <c r="M668" s="16"/>
      <c r="N668" s="19"/>
      <c r="O668" s="19"/>
      <c r="P668" s="19"/>
      <c r="Q668" s="19"/>
      <c r="R668" s="19"/>
      <c r="S668" s="19"/>
      <c r="T668" s="19"/>
      <c r="U668" s="19"/>
      <c r="V668" s="19"/>
      <c r="W668" s="20"/>
      <c r="X668" s="43"/>
    </row>
    <row r="669" spans="1:24" ht="15.75" hidden="1" customHeight="1" x14ac:dyDescent="0.25">
      <c r="A669" s="16"/>
      <c r="B669" s="16" t="str">
        <f t="shared" si="3"/>
        <v/>
      </c>
      <c r="C669" s="16"/>
      <c r="D669" s="40"/>
      <c r="E669" s="16"/>
      <c r="F669" s="41"/>
      <c r="G669" s="16"/>
      <c r="H669" s="16"/>
      <c r="I669" s="16"/>
      <c r="J669" s="22"/>
      <c r="K669" s="16"/>
      <c r="L669" s="50"/>
      <c r="M669" s="16"/>
      <c r="N669" s="19"/>
      <c r="O669" s="19"/>
      <c r="P669" s="19"/>
      <c r="Q669" s="19"/>
      <c r="R669" s="19"/>
      <c r="S669" s="19"/>
      <c r="T669" s="19"/>
      <c r="U669" s="19"/>
      <c r="V669" s="19"/>
      <c r="W669" s="20"/>
      <c r="X669" s="43"/>
    </row>
    <row r="670" spans="1:24" ht="15.75" hidden="1" customHeight="1" x14ac:dyDescent="0.25">
      <c r="A670" s="16"/>
      <c r="B670" s="16" t="str">
        <f t="shared" si="3"/>
        <v/>
      </c>
      <c r="C670" s="16"/>
      <c r="D670" s="40"/>
      <c r="E670" s="16"/>
      <c r="F670" s="41"/>
      <c r="G670" s="16"/>
      <c r="H670" s="16"/>
      <c r="I670" s="16"/>
      <c r="J670" s="22"/>
      <c r="K670" s="16"/>
      <c r="L670" s="50"/>
      <c r="M670" s="16"/>
      <c r="N670" s="19"/>
      <c r="O670" s="19"/>
      <c r="P670" s="19"/>
      <c r="Q670" s="19"/>
      <c r="R670" s="19"/>
      <c r="S670" s="19"/>
      <c r="T670" s="19"/>
      <c r="U670" s="19"/>
      <c r="V670" s="19"/>
      <c r="W670" s="20"/>
      <c r="X670" s="43"/>
    </row>
    <row r="671" spans="1:24" ht="15.75" hidden="1" customHeight="1" x14ac:dyDescent="0.25">
      <c r="A671" s="16"/>
      <c r="B671" s="16" t="str">
        <f t="shared" si="3"/>
        <v/>
      </c>
      <c r="C671" s="16"/>
      <c r="D671" s="40"/>
      <c r="E671" s="16"/>
      <c r="F671" s="41"/>
      <c r="G671" s="16"/>
      <c r="H671" s="16"/>
      <c r="I671" s="16"/>
      <c r="J671" s="22"/>
      <c r="K671" s="16"/>
      <c r="L671" s="50"/>
      <c r="M671" s="16"/>
      <c r="N671" s="19"/>
      <c r="O671" s="19"/>
      <c r="P671" s="19"/>
      <c r="Q671" s="19"/>
      <c r="R671" s="19"/>
      <c r="S671" s="19"/>
      <c r="T671" s="19"/>
      <c r="U671" s="19"/>
      <c r="V671" s="19"/>
      <c r="W671" s="20"/>
      <c r="X671" s="43"/>
    </row>
    <row r="672" spans="1:24" ht="15.75" hidden="1" customHeight="1" x14ac:dyDescent="0.25">
      <c r="A672" s="16"/>
      <c r="B672" s="16" t="str">
        <f t="shared" si="3"/>
        <v/>
      </c>
      <c r="C672" s="16"/>
      <c r="D672" s="40"/>
      <c r="E672" s="16"/>
      <c r="F672" s="41"/>
      <c r="G672" s="16"/>
      <c r="H672" s="16"/>
      <c r="I672" s="16"/>
      <c r="J672" s="22"/>
      <c r="K672" s="16"/>
      <c r="L672" s="50"/>
      <c r="M672" s="16"/>
      <c r="N672" s="19"/>
      <c r="O672" s="19"/>
      <c r="P672" s="19"/>
      <c r="Q672" s="19"/>
      <c r="R672" s="19"/>
      <c r="S672" s="19"/>
      <c r="T672" s="19"/>
      <c r="U672" s="19"/>
      <c r="V672" s="19"/>
      <c r="W672" s="20"/>
      <c r="X672" s="43"/>
    </row>
    <row r="673" spans="1:24" ht="15.75" hidden="1" customHeight="1" x14ac:dyDescent="0.25">
      <c r="A673" s="16"/>
      <c r="B673" s="16" t="str">
        <f t="shared" si="3"/>
        <v/>
      </c>
      <c r="C673" s="16"/>
      <c r="D673" s="40"/>
      <c r="E673" s="16"/>
      <c r="F673" s="41"/>
      <c r="G673" s="16"/>
      <c r="H673" s="16"/>
      <c r="I673" s="16"/>
      <c r="J673" s="22"/>
      <c r="K673" s="16"/>
      <c r="L673" s="50"/>
      <c r="M673" s="16"/>
      <c r="N673" s="19"/>
      <c r="O673" s="19"/>
      <c r="P673" s="19"/>
      <c r="Q673" s="19"/>
      <c r="R673" s="19"/>
      <c r="S673" s="19"/>
      <c r="T673" s="19"/>
      <c r="U673" s="19"/>
      <c r="V673" s="19"/>
      <c r="W673" s="20"/>
      <c r="X673" s="43"/>
    </row>
    <row r="674" spans="1:24" ht="15.75" hidden="1" customHeight="1" x14ac:dyDescent="0.25">
      <c r="A674" s="16"/>
      <c r="B674" s="16" t="str">
        <f t="shared" si="3"/>
        <v/>
      </c>
      <c r="C674" s="16"/>
      <c r="D674" s="40"/>
      <c r="E674" s="16"/>
      <c r="F674" s="41"/>
      <c r="G674" s="16"/>
      <c r="H674" s="16"/>
      <c r="I674" s="16"/>
      <c r="J674" s="22"/>
      <c r="K674" s="16"/>
      <c r="L674" s="50"/>
      <c r="M674" s="16"/>
      <c r="N674" s="19"/>
      <c r="O674" s="19"/>
      <c r="P674" s="19"/>
      <c r="Q674" s="19"/>
      <c r="R674" s="19"/>
      <c r="S674" s="19"/>
      <c r="T674" s="19"/>
      <c r="U674" s="19"/>
      <c r="V674" s="19"/>
      <c r="W674" s="20"/>
      <c r="X674" s="43"/>
    </row>
    <row r="675" spans="1:24" ht="15.75" hidden="1" customHeight="1" x14ac:dyDescent="0.25">
      <c r="A675" s="16"/>
      <c r="B675" s="16" t="str">
        <f t="shared" si="3"/>
        <v/>
      </c>
      <c r="C675" s="16"/>
      <c r="D675" s="40"/>
      <c r="E675" s="16"/>
      <c r="F675" s="41"/>
      <c r="G675" s="16"/>
      <c r="H675" s="16"/>
      <c r="I675" s="16"/>
      <c r="J675" s="22"/>
      <c r="K675" s="16"/>
      <c r="L675" s="50"/>
      <c r="M675" s="16"/>
      <c r="N675" s="19"/>
      <c r="O675" s="19"/>
      <c r="P675" s="19"/>
      <c r="Q675" s="19"/>
      <c r="R675" s="19"/>
      <c r="S675" s="19"/>
      <c r="T675" s="19"/>
      <c r="U675" s="19"/>
      <c r="V675" s="19"/>
      <c r="W675" s="20"/>
      <c r="X675" s="43"/>
    </row>
    <row r="676" spans="1:24" ht="15.75" hidden="1" customHeight="1" x14ac:dyDescent="0.25">
      <c r="A676" s="16"/>
      <c r="B676" s="16" t="str">
        <f t="shared" si="3"/>
        <v/>
      </c>
      <c r="C676" s="16"/>
      <c r="D676" s="40"/>
      <c r="E676" s="16"/>
      <c r="F676" s="41"/>
      <c r="G676" s="16"/>
      <c r="H676" s="16"/>
      <c r="I676" s="16"/>
      <c r="J676" s="22"/>
      <c r="K676" s="16"/>
      <c r="L676" s="50"/>
      <c r="M676" s="16"/>
      <c r="N676" s="19"/>
      <c r="O676" s="19"/>
      <c r="P676" s="19"/>
      <c r="Q676" s="19"/>
      <c r="R676" s="19"/>
      <c r="S676" s="19"/>
      <c r="T676" s="19"/>
      <c r="U676" s="19"/>
      <c r="V676" s="19"/>
      <c r="W676" s="20"/>
      <c r="X676" s="43"/>
    </row>
    <row r="677" spans="1:24" ht="15.75" hidden="1" customHeight="1" x14ac:dyDescent="0.25">
      <c r="A677" s="16"/>
      <c r="B677" s="16" t="str">
        <f t="shared" si="3"/>
        <v/>
      </c>
      <c r="C677" s="16"/>
      <c r="D677" s="40"/>
      <c r="E677" s="16"/>
      <c r="F677" s="41"/>
      <c r="G677" s="16"/>
      <c r="H677" s="16"/>
      <c r="I677" s="16"/>
      <c r="J677" s="22"/>
      <c r="K677" s="16"/>
      <c r="L677" s="50"/>
      <c r="M677" s="16"/>
      <c r="N677" s="19"/>
      <c r="O677" s="19"/>
      <c r="P677" s="19"/>
      <c r="Q677" s="19"/>
      <c r="R677" s="19"/>
      <c r="S677" s="19"/>
      <c r="T677" s="19"/>
      <c r="U677" s="19"/>
      <c r="V677" s="19"/>
      <c r="W677" s="20"/>
      <c r="X677" s="43"/>
    </row>
    <row r="678" spans="1:24" ht="15.75" hidden="1" customHeight="1" x14ac:dyDescent="0.25">
      <c r="A678" s="16"/>
      <c r="B678" s="16" t="str">
        <f t="shared" si="3"/>
        <v/>
      </c>
      <c r="C678" s="16"/>
      <c r="D678" s="40"/>
      <c r="E678" s="16"/>
      <c r="F678" s="41"/>
      <c r="G678" s="16"/>
      <c r="H678" s="16"/>
      <c r="I678" s="16"/>
      <c r="J678" s="22"/>
      <c r="K678" s="16"/>
      <c r="L678" s="50"/>
      <c r="M678" s="16"/>
      <c r="N678" s="19"/>
      <c r="O678" s="19"/>
      <c r="P678" s="19"/>
      <c r="Q678" s="19"/>
      <c r="R678" s="19"/>
      <c r="S678" s="19"/>
      <c r="T678" s="19"/>
      <c r="U678" s="19"/>
      <c r="V678" s="19"/>
      <c r="W678" s="20"/>
      <c r="X678" s="43"/>
    </row>
    <row r="679" spans="1:24" ht="15.75" hidden="1" customHeight="1" x14ac:dyDescent="0.25">
      <c r="A679" s="16"/>
      <c r="B679" s="16" t="str">
        <f t="shared" si="3"/>
        <v/>
      </c>
      <c r="C679" s="16"/>
      <c r="D679" s="40"/>
      <c r="E679" s="16"/>
      <c r="F679" s="41"/>
      <c r="G679" s="16"/>
      <c r="H679" s="16"/>
      <c r="I679" s="16"/>
      <c r="J679" s="22"/>
      <c r="K679" s="16"/>
      <c r="L679" s="50"/>
      <c r="M679" s="16"/>
      <c r="N679" s="19"/>
      <c r="O679" s="19"/>
      <c r="P679" s="19"/>
      <c r="Q679" s="19"/>
      <c r="R679" s="19"/>
      <c r="S679" s="19"/>
      <c r="T679" s="19"/>
      <c r="U679" s="19"/>
      <c r="V679" s="19"/>
      <c r="W679" s="20"/>
      <c r="X679" s="43"/>
    </row>
    <row r="680" spans="1:24" ht="15.75" hidden="1" customHeight="1" x14ac:dyDescent="0.25">
      <c r="A680" s="16"/>
      <c r="B680" s="16" t="str">
        <f t="shared" si="3"/>
        <v/>
      </c>
      <c r="C680" s="16"/>
      <c r="D680" s="40"/>
      <c r="E680" s="16"/>
      <c r="F680" s="41"/>
      <c r="G680" s="16"/>
      <c r="H680" s="16"/>
      <c r="I680" s="16"/>
      <c r="J680" s="22"/>
      <c r="K680" s="16"/>
      <c r="L680" s="50"/>
      <c r="M680" s="16"/>
      <c r="N680" s="19"/>
      <c r="O680" s="19"/>
      <c r="P680" s="19"/>
      <c r="Q680" s="19"/>
      <c r="R680" s="19"/>
      <c r="S680" s="19"/>
      <c r="T680" s="19"/>
      <c r="U680" s="19"/>
      <c r="V680" s="19"/>
      <c r="W680" s="20"/>
      <c r="X680" s="43"/>
    </row>
    <row r="681" spans="1:24" ht="15.75" hidden="1" customHeight="1" x14ac:dyDescent="0.25">
      <c r="A681" s="16"/>
      <c r="B681" s="16" t="str">
        <f t="shared" si="3"/>
        <v/>
      </c>
      <c r="C681" s="16"/>
      <c r="D681" s="40"/>
      <c r="E681" s="16"/>
      <c r="F681" s="41"/>
      <c r="G681" s="16"/>
      <c r="H681" s="16"/>
      <c r="I681" s="16"/>
      <c r="J681" s="22"/>
      <c r="K681" s="16"/>
      <c r="L681" s="50"/>
      <c r="M681" s="16"/>
      <c r="N681" s="19"/>
      <c r="O681" s="19"/>
      <c r="P681" s="19"/>
      <c r="Q681" s="19"/>
      <c r="R681" s="19"/>
      <c r="S681" s="19"/>
      <c r="T681" s="19"/>
      <c r="U681" s="19"/>
      <c r="V681" s="19"/>
      <c r="W681" s="20"/>
      <c r="X681" s="43"/>
    </row>
    <row r="682" spans="1:24" ht="15.75" hidden="1" customHeight="1" x14ac:dyDescent="0.25">
      <c r="A682" s="16"/>
      <c r="B682" s="16" t="str">
        <f t="shared" si="3"/>
        <v/>
      </c>
      <c r="C682" s="16"/>
      <c r="D682" s="40"/>
      <c r="E682" s="16"/>
      <c r="F682" s="41"/>
      <c r="G682" s="16"/>
      <c r="H682" s="16"/>
      <c r="I682" s="16"/>
      <c r="J682" s="22"/>
      <c r="K682" s="16"/>
      <c r="L682" s="50"/>
      <c r="M682" s="16"/>
      <c r="N682" s="19"/>
      <c r="O682" s="19"/>
      <c r="P682" s="19"/>
      <c r="Q682" s="19"/>
      <c r="R682" s="19"/>
      <c r="S682" s="19"/>
      <c r="T682" s="19"/>
      <c r="U682" s="19"/>
      <c r="V682" s="19"/>
      <c r="W682" s="20"/>
      <c r="X682" s="43"/>
    </row>
    <row r="683" spans="1:24" ht="15.75" hidden="1" customHeight="1" x14ac:dyDescent="0.25">
      <c r="A683" s="16"/>
      <c r="B683" s="16" t="str">
        <f t="shared" si="3"/>
        <v/>
      </c>
      <c r="C683" s="16"/>
      <c r="D683" s="40"/>
      <c r="E683" s="16"/>
      <c r="F683" s="41"/>
      <c r="G683" s="16"/>
      <c r="H683" s="16"/>
      <c r="I683" s="16"/>
      <c r="J683" s="22"/>
      <c r="K683" s="16"/>
      <c r="L683" s="50"/>
      <c r="M683" s="16"/>
      <c r="N683" s="19"/>
      <c r="O683" s="19"/>
      <c r="P683" s="19"/>
      <c r="Q683" s="19"/>
      <c r="R683" s="19"/>
      <c r="S683" s="19"/>
      <c r="T683" s="19"/>
      <c r="U683" s="19"/>
      <c r="V683" s="19"/>
      <c r="W683" s="20"/>
      <c r="X683" s="43"/>
    </row>
    <row r="684" spans="1:24" ht="15.75" hidden="1" customHeight="1" x14ac:dyDescent="0.25">
      <c r="A684" s="16"/>
      <c r="B684" s="16" t="str">
        <f t="shared" si="3"/>
        <v/>
      </c>
      <c r="C684" s="16"/>
      <c r="D684" s="40"/>
      <c r="E684" s="16"/>
      <c r="F684" s="41"/>
      <c r="G684" s="16"/>
      <c r="H684" s="16"/>
      <c r="I684" s="16"/>
      <c r="J684" s="22"/>
      <c r="K684" s="16"/>
      <c r="L684" s="50"/>
      <c r="M684" s="16"/>
      <c r="N684" s="19"/>
      <c r="O684" s="19"/>
      <c r="P684" s="19"/>
      <c r="Q684" s="19"/>
      <c r="R684" s="19"/>
      <c r="S684" s="19"/>
      <c r="T684" s="19"/>
      <c r="U684" s="19"/>
      <c r="V684" s="19"/>
      <c r="W684" s="20"/>
      <c r="X684" s="43"/>
    </row>
    <row r="685" spans="1:24" ht="15.75" hidden="1" customHeight="1" x14ac:dyDescent="0.25">
      <c r="A685" s="16"/>
      <c r="B685" s="16" t="str">
        <f t="shared" si="3"/>
        <v/>
      </c>
      <c r="C685" s="16"/>
      <c r="D685" s="40"/>
      <c r="E685" s="16"/>
      <c r="F685" s="41"/>
      <c r="G685" s="16"/>
      <c r="H685" s="16"/>
      <c r="I685" s="16"/>
      <c r="J685" s="22"/>
      <c r="K685" s="16"/>
      <c r="L685" s="50"/>
      <c r="M685" s="16"/>
      <c r="N685" s="19"/>
      <c r="O685" s="19"/>
      <c r="P685" s="19"/>
      <c r="Q685" s="19"/>
      <c r="R685" s="19"/>
      <c r="S685" s="19"/>
      <c r="T685" s="19"/>
      <c r="U685" s="19"/>
      <c r="V685" s="19"/>
      <c r="W685" s="20"/>
      <c r="X685" s="43"/>
    </row>
    <row r="686" spans="1:24" ht="15.75" hidden="1" customHeight="1" x14ac:dyDescent="0.25">
      <c r="A686" s="16"/>
      <c r="B686" s="16" t="str">
        <f t="shared" si="3"/>
        <v/>
      </c>
      <c r="C686" s="16"/>
      <c r="D686" s="40"/>
      <c r="E686" s="16"/>
      <c r="F686" s="41"/>
      <c r="G686" s="16"/>
      <c r="H686" s="16"/>
      <c r="I686" s="16"/>
      <c r="J686" s="22"/>
      <c r="K686" s="16"/>
      <c r="L686" s="50"/>
      <c r="M686" s="16"/>
      <c r="N686" s="19"/>
      <c r="O686" s="19"/>
      <c r="P686" s="19"/>
      <c r="Q686" s="19"/>
      <c r="R686" s="19"/>
      <c r="S686" s="19"/>
      <c r="T686" s="19"/>
      <c r="U686" s="19"/>
      <c r="V686" s="19"/>
      <c r="W686" s="20"/>
      <c r="X686" s="43"/>
    </row>
    <row r="687" spans="1:24" ht="15.75" hidden="1" customHeight="1" x14ac:dyDescent="0.25">
      <c r="A687" s="16"/>
      <c r="B687" s="16" t="str">
        <f t="shared" si="3"/>
        <v/>
      </c>
      <c r="C687" s="16"/>
      <c r="D687" s="40"/>
      <c r="E687" s="16"/>
      <c r="F687" s="41"/>
      <c r="G687" s="16"/>
      <c r="H687" s="16"/>
      <c r="I687" s="16"/>
      <c r="J687" s="22"/>
      <c r="K687" s="16"/>
      <c r="L687" s="50"/>
      <c r="M687" s="16"/>
      <c r="N687" s="19"/>
      <c r="O687" s="19"/>
      <c r="P687" s="19"/>
      <c r="Q687" s="19"/>
      <c r="R687" s="19"/>
      <c r="S687" s="19"/>
      <c r="T687" s="19"/>
      <c r="U687" s="19"/>
      <c r="V687" s="19"/>
      <c r="W687" s="20"/>
      <c r="X687" s="43"/>
    </row>
    <row r="688" spans="1:24" ht="15.75" hidden="1" customHeight="1" x14ac:dyDescent="0.25">
      <c r="A688" s="16"/>
      <c r="B688" s="16" t="str">
        <f t="shared" si="3"/>
        <v/>
      </c>
      <c r="C688" s="16"/>
      <c r="D688" s="40"/>
      <c r="E688" s="16"/>
      <c r="F688" s="41"/>
      <c r="G688" s="16"/>
      <c r="H688" s="16"/>
      <c r="I688" s="16"/>
      <c r="J688" s="22"/>
      <c r="K688" s="16"/>
      <c r="L688" s="50"/>
      <c r="M688" s="16"/>
      <c r="N688" s="19"/>
      <c r="O688" s="19"/>
      <c r="P688" s="19"/>
      <c r="Q688" s="19"/>
      <c r="R688" s="19"/>
      <c r="S688" s="19"/>
      <c r="T688" s="19"/>
      <c r="U688" s="19"/>
      <c r="V688" s="19"/>
      <c r="W688" s="20"/>
      <c r="X688" s="43"/>
    </row>
    <row r="689" spans="1:24" ht="15.75" hidden="1" customHeight="1" x14ac:dyDescent="0.25">
      <c r="A689" s="16"/>
      <c r="B689" s="16" t="str">
        <f t="shared" si="3"/>
        <v/>
      </c>
      <c r="C689" s="16"/>
      <c r="D689" s="40"/>
      <c r="E689" s="16"/>
      <c r="F689" s="41"/>
      <c r="G689" s="16"/>
      <c r="H689" s="16"/>
      <c r="I689" s="16"/>
      <c r="J689" s="22"/>
      <c r="K689" s="16"/>
      <c r="L689" s="50"/>
      <c r="M689" s="16"/>
      <c r="N689" s="19"/>
      <c r="O689" s="19"/>
      <c r="P689" s="19"/>
      <c r="Q689" s="19"/>
      <c r="R689" s="19"/>
      <c r="S689" s="19"/>
      <c r="T689" s="19"/>
      <c r="U689" s="19"/>
      <c r="V689" s="19"/>
      <c r="W689" s="20"/>
      <c r="X689" s="43"/>
    </row>
    <row r="690" spans="1:24" ht="15.75" hidden="1" customHeight="1" x14ac:dyDescent="0.25">
      <c r="A690" s="16"/>
      <c r="B690" s="16" t="str">
        <f t="shared" si="3"/>
        <v/>
      </c>
      <c r="C690" s="16"/>
      <c r="D690" s="40"/>
      <c r="E690" s="16"/>
      <c r="F690" s="41"/>
      <c r="G690" s="16"/>
      <c r="H690" s="16"/>
      <c r="I690" s="16"/>
      <c r="J690" s="22"/>
      <c r="K690" s="16"/>
      <c r="L690" s="50"/>
      <c r="M690" s="16"/>
      <c r="N690" s="19"/>
      <c r="O690" s="19"/>
      <c r="P690" s="19"/>
      <c r="Q690" s="19"/>
      <c r="R690" s="19"/>
      <c r="S690" s="19"/>
      <c r="T690" s="19"/>
      <c r="U690" s="19"/>
      <c r="V690" s="19"/>
      <c r="W690" s="20"/>
      <c r="X690" s="43"/>
    </row>
    <row r="691" spans="1:24" ht="15.75" hidden="1" customHeight="1" x14ac:dyDescent="0.25">
      <c r="A691" s="16"/>
      <c r="B691" s="16" t="str">
        <f t="shared" si="3"/>
        <v/>
      </c>
      <c r="C691" s="16"/>
      <c r="D691" s="40"/>
      <c r="E691" s="16"/>
      <c r="F691" s="41"/>
      <c r="G691" s="16"/>
      <c r="H691" s="16"/>
      <c r="I691" s="16"/>
      <c r="J691" s="22"/>
      <c r="K691" s="16"/>
      <c r="L691" s="50"/>
      <c r="M691" s="16"/>
      <c r="N691" s="19"/>
      <c r="O691" s="19"/>
      <c r="P691" s="19"/>
      <c r="Q691" s="19"/>
      <c r="R691" s="19"/>
      <c r="S691" s="19"/>
      <c r="T691" s="19"/>
      <c r="U691" s="19"/>
      <c r="V691" s="19"/>
      <c r="W691" s="20"/>
      <c r="X691" s="43"/>
    </row>
    <row r="692" spans="1:24" ht="15.75" hidden="1" customHeight="1" x14ac:dyDescent="0.25">
      <c r="A692" s="16"/>
      <c r="B692" s="16" t="str">
        <f t="shared" si="3"/>
        <v/>
      </c>
      <c r="C692" s="16"/>
      <c r="D692" s="40"/>
      <c r="E692" s="16"/>
      <c r="F692" s="41"/>
      <c r="G692" s="16"/>
      <c r="H692" s="16"/>
      <c r="I692" s="16"/>
      <c r="J692" s="22"/>
      <c r="K692" s="16"/>
      <c r="L692" s="50"/>
      <c r="M692" s="16"/>
      <c r="N692" s="19"/>
      <c r="O692" s="19"/>
      <c r="P692" s="19"/>
      <c r="Q692" s="19"/>
      <c r="R692" s="19"/>
      <c r="S692" s="19"/>
      <c r="T692" s="19"/>
      <c r="U692" s="19"/>
      <c r="V692" s="19"/>
      <c r="W692" s="20"/>
      <c r="X692" s="43"/>
    </row>
    <row r="693" spans="1:24" ht="15.75" hidden="1" customHeight="1" x14ac:dyDescent="0.25">
      <c r="A693" s="16"/>
      <c r="B693" s="16" t="str">
        <f t="shared" si="3"/>
        <v/>
      </c>
      <c r="C693" s="16"/>
      <c r="D693" s="40"/>
      <c r="E693" s="16"/>
      <c r="F693" s="41"/>
      <c r="G693" s="16"/>
      <c r="H693" s="16"/>
      <c r="I693" s="16"/>
      <c r="J693" s="22"/>
      <c r="K693" s="16"/>
      <c r="L693" s="50"/>
      <c r="M693" s="16"/>
      <c r="N693" s="19"/>
      <c r="O693" s="19"/>
      <c r="P693" s="19"/>
      <c r="Q693" s="19"/>
      <c r="R693" s="19"/>
      <c r="S693" s="19"/>
      <c r="T693" s="19"/>
      <c r="U693" s="19"/>
      <c r="V693" s="19"/>
      <c r="W693" s="20"/>
      <c r="X693" s="43"/>
    </row>
    <row r="694" spans="1:24" ht="15.75" hidden="1" customHeight="1" x14ac:dyDescent="0.25">
      <c r="A694" s="16"/>
      <c r="B694" s="16" t="str">
        <f t="shared" si="3"/>
        <v/>
      </c>
      <c r="C694" s="16"/>
      <c r="D694" s="40"/>
      <c r="E694" s="16"/>
      <c r="F694" s="41"/>
      <c r="G694" s="16"/>
      <c r="H694" s="16"/>
      <c r="I694" s="16"/>
      <c r="J694" s="22"/>
      <c r="K694" s="16"/>
      <c r="L694" s="50"/>
      <c r="M694" s="16"/>
      <c r="N694" s="19"/>
      <c r="O694" s="19"/>
      <c r="P694" s="19"/>
      <c r="Q694" s="19"/>
      <c r="R694" s="19"/>
      <c r="S694" s="19"/>
      <c r="T694" s="19"/>
      <c r="U694" s="19"/>
      <c r="V694" s="19"/>
      <c r="W694" s="20"/>
      <c r="X694" s="43"/>
    </row>
    <row r="695" spans="1:24" ht="15.75" hidden="1" customHeight="1" x14ac:dyDescent="0.25">
      <c r="A695" s="16"/>
      <c r="B695" s="16" t="str">
        <f t="shared" si="3"/>
        <v/>
      </c>
      <c r="C695" s="16"/>
      <c r="D695" s="40"/>
      <c r="E695" s="16"/>
      <c r="F695" s="41"/>
      <c r="G695" s="16"/>
      <c r="H695" s="16"/>
      <c r="I695" s="16"/>
      <c r="J695" s="22"/>
      <c r="K695" s="16"/>
      <c r="L695" s="50"/>
      <c r="M695" s="16"/>
      <c r="N695" s="19"/>
      <c r="O695" s="19"/>
      <c r="P695" s="19"/>
      <c r="Q695" s="19"/>
      <c r="R695" s="19"/>
      <c r="S695" s="19"/>
      <c r="T695" s="19"/>
      <c r="U695" s="19"/>
      <c r="V695" s="19"/>
      <c r="W695" s="20"/>
      <c r="X695" s="43"/>
    </row>
    <row r="696" spans="1:24" ht="15.75" hidden="1" customHeight="1" x14ac:dyDescent="0.25">
      <c r="A696" s="16"/>
      <c r="B696" s="16" t="str">
        <f t="shared" si="3"/>
        <v/>
      </c>
      <c r="C696" s="16"/>
      <c r="D696" s="40"/>
      <c r="E696" s="16"/>
      <c r="F696" s="41"/>
      <c r="G696" s="16"/>
      <c r="H696" s="16"/>
      <c r="I696" s="16"/>
      <c r="J696" s="22"/>
      <c r="K696" s="16"/>
      <c r="L696" s="50"/>
      <c r="M696" s="16"/>
      <c r="N696" s="19"/>
      <c r="O696" s="19"/>
      <c r="P696" s="19"/>
      <c r="Q696" s="19"/>
      <c r="R696" s="19"/>
      <c r="S696" s="19"/>
      <c r="T696" s="19"/>
      <c r="U696" s="19"/>
      <c r="V696" s="19"/>
      <c r="W696" s="20"/>
      <c r="X696" s="43"/>
    </row>
    <row r="697" spans="1:24" ht="15.75" hidden="1" customHeight="1" x14ac:dyDescent="0.25">
      <c r="A697" s="16"/>
      <c r="B697" s="16" t="str">
        <f t="shared" si="3"/>
        <v/>
      </c>
      <c r="C697" s="16"/>
      <c r="D697" s="40"/>
      <c r="E697" s="16"/>
      <c r="F697" s="41"/>
      <c r="G697" s="16"/>
      <c r="H697" s="16"/>
      <c r="I697" s="16"/>
      <c r="J697" s="22"/>
      <c r="K697" s="16"/>
      <c r="L697" s="50"/>
      <c r="M697" s="16"/>
      <c r="N697" s="19"/>
      <c r="O697" s="19"/>
      <c r="P697" s="19"/>
      <c r="Q697" s="19"/>
      <c r="R697" s="19"/>
      <c r="S697" s="19"/>
      <c r="T697" s="19"/>
      <c r="U697" s="19"/>
      <c r="V697" s="19"/>
      <c r="W697" s="20"/>
      <c r="X697" s="43"/>
    </row>
    <row r="698" spans="1:24" ht="15.75" hidden="1" customHeight="1" x14ac:dyDescent="0.25">
      <c r="A698" s="16"/>
      <c r="B698" s="16" t="str">
        <f t="shared" si="3"/>
        <v/>
      </c>
      <c r="C698" s="16"/>
      <c r="D698" s="40"/>
      <c r="E698" s="16"/>
      <c r="F698" s="41"/>
      <c r="G698" s="16"/>
      <c r="H698" s="16"/>
      <c r="I698" s="16"/>
      <c r="J698" s="22"/>
      <c r="K698" s="16"/>
      <c r="L698" s="50"/>
      <c r="M698" s="16"/>
      <c r="N698" s="19"/>
      <c r="O698" s="19"/>
      <c r="P698" s="19"/>
      <c r="Q698" s="19"/>
      <c r="R698" s="19"/>
      <c r="S698" s="19"/>
      <c r="T698" s="19"/>
      <c r="U698" s="19"/>
      <c r="V698" s="19"/>
      <c r="W698" s="20"/>
      <c r="X698" s="43"/>
    </row>
    <row r="699" spans="1:24" ht="15.75" hidden="1" customHeight="1" x14ac:dyDescent="0.25">
      <c r="A699" s="16"/>
      <c r="B699" s="16" t="str">
        <f t="shared" si="3"/>
        <v/>
      </c>
      <c r="C699" s="16"/>
      <c r="D699" s="40"/>
      <c r="E699" s="16"/>
      <c r="F699" s="41"/>
      <c r="G699" s="16"/>
      <c r="H699" s="16"/>
      <c r="I699" s="16"/>
      <c r="J699" s="22"/>
      <c r="K699" s="16"/>
      <c r="L699" s="50"/>
      <c r="M699" s="16"/>
      <c r="N699" s="19"/>
      <c r="O699" s="19"/>
      <c r="P699" s="19"/>
      <c r="Q699" s="19"/>
      <c r="R699" s="19"/>
      <c r="S699" s="19"/>
      <c r="T699" s="19"/>
      <c r="U699" s="19"/>
      <c r="V699" s="19"/>
      <c r="W699" s="20"/>
      <c r="X699" s="43"/>
    </row>
    <row r="700" spans="1:24" ht="15.75" hidden="1" customHeight="1" x14ac:dyDescent="0.25">
      <c r="A700" s="16"/>
      <c r="B700" s="16" t="str">
        <f t="shared" si="3"/>
        <v/>
      </c>
      <c r="C700" s="16"/>
      <c r="D700" s="40"/>
      <c r="E700" s="16"/>
      <c r="F700" s="41"/>
      <c r="G700" s="16"/>
      <c r="H700" s="16"/>
      <c r="I700" s="16"/>
      <c r="J700" s="22"/>
      <c r="K700" s="16"/>
      <c r="L700" s="50"/>
      <c r="M700" s="16"/>
      <c r="N700" s="19"/>
      <c r="O700" s="19"/>
      <c r="P700" s="19"/>
      <c r="Q700" s="19"/>
      <c r="R700" s="19"/>
      <c r="S700" s="19"/>
      <c r="T700" s="19"/>
      <c r="U700" s="19"/>
      <c r="V700" s="19"/>
      <c r="W700" s="20"/>
      <c r="X700" s="43"/>
    </row>
    <row r="701" spans="1:24" ht="15.75" hidden="1" customHeight="1" x14ac:dyDescent="0.25">
      <c r="A701" s="16"/>
      <c r="B701" s="16" t="str">
        <f t="shared" si="3"/>
        <v/>
      </c>
      <c r="C701" s="16"/>
      <c r="D701" s="40"/>
      <c r="E701" s="16"/>
      <c r="F701" s="41"/>
      <c r="G701" s="16"/>
      <c r="H701" s="16"/>
      <c r="I701" s="16"/>
      <c r="J701" s="22"/>
      <c r="K701" s="16"/>
      <c r="L701" s="50"/>
      <c r="M701" s="16"/>
      <c r="N701" s="19"/>
      <c r="O701" s="19"/>
      <c r="P701" s="19"/>
      <c r="Q701" s="19"/>
      <c r="R701" s="19"/>
      <c r="S701" s="19"/>
      <c r="T701" s="19"/>
      <c r="U701" s="19"/>
      <c r="V701" s="19"/>
      <c r="W701" s="20"/>
      <c r="X701" s="43"/>
    </row>
    <row r="702" spans="1:24" ht="15.75" hidden="1" customHeight="1" x14ac:dyDescent="0.25">
      <c r="A702" s="16"/>
      <c r="B702" s="16" t="str">
        <f t="shared" si="3"/>
        <v/>
      </c>
      <c r="C702" s="16"/>
      <c r="D702" s="40"/>
      <c r="E702" s="16"/>
      <c r="F702" s="41"/>
      <c r="G702" s="16"/>
      <c r="H702" s="16"/>
      <c r="I702" s="16"/>
      <c r="J702" s="22"/>
      <c r="K702" s="16"/>
      <c r="L702" s="50"/>
      <c r="M702" s="16"/>
      <c r="N702" s="19"/>
      <c r="O702" s="19"/>
      <c r="P702" s="19"/>
      <c r="Q702" s="19"/>
      <c r="R702" s="19"/>
      <c r="S702" s="19"/>
      <c r="T702" s="19"/>
      <c r="U702" s="19"/>
      <c r="V702" s="19"/>
      <c r="W702" s="20"/>
      <c r="X702" s="43"/>
    </row>
    <row r="703" spans="1:24" ht="15.75" hidden="1" customHeight="1" x14ac:dyDescent="0.25">
      <c r="A703" s="16"/>
      <c r="B703" s="16" t="str">
        <f t="shared" si="3"/>
        <v/>
      </c>
      <c r="C703" s="16"/>
      <c r="D703" s="40"/>
      <c r="E703" s="16"/>
      <c r="F703" s="41"/>
      <c r="G703" s="16"/>
      <c r="H703" s="16"/>
      <c r="I703" s="16"/>
      <c r="J703" s="22"/>
      <c r="K703" s="16"/>
      <c r="L703" s="50"/>
      <c r="M703" s="16"/>
      <c r="N703" s="19"/>
      <c r="O703" s="19"/>
      <c r="P703" s="19"/>
      <c r="Q703" s="19"/>
      <c r="R703" s="19"/>
      <c r="S703" s="19"/>
      <c r="T703" s="19"/>
      <c r="U703" s="19"/>
      <c r="V703" s="19"/>
      <c r="W703" s="20"/>
      <c r="X703" s="43"/>
    </row>
    <row r="704" spans="1:24" ht="15.75" hidden="1" customHeight="1" x14ac:dyDescent="0.25">
      <c r="A704" s="16"/>
      <c r="B704" s="16" t="str">
        <f t="shared" si="3"/>
        <v/>
      </c>
      <c r="C704" s="16"/>
      <c r="D704" s="40"/>
      <c r="E704" s="16"/>
      <c r="F704" s="41"/>
      <c r="G704" s="16"/>
      <c r="H704" s="16"/>
      <c r="I704" s="16"/>
      <c r="J704" s="22"/>
      <c r="K704" s="16"/>
      <c r="L704" s="50"/>
      <c r="M704" s="16"/>
      <c r="N704" s="19"/>
      <c r="O704" s="19"/>
      <c r="P704" s="19"/>
      <c r="Q704" s="19"/>
      <c r="R704" s="19"/>
      <c r="S704" s="19"/>
      <c r="T704" s="19"/>
      <c r="U704" s="19"/>
      <c r="V704" s="19"/>
      <c r="W704" s="20"/>
      <c r="X704" s="43"/>
    </row>
    <row r="705" spans="1:24" ht="15.75" hidden="1" customHeight="1" x14ac:dyDescent="0.25">
      <c r="A705" s="16"/>
      <c r="B705" s="16" t="str">
        <f t="shared" si="3"/>
        <v/>
      </c>
      <c r="C705" s="16"/>
      <c r="D705" s="40"/>
      <c r="E705" s="16"/>
      <c r="F705" s="41"/>
      <c r="G705" s="16"/>
      <c r="H705" s="16"/>
      <c r="I705" s="16"/>
      <c r="J705" s="22"/>
      <c r="K705" s="16"/>
      <c r="L705" s="50"/>
      <c r="M705" s="16"/>
      <c r="N705" s="19"/>
      <c r="O705" s="19"/>
      <c r="P705" s="19"/>
      <c r="Q705" s="19"/>
      <c r="R705" s="19"/>
      <c r="S705" s="19"/>
      <c r="T705" s="19"/>
      <c r="U705" s="19"/>
      <c r="V705" s="19"/>
      <c r="W705" s="20"/>
      <c r="X705" s="43"/>
    </row>
    <row r="706" spans="1:24" ht="15.75" hidden="1" customHeight="1" x14ac:dyDescent="0.25">
      <c r="A706" s="16"/>
      <c r="B706" s="16" t="str">
        <f t="shared" si="3"/>
        <v/>
      </c>
      <c r="C706" s="16"/>
      <c r="D706" s="40"/>
      <c r="E706" s="16"/>
      <c r="F706" s="41"/>
      <c r="G706" s="16"/>
      <c r="H706" s="16"/>
      <c r="I706" s="16"/>
      <c r="J706" s="22"/>
      <c r="K706" s="16"/>
      <c r="L706" s="50"/>
      <c r="M706" s="16"/>
      <c r="N706" s="19"/>
      <c r="O706" s="19"/>
      <c r="P706" s="19"/>
      <c r="Q706" s="19"/>
      <c r="R706" s="19"/>
      <c r="S706" s="19"/>
      <c r="T706" s="19"/>
      <c r="U706" s="19"/>
      <c r="V706" s="19"/>
      <c r="W706" s="20"/>
      <c r="X706" s="43"/>
    </row>
    <row r="707" spans="1:24" ht="15.75" hidden="1" customHeight="1" x14ac:dyDescent="0.25">
      <c r="A707" s="16"/>
      <c r="B707" s="16" t="str">
        <f t="shared" si="3"/>
        <v/>
      </c>
      <c r="C707" s="16"/>
      <c r="D707" s="40"/>
      <c r="E707" s="16"/>
      <c r="F707" s="41"/>
      <c r="G707" s="16"/>
      <c r="H707" s="16"/>
      <c r="I707" s="16"/>
      <c r="J707" s="22"/>
      <c r="K707" s="16"/>
      <c r="L707" s="50"/>
      <c r="M707" s="16"/>
      <c r="N707" s="19"/>
      <c r="O707" s="19"/>
      <c r="P707" s="19"/>
      <c r="Q707" s="19"/>
      <c r="R707" s="19"/>
      <c r="S707" s="19"/>
      <c r="T707" s="19"/>
      <c r="U707" s="19"/>
      <c r="V707" s="19"/>
      <c r="W707" s="20"/>
      <c r="X707" s="43"/>
    </row>
    <row r="708" spans="1:24" ht="15.75" hidden="1" customHeight="1" x14ac:dyDescent="0.25">
      <c r="A708" s="16"/>
      <c r="B708" s="16" t="str">
        <f t="shared" si="3"/>
        <v/>
      </c>
      <c r="C708" s="16"/>
      <c r="D708" s="40"/>
      <c r="E708" s="16"/>
      <c r="F708" s="41"/>
      <c r="G708" s="16"/>
      <c r="H708" s="16"/>
      <c r="I708" s="16"/>
      <c r="J708" s="22"/>
      <c r="K708" s="16"/>
      <c r="L708" s="50"/>
      <c r="M708" s="16"/>
      <c r="N708" s="19"/>
      <c r="O708" s="19"/>
      <c r="P708" s="19"/>
      <c r="Q708" s="19"/>
      <c r="R708" s="19"/>
      <c r="S708" s="19"/>
      <c r="T708" s="19"/>
      <c r="U708" s="19"/>
      <c r="V708" s="19"/>
      <c r="W708" s="20"/>
      <c r="X708" s="43"/>
    </row>
    <row r="709" spans="1:24" ht="15.75" hidden="1" customHeight="1" x14ac:dyDescent="0.25">
      <c r="A709" s="16"/>
      <c r="B709" s="16" t="str">
        <f t="shared" si="3"/>
        <v/>
      </c>
      <c r="C709" s="16"/>
      <c r="D709" s="40"/>
      <c r="E709" s="16"/>
      <c r="F709" s="41"/>
      <c r="G709" s="16"/>
      <c r="H709" s="16"/>
      <c r="I709" s="16"/>
      <c r="J709" s="22"/>
      <c r="K709" s="16"/>
      <c r="L709" s="50"/>
      <c r="M709" s="16"/>
      <c r="N709" s="19"/>
      <c r="O709" s="19"/>
      <c r="P709" s="19"/>
      <c r="Q709" s="19"/>
      <c r="R709" s="19"/>
      <c r="S709" s="19"/>
      <c r="T709" s="19"/>
      <c r="U709" s="19"/>
      <c r="V709" s="19"/>
      <c r="W709" s="20"/>
      <c r="X709" s="43"/>
    </row>
    <row r="710" spans="1:24" ht="15.75" hidden="1" customHeight="1" x14ac:dyDescent="0.25">
      <c r="A710" s="16"/>
      <c r="B710" s="16" t="str">
        <f t="shared" si="3"/>
        <v/>
      </c>
      <c r="C710" s="16"/>
      <c r="D710" s="40"/>
      <c r="E710" s="16"/>
      <c r="F710" s="41"/>
      <c r="G710" s="16"/>
      <c r="H710" s="16"/>
      <c r="I710" s="16"/>
      <c r="J710" s="22"/>
      <c r="K710" s="16"/>
      <c r="L710" s="50"/>
      <c r="M710" s="16"/>
      <c r="N710" s="19"/>
      <c r="O710" s="19"/>
      <c r="P710" s="19"/>
      <c r="Q710" s="19"/>
      <c r="R710" s="19"/>
      <c r="S710" s="19"/>
      <c r="T710" s="19"/>
      <c r="U710" s="19"/>
      <c r="V710" s="19"/>
      <c r="W710" s="20"/>
      <c r="X710" s="43"/>
    </row>
    <row r="711" spans="1:24" ht="15.75" hidden="1" customHeight="1" x14ac:dyDescent="0.25">
      <c r="A711" s="16"/>
      <c r="B711" s="16" t="str">
        <f t="shared" si="3"/>
        <v/>
      </c>
      <c r="C711" s="16"/>
      <c r="D711" s="40"/>
      <c r="E711" s="16"/>
      <c r="F711" s="41"/>
      <c r="G711" s="16"/>
      <c r="H711" s="16"/>
      <c r="I711" s="16"/>
      <c r="J711" s="22"/>
      <c r="K711" s="16"/>
      <c r="L711" s="50"/>
      <c r="M711" s="16"/>
      <c r="N711" s="19"/>
      <c r="O711" s="19"/>
      <c r="P711" s="19"/>
      <c r="Q711" s="19"/>
      <c r="R711" s="19"/>
      <c r="S711" s="19"/>
      <c r="T711" s="19"/>
      <c r="U711" s="19"/>
      <c r="V711" s="19"/>
      <c r="W711" s="20"/>
      <c r="X711" s="43"/>
    </row>
    <row r="712" spans="1:24" ht="15.75" hidden="1" customHeight="1" x14ac:dyDescent="0.25">
      <c r="A712" s="16"/>
      <c r="B712" s="16" t="str">
        <f t="shared" si="3"/>
        <v/>
      </c>
      <c r="C712" s="16"/>
      <c r="D712" s="40"/>
      <c r="E712" s="16"/>
      <c r="F712" s="41"/>
      <c r="G712" s="16"/>
      <c r="H712" s="16"/>
      <c r="I712" s="16"/>
      <c r="J712" s="22"/>
      <c r="K712" s="16"/>
      <c r="L712" s="50"/>
      <c r="M712" s="16"/>
      <c r="N712" s="19"/>
      <c r="O712" s="19"/>
      <c r="P712" s="19"/>
      <c r="Q712" s="19"/>
      <c r="R712" s="19"/>
      <c r="S712" s="19"/>
      <c r="T712" s="19"/>
      <c r="U712" s="19"/>
      <c r="V712" s="19"/>
      <c r="W712" s="20"/>
      <c r="X712" s="43"/>
    </row>
    <row r="713" spans="1:24" ht="15.75" hidden="1" customHeight="1" x14ac:dyDescent="0.25">
      <c r="A713" s="16"/>
      <c r="B713" s="16" t="str">
        <f t="shared" si="3"/>
        <v/>
      </c>
      <c r="C713" s="16"/>
      <c r="D713" s="40"/>
      <c r="E713" s="16"/>
      <c r="F713" s="41"/>
      <c r="G713" s="16"/>
      <c r="H713" s="16"/>
      <c r="I713" s="16"/>
      <c r="J713" s="22"/>
      <c r="K713" s="16"/>
      <c r="L713" s="50"/>
      <c r="M713" s="16"/>
      <c r="N713" s="19"/>
      <c r="O713" s="19"/>
      <c r="P713" s="19"/>
      <c r="Q713" s="19"/>
      <c r="R713" s="19"/>
      <c r="S713" s="19"/>
      <c r="T713" s="19"/>
      <c r="U713" s="19"/>
      <c r="V713" s="19"/>
      <c r="W713" s="20"/>
      <c r="X713" s="43"/>
    </row>
    <row r="714" spans="1:24" ht="15.75" hidden="1" customHeight="1" x14ac:dyDescent="0.25">
      <c r="A714" s="16"/>
      <c r="B714" s="16" t="str">
        <f t="shared" si="3"/>
        <v/>
      </c>
      <c r="C714" s="16"/>
      <c r="D714" s="40"/>
      <c r="E714" s="16"/>
      <c r="F714" s="41"/>
      <c r="G714" s="16"/>
      <c r="H714" s="16"/>
      <c r="I714" s="16"/>
      <c r="J714" s="22"/>
      <c r="K714" s="16"/>
      <c r="L714" s="50"/>
      <c r="M714" s="16"/>
      <c r="N714" s="19"/>
      <c r="O714" s="19"/>
      <c r="P714" s="19"/>
      <c r="Q714" s="19"/>
      <c r="R714" s="19"/>
      <c r="S714" s="19"/>
      <c r="T714" s="19"/>
      <c r="U714" s="19"/>
      <c r="V714" s="19"/>
      <c r="W714" s="20"/>
      <c r="X714" s="43"/>
    </row>
    <row r="715" spans="1:24" ht="15.75" hidden="1" customHeight="1" x14ac:dyDescent="0.25">
      <c r="A715" s="16"/>
      <c r="B715" s="16" t="str">
        <f t="shared" si="3"/>
        <v/>
      </c>
      <c r="C715" s="16"/>
      <c r="D715" s="40"/>
      <c r="E715" s="16"/>
      <c r="F715" s="41"/>
      <c r="G715" s="16"/>
      <c r="H715" s="16"/>
      <c r="I715" s="16"/>
      <c r="J715" s="22"/>
      <c r="K715" s="16"/>
      <c r="L715" s="50"/>
      <c r="M715" s="16"/>
      <c r="N715" s="19"/>
      <c r="O715" s="19"/>
      <c r="P715" s="19"/>
      <c r="Q715" s="19"/>
      <c r="R715" s="19"/>
      <c r="S715" s="19"/>
      <c r="T715" s="19"/>
      <c r="U715" s="19"/>
      <c r="V715" s="19"/>
      <c r="W715" s="20"/>
      <c r="X715" s="43"/>
    </row>
    <row r="716" spans="1:24" ht="15.75" hidden="1" customHeight="1" x14ac:dyDescent="0.25">
      <c r="A716" s="16"/>
      <c r="B716" s="16" t="str">
        <f t="shared" si="3"/>
        <v/>
      </c>
      <c r="C716" s="16"/>
      <c r="D716" s="40"/>
      <c r="E716" s="16"/>
      <c r="F716" s="41"/>
      <c r="G716" s="16"/>
      <c r="H716" s="16"/>
      <c r="I716" s="16"/>
      <c r="J716" s="22"/>
      <c r="K716" s="16"/>
      <c r="L716" s="50"/>
      <c r="M716" s="16"/>
      <c r="N716" s="19"/>
      <c r="O716" s="19"/>
      <c r="P716" s="19"/>
      <c r="Q716" s="19"/>
      <c r="R716" s="19"/>
      <c r="S716" s="19"/>
      <c r="T716" s="19"/>
      <c r="U716" s="19"/>
      <c r="V716" s="19"/>
      <c r="W716" s="20"/>
      <c r="X716" s="43"/>
    </row>
    <row r="717" spans="1:24" ht="15.75" hidden="1" customHeight="1" x14ac:dyDescent="0.25">
      <c r="A717" s="16"/>
      <c r="B717" s="16" t="str">
        <f t="shared" si="3"/>
        <v/>
      </c>
      <c r="C717" s="16"/>
      <c r="D717" s="40"/>
      <c r="E717" s="16"/>
      <c r="F717" s="41"/>
      <c r="G717" s="16"/>
      <c r="H717" s="16"/>
      <c r="I717" s="16"/>
      <c r="J717" s="22"/>
      <c r="K717" s="16"/>
      <c r="L717" s="50"/>
      <c r="M717" s="16"/>
      <c r="N717" s="19"/>
      <c r="O717" s="19"/>
      <c r="P717" s="19"/>
      <c r="Q717" s="19"/>
      <c r="R717" s="19"/>
      <c r="S717" s="19"/>
      <c r="T717" s="19"/>
      <c r="U717" s="19"/>
      <c r="V717" s="19"/>
      <c r="W717" s="20"/>
      <c r="X717" s="43"/>
    </row>
    <row r="718" spans="1:24" ht="15.75" hidden="1" customHeight="1" x14ac:dyDescent="0.25">
      <c r="A718" s="16"/>
      <c r="B718" s="16" t="str">
        <f t="shared" si="3"/>
        <v/>
      </c>
      <c r="C718" s="16"/>
      <c r="D718" s="40"/>
      <c r="E718" s="16"/>
      <c r="F718" s="41"/>
      <c r="G718" s="16"/>
      <c r="H718" s="16"/>
      <c r="I718" s="16"/>
      <c r="J718" s="22"/>
      <c r="K718" s="16"/>
      <c r="L718" s="50"/>
      <c r="M718" s="16"/>
      <c r="N718" s="19"/>
      <c r="O718" s="19"/>
      <c r="P718" s="19"/>
      <c r="Q718" s="19"/>
      <c r="R718" s="19"/>
      <c r="S718" s="19"/>
      <c r="T718" s="19"/>
      <c r="U718" s="19"/>
      <c r="V718" s="19"/>
      <c r="W718" s="20"/>
      <c r="X718" s="43"/>
    </row>
    <row r="719" spans="1:24" ht="15.75" hidden="1" customHeight="1" x14ac:dyDescent="0.25">
      <c r="A719" s="16"/>
      <c r="B719" s="16" t="str">
        <f t="shared" si="3"/>
        <v/>
      </c>
      <c r="C719" s="16"/>
      <c r="D719" s="40"/>
      <c r="E719" s="16"/>
      <c r="F719" s="41"/>
      <c r="G719" s="16"/>
      <c r="H719" s="16"/>
      <c r="I719" s="16"/>
      <c r="J719" s="22"/>
      <c r="K719" s="16"/>
      <c r="L719" s="50"/>
      <c r="M719" s="16"/>
      <c r="N719" s="19"/>
      <c r="O719" s="19"/>
      <c r="P719" s="19"/>
      <c r="Q719" s="19"/>
      <c r="R719" s="19"/>
      <c r="S719" s="19"/>
      <c r="T719" s="19"/>
      <c r="U719" s="19"/>
      <c r="V719" s="19"/>
      <c r="W719" s="20"/>
      <c r="X719" s="43"/>
    </row>
    <row r="720" spans="1:24" ht="15.75" hidden="1" customHeight="1" x14ac:dyDescent="0.25">
      <c r="A720" s="16"/>
      <c r="B720" s="16" t="str">
        <f t="shared" si="3"/>
        <v/>
      </c>
      <c r="C720" s="16"/>
      <c r="D720" s="40"/>
      <c r="E720" s="16"/>
      <c r="F720" s="41"/>
      <c r="G720" s="16"/>
      <c r="H720" s="16"/>
      <c r="I720" s="16"/>
      <c r="J720" s="22"/>
      <c r="K720" s="16"/>
      <c r="L720" s="50"/>
      <c r="M720" s="16"/>
      <c r="N720" s="19"/>
      <c r="O720" s="19"/>
      <c r="P720" s="19"/>
      <c r="Q720" s="19"/>
      <c r="R720" s="19"/>
      <c r="S720" s="19"/>
      <c r="T720" s="19"/>
      <c r="U720" s="19"/>
      <c r="V720" s="19"/>
      <c r="W720" s="20"/>
      <c r="X720" s="43"/>
    </row>
    <row r="721" spans="1:24" ht="15.75" hidden="1" customHeight="1" x14ac:dyDescent="0.25">
      <c r="A721" s="16"/>
      <c r="B721" s="16" t="str">
        <f t="shared" si="3"/>
        <v/>
      </c>
      <c r="C721" s="16"/>
      <c r="D721" s="40"/>
      <c r="E721" s="16"/>
      <c r="F721" s="41"/>
      <c r="G721" s="16"/>
      <c r="H721" s="16"/>
      <c r="I721" s="16"/>
      <c r="J721" s="22"/>
      <c r="K721" s="16"/>
      <c r="L721" s="50"/>
      <c r="M721" s="16"/>
      <c r="N721" s="19"/>
      <c r="O721" s="19"/>
      <c r="P721" s="19"/>
      <c r="Q721" s="19"/>
      <c r="R721" s="19"/>
      <c r="S721" s="19"/>
      <c r="T721" s="19"/>
      <c r="U721" s="19"/>
      <c r="V721" s="19"/>
      <c r="W721" s="20"/>
      <c r="X721" s="43"/>
    </row>
    <row r="722" spans="1:24" ht="15.75" hidden="1" customHeight="1" x14ac:dyDescent="0.25">
      <c r="A722" s="16"/>
      <c r="B722" s="16" t="str">
        <f t="shared" si="3"/>
        <v/>
      </c>
      <c r="C722" s="16"/>
      <c r="D722" s="40"/>
      <c r="E722" s="16"/>
      <c r="F722" s="41"/>
      <c r="G722" s="16"/>
      <c r="H722" s="16"/>
      <c r="I722" s="16"/>
      <c r="J722" s="22"/>
      <c r="K722" s="16"/>
      <c r="L722" s="50"/>
      <c r="M722" s="16"/>
      <c r="N722" s="19"/>
      <c r="O722" s="19"/>
      <c r="P722" s="19"/>
      <c r="Q722" s="19"/>
      <c r="R722" s="19"/>
      <c r="S722" s="19"/>
      <c r="T722" s="19"/>
      <c r="U722" s="19"/>
      <c r="V722" s="19"/>
      <c r="W722" s="20"/>
      <c r="X722" s="43"/>
    </row>
    <row r="723" spans="1:24" ht="15.75" hidden="1" customHeight="1" x14ac:dyDescent="0.25">
      <c r="A723" s="16"/>
      <c r="B723" s="16" t="str">
        <f t="shared" si="3"/>
        <v/>
      </c>
      <c r="C723" s="16"/>
      <c r="D723" s="40"/>
      <c r="E723" s="16"/>
      <c r="F723" s="41"/>
      <c r="G723" s="16"/>
      <c r="H723" s="16"/>
      <c r="I723" s="16"/>
      <c r="J723" s="22"/>
      <c r="K723" s="16"/>
      <c r="L723" s="50"/>
      <c r="M723" s="16"/>
      <c r="N723" s="19"/>
      <c r="O723" s="19"/>
      <c r="P723" s="19"/>
      <c r="Q723" s="19"/>
      <c r="R723" s="19"/>
      <c r="S723" s="19"/>
      <c r="T723" s="19"/>
      <c r="U723" s="19"/>
      <c r="V723" s="19"/>
      <c r="W723" s="20"/>
      <c r="X723" s="43"/>
    </row>
    <row r="724" spans="1:24" ht="15.75" hidden="1" customHeight="1" x14ac:dyDescent="0.25">
      <c r="A724" s="16"/>
      <c r="B724" s="16" t="str">
        <f t="shared" si="3"/>
        <v/>
      </c>
      <c r="C724" s="16"/>
      <c r="D724" s="40"/>
      <c r="E724" s="16"/>
      <c r="F724" s="41"/>
      <c r="G724" s="16"/>
      <c r="H724" s="16"/>
      <c r="I724" s="16"/>
      <c r="J724" s="22"/>
      <c r="K724" s="16"/>
      <c r="L724" s="50"/>
      <c r="M724" s="16"/>
      <c r="N724" s="19"/>
      <c r="O724" s="19"/>
      <c r="P724" s="19"/>
      <c r="Q724" s="19"/>
      <c r="R724" s="19"/>
      <c r="S724" s="19"/>
      <c r="T724" s="19"/>
      <c r="U724" s="19"/>
      <c r="V724" s="19"/>
      <c r="W724" s="20"/>
      <c r="X724" s="43"/>
    </row>
    <row r="725" spans="1:24" ht="15.75" hidden="1" customHeight="1" x14ac:dyDescent="0.25">
      <c r="A725" s="16"/>
      <c r="B725" s="16" t="str">
        <f t="shared" si="3"/>
        <v/>
      </c>
      <c r="C725" s="16"/>
      <c r="D725" s="40"/>
      <c r="E725" s="16"/>
      <c r="F725" s="41"/>
      <c r="G725" s="16"/>
      <c r="H725" s="16"/>
      <c r="I725" s="16"/>
      <c r="J725" s="22"/>
      <c r="K725" s="16"/>
      <c r="L725" s="50"/>
      <c r="M725" s="16"/>
      <c r="N725" s="19"/>
      <c r="O725" s="19"/>
      <c r="P725" s="19"/>
      <c r="Q725" s="19"/>
      <c r="R725" s="19"/>
      <c r="S725" s="19"/>
      <c r="T725" s="19"/>
      <c r="U725" s="19"/>
      <c r="V725" s="19"/>
      <c r="W725" s="20"/>
      <c r="X725" s="43"/>
    </row>
    <row r="726" spans="1:24" ht="15.75" hidden="1" customHeight="1" x14ac:dyDescent="0.25">
      <c r="A726" s="16"/>
      <c r="B726" s="16" t="str">
        <f t="shared" si="3"/>
        <v/>
      </c>
      <c r="C726" s="16"/>
      <c r="D726" s="40"/>
      <c r="E726" s="16"/>
      <c r="F726" s="41"/>
      <c r="G726" s="16"/>
      <c r="H726" s="16"/>
      <c r="I726" s="16"/>
      <c r="J726" s="22"/>
      <c r="K726" s="16"/>
      <c r="L726" s="50"/>
      <c r="M726" s="16"/>
      <c r="N726" s="19"/>
      <c r="O726" s="19"/>
      <c r="P726" s="19"/>
      <c r="Q726" s="19"/>
      <c r="R726" s="19"/>
      <c r="S726" s="19"/>
      <c r="T726" s="19"/>
      <c r="U726" s="19"/>
      <c r="V726" s="19"/>
      <c r="W726" s="20"/>
      <c r="X726" s="43"/>
    </row>
    <row r="727" spans="1:24" ht="15.75" hidden="1" customHeight="1" x14ac:dyDescent="0.25">
      <c r="A727" s="16"/>
      <c r="B727" s="16" t="str">
        <f t="shared" si="3"/>
        <v/>
      </c>
      <c r="C727" s="16"/>
      <c r="D727" s="40"/>
      <c r="E727" s="16"/>
      <c r="F727" s="41"/>
      <c r="G727" s="16"/>
      <c r="H727" s="16"/>
      <c r="I727" s="16"/>
      <c r="J727" s="22"/>
      <c r="K727" s="16"/>
      <c r="L727" s="50"/>
      <c r="M727" s="16"/>
      <c r="N727" s="19"/>
      <c r="O727" s="19"/>
      <c r="P727" s="19"/>
      <c r="Q727" s="19"/>
      <c r="R727" s="19"/>
      <c r="S727" s="19"/>
      <c r="T727" s="19"/>
      <c r="U727" s="19"/>
      <c r="V727" s="19"/>
      <c r="W727" s="20"/>
      <c r="X727" s="43"/>
    </row>
    <row r="728" spans="1:24" ht="15.75" hidden="1" customHeight="1" x14ac:dyDescent="0.25">
      <c r="A728" s="16"/>
      <c r="B728" s="16" t="str">
        <f t="shared" si="3"/>
        <v/>
      </c>
      <c r="C728" s="16"/>
      <c r="D728" s="40"/>
      <c r="E728" s="16"/>
      <c r="F728" s="41"/>
      <c r="G728" s="16"/>
      <c r="H728" s="16"/>
      <c r="I728" s="16"/>
      <c r="J728" s="22"/>
      <c r="K728" s="16"/>
      <c r="L728" s="50"/>
      <c r="M728" s="16"/>
      <c r="N728" s="19"/>
      <c r="O728" s="19"/>
      <c r="P728" s="19"/>
      <c r="Q728" s="19"/>
      <c r="R728" s="19"/>
      <c r="S728" s="19"/>
      <c r="T728" s="19"/>
      <c r="U728" s="19"/>
      <c r="V728" s="19"/>
      <c r="W728" s="20"/>
      <c r="X728" s="43"/>
    </row>
    <row r="729" spans="1:24" ht="15.75" hidden="1" customHeight="1" x14ac:dyDescent="0.25">
      <c r="A729" s="16"/>
      <c r="B729" s="16" t="str">
        <f t="shared" si="3"/>
        <v/>
      </c>
      <c r="C729" s="16"/>
      <c r="D729" s="40"/>
      <c r="E729" s="16"/>
      <c r="F729" s="41"/>
      <c r="G729" s="16"/>
      <c r="H729" s="16"/>
      <c r="I729" s="16"/>
      <c r="J729" s="22"/>
      <c r="K729" s="16"/>
      <c r="L729" s="50"/>
      <c r="M729" s="16"/>
      <c r="N729" s="19"/>
      <c r="O729" s="19"/>
      <c r="P729" s="19"/>
      <c r="Q729" s="19"/>
      <c r="R729" s="19"/>
      <c r="S729" s="19"/>
      <c r="T729" s="19"/>
      <c r="U729" s="19"/>
      <c r="V729" s="19"/>
      <c r="W729" s="20"/>
      <c r="X729" s="43"/>
    </row>
    <row r="730" spans="1:24" ht="15.75" hidden="1" customHeight="1" x14ac:dyDescent="0.25">
      <c r="A730" s="16"/>
      <c r="B730" s="16" t="str">
        <f t="shared" si="3"/>
        <v/>
      </c>
      <c r="C730" s="16"/>
      <c r="D730" s="40"/>
      <c r="E730" s="16"/>
      <c r="F730" s="41"/>
      <c r="G730" s="16"/>
      <c r="H730" s="16"/>
      <c r="I730" s="16"/>
      <c r="J730" s="22"/>
      <c r="K730" s="16"/>
      <c r="L730" s="50"/>
      <c r="M730" s="16"/>
      <c r="N730" s="19"/>
      <c r="O730" s="19"/>
      <c r="P730" s="19"/>
      <c r="Q730" s="19"/>
      <c r="R730" s="19"/>
      <c r="S730" s="19"/>
      <c r="T730" s="19"/>
      <c r="U730" s="19"/>
      <c r="V730" s="19"/>
      <c r="W730" s="20"/>
      <c r="X730" s="43"/>
    </row>
    <row r="731" spans="1:24" ht="15.75" hidden="1" customHeight="1" x14ac:dyDescent="0.25">
      <c r="A731" s="16"/>
      <c r="B731" s="16" t="str">
        <f t="shared" si="3"/>
        <v/>
      </c>
      <c r="C731" s="16"/>
      <c r="D731" s="40"/>
      <c r="E731" s="16"/>
      <c r="F731" s="41"/>
      <c r="G731" s="16"/>
      <c r="H731" s="16"/>
      <c r="I731" s="16"/>
      <c r="J731" s="22"/>
      <c r="K731" s="16"/>
      <c r="L731" s="50"/>
      <c r="M731" s="16"/>
      <c r="N731" s="19"/>
      <c r="O731" s="19"/>
      <c r="P731" s="19"/>
      <c r="Q731" s="19"/>
      <c r="R731" s="19"/>
      <c r="S731" s="19"/>
      <c r="T731" s="19"/>
      <c r="U731" s="19"/>
      <c r="V731" s="19"/>
      <c r="W731" s="20"/>
      <c r="X731" s="43"/>
    </row>
    <row r="732" spans="1:24" ht="15.75" hidden="1" customHeight="1" x14ac:dyDescent="0.25">
      <c r="A732" s="16"/>
      <c r="B732" s="16" t="str">
        <f t="shared" si="3"/>
        <v/>
      </c>
      <c r="C732" s="16"/>
      <c r="D732" s="40"/>
      <c r="E732" s="16"/>
      <c r="F732" s="41"/>
      <c r="G732" s="16"/>
      <c r="H732" s="16"/>
      <c r="I732" s="16"/>
      <c r="J732" s="22"/>
      <c r="K732" s="16"/>
      <c r="L732" s="50"/>
      <c r="M732" s="16"/>
      <c r="N732" s="19"/>
      <c r="O732" s="19"/>
      <c r="P732" s="19"/>
      <c r="Q732" s="19"/>
      <c r="R732" s="19"/>
      <c r="S732" s="19"/>
      <c r="T732" s="19"/>
      <c r="U732" s="19"/>
      <c r="V732" s="19"/>
      <c r="W732" s="20"/>
      <c r="X732" s="43"/>
    </row>
    <row r="733" spans="1:24" ht="15.75" hidden="1" customHeight="1" x14ac:dyDescent="0.25">
      <c r="A733" s="16"/>
      <c r="B733" s="16" t="str">
        <f t="shared" si="3"/>
        <v/>
      </c>
      <c r="C733" s="16"/>
      <c r="D733" s="40"/>
      <c r="E733" s="16"/>
      <c r="F733" s="41"/>
      <c r="G733" s="16"/>
      <c r="H733" s="16"/>
      <c r="I733" s="16"/>
      <c r="J733" s="22"/>
      <c r="K733" s="16"/>
      <c r="L733" s="50"/>
      <c r="M733" s="16"/>
      <c r="N733" s="19"/>
      <c r="O733" s="19"/>
      <c r="P733" s="19"/>
      <c r="Q733" s="19"/>
      <c r="R733" s="19"/>
      <c r="S733" s="19"/>
      <c r="T733" s="19"/>
      <c r="U733" s="19"/>
      <c r="V733" s="19"/>
      <c r="W733" s="20"/>
      <c r="X733" s="43"/>
    </row>
    <row r="734" spans="1:24" ht="15.75" hidden="1" customHeight="1" x14ac:dyDescent="0.25">
      <c r="A734" s="16"/>
      <c r="B734" s="16" t="str">
        <f t="shared" si="3"/>
        <v/>
      </c>
      <c r="C734" s="16"/>
      <c r="D734" s="40"/>
      <c r="E734" s="16"/>
      <c r="F734" s="41"/>
      <c r="G734" s="16"/>
      <c r="H734" s="16"/>
      <c r="I734" s="16"/>
      <c r="J734" s="22"/>
      <c r="K734" s="16"/>
      <c r="L734" s="50"/>
      <c r="M734" s="16"/>
      <c r="N734" s="19"/>
      <c r="O734" s="19"/>
      <c r="P734" s="19"/>
      <c r="Q734" s="19"/>
      <c r="R734" s="19"/>
      <c r="S734" s="19"/>
      <c r="T734" s="19"/>
      <c r="U734" s="19"/>
      <c r="V734" s="19"/>
      <c r="W734" s="20"/>
      <c r="X734" s="43"/>
    </row>
    <row r="735" spans="1:24" ht="15.75" hidden="1" customHeight="1" x14ac:dyDescent="0.25">
      <c r="A735" s="16"/>
      <c r="B735" s="16" t="str">
        <f t="shared" si="3"/>
        <v/>
      </c>
      <c r="C735" s="16"/>
      <c r="D735" s="40"/>
      <c r="E735" s="16"/>
      <c r="F735" s="41"/>
      <c r="G735" s="16"/>
      <c r="H735" s="16"/>
      <c r="I735" s="16"/>
      <c r="J735" s="22"/>
      <c r="K735" s="16"/>
      <c r="L735" s="50"/>
      <c r="M735" s="16"/>
      <c r="N735" s="19"/>
      <c r="O735" s="19"/>
      <c r="P735" s="19"/>
      <c r="Q735" s="19"/>
      <c r="R735" s="19"/>
      <c r="S735" s="19"/>
      <c r="T735" s="19"/>
      <c r="U735" s="19"/>
      <c r="V735" s="19"/>
      <c r="W735" s="20"/>
      <c r="X735" s="43"/>
    </row>
    <row r="736" spans="1:24" ht="15.75" hidden="1" customHeight="1" x14ac:dyDescent="0.25">
      <c r="A736" s="16"/>
      <c r="B736" s="16" t="str">
        <f t="shared" si="3"/>
        <v/>
      </c>
      <c r="C736" s="16"/>
      <c r="D736" s="40"/>
      <c r="E736" s="16"/>
      <c r="F736" s="41"/>
      <c r="G736" s="16"/>
      <c r="H736" s="16"/>
      <c r="I736" s="16"/>
      <c r="J736" s="22"/>
      <c r="K736" s="16"/>
      <c r="L736" s="50"/>
      <c r="M736" s="16"/>
      <c r="N736" s="19"/>
      <c r="O736" s="19"/>
      <c r="P736" s="19"/>
      <c r="Q736" s="19"/>
      <c r="R736" s="19"/>
      <c r="S736" s="19"/>
      <c r="T736" s="19"/>
      <c r="U736" s="19"/>
      <c r="V736" s="19"/>
      <c r="W736" s="20"/>
      <c r="X736" s="43"/>
    </row>
    <row r="737" spans="1:24" ht="15.75" hidden="1" customHeight="1" x14ac:dyDescent="0.25">
      <c r="A737" s="16"/>
      <c r="B737" s="16" t="str">
        <f t="shared" si="3"/>
        <v/>
      </c>
      <c r="C737" s="16"/>
      <c r="D737" s="40"/>
      <c r="E737" s="16"/>
      <c r="F737" s="41"/>
      <c r="G737" s="16"/>
      <c r="H737" s="16"/>
      <c r="I737" s="16"/>
      <c r="J737" s="22"/>
      <c r="K737" s="16"/>
      <c r="L737" s="50"/>
      <c r="M737" s="16"/>
      <c r="N737" s="19"/>
      <c r="O737" s="19"/>
      <c r="P737" s="19"/>
      <c r="Q737" s="19"/>
      <c r="R737" s="19"/>
      <c r="S737" s="19"/>
      <c r="T737" s="19"/>
      <c r="U737" s="19"/>
      <c r="V737" s="19"/>
      <c r="W737" s="20"/>
      <c r="X737" s="43"/>
    </row>
    <row r="738" spans="1:24" ht="15.75" hidden="1" customHeight="1" x14ac:dyDescent="0.25">
      <c r="A738" s="16"/>
      <c r="B738" s="16" t="str">
        <f t="shared" si="3"/>
        <v/>
      </c>
      <c r="C738" s="16"/>
      <c r="D738" s="40"/>
      <c r="E738" s="16"/>
      <c r="F738" s="41"/>
      <c r="G738" s="16"/>
      <c r="H738" s="16"/>
      <c r="I738" s="16"/>
      <c r="J738" s="22"/>
      <c r="K738" s="16"/>
      <c r="L738" s="50"/>
      <c r="M738" s="16"/>
      <c r="N738" s="19"/>
      <c r="O738" s="19"/>
      <c r="P738" s="19"/>
      <c r="Q738" s="19"/>
      <c r="R738" s="19"/>
      <c r="S738" s="19"/>
      <c r="T738" s="19"/>
      <c r="U738" s="19"/>
      <c r="V738" s="19"/>
      <c r="W738" s="20"/>
      <c r="X738" s="43"/>
    </row>
    <row r="739" spans="1:24" ht="15.75" hidden="1" customHeight="1" x14ac:dyDescent="0.25">
      <c r="A739" s="16"/>
      <c r="B739" s="16" t="str">
        <f t="shared" si="3"/>
        <v/>
      </c>
      <c r="C739" s="16"/>
      <c r="D739" s="40"/>
      <c r="E739" s="16"/>
      <c r="F739" s="41"/>
      <c r="G739" s="16"/>
      <c r="H739" s="16"/>
      <c r="I739" s="16"/>
      <c r="J739" s="22"/>
      <c r="K739" s="16"/>
      <c r="L739" s="50"/>
      <c r="M739" s="16"/>
      <c r="N739" s="19"/>
      <c r="O739" s="19"/>
      <c r="P739" s="19"/>
      <c r="Q739" s="19"/>
      <c r="R739" s="19"/>
      <c r="S739" s="19"/>
      <c r="T739" s="19"/>
      <c r="U739" s="19"/>
      <c r="V739" s="19"/>
      <c r="W739" s="20"/>
      <c r="X739" s="43"/>
    </row>
    <row r="740" spans="1:24" ht="15.75" hidden="1" customHeight="1" x14ac:dyDescent="0.25">
      <c r="A740" s="16"/>
      <c r="B740" s="16" t="str">
        <f t="shared" si="3"/>
        <v/>
      </c>
      <c r="C740" s="16"/>
      <c r="D740" s="40"/>
      <c r="E740" s="16"/>
      <c r="F740" s="41"/>
      <c r="G740" s="16"/>
      <c r="H740" s="16"/>
      <c r="I740" s="16"/>
      <c r="J740" s="22"/>
      <c r="K740" s="16"/>
      <c r="L740" s="50"/>
      <c r="M740" s="16"/>
      <c r="N740" s="19"/>
      <c r="O740" s="19"/>
      <c r="P740" s="19"/>
      <c r="Q740" s="19"/>
      <c r="R740" s="19"/>
      <c r="S740" s="19"/>
      <c r="T740" s="19"/>
      <c r="U740" s="19"/>
      <c r="V740" s="19"/>
      <c r="W740" s="20"/>
      <c r="X740" s="43"/>
    </row>
    <row r="741" spans="1:24" ht="15.75" hidden="1" customHeight="1" x14ac:dyDescent="0.25">
      <c r="A741" s="16"/>
      <c r="B741" s="16" t="str">
        <f t="shared" si="3"/>
        <v/>
      </c>
      <c r="C741" s="16"/>
      <c r="D741" s="40"/>
      <c r="E741" s="16"/>
      <c r="F741" s="41"/>
      <c r="G741" s="16"/>
      <c r="H741" s="16"/>
      <c r="I741" s="16"/>
      <c r="J741" s="22"/>
      <c r="K741" s="16"/>
      <c r="L741" s="50"/>
      <c r="M741" s="16"/>
      <c r="N741" s="19"/>
      <c r="O741" s="19"/>
      <c r="P741" s="19"/>
      <c r="Q741" s="19"/>
      <c r="R741" s="19"/>
      <c r="S741" s="19"/>
      <c r="T741" s="19"/>
      <c r="U741" s="19"/>
      <c r="V741" s="19"/>
      <c r="W741" s="20"/>
      <c r="X741" s="43"/>
    </row>
    <row r="742" spans="1:24" ht="15.75" hidden="1" customHeight="1" x14ac:dyDescent="0.25">
      <c r="A742" s="16"/>
      <c r="B742" s="16" t="str">
        <f t="shared" si="3"/>
        <v/>
      </c>
      <c r="C742" s="16"/>
      <c r="D742" s="40"/>
      <c r="E742" s="16"/>
      <c r="F742" s="41"/>
      <c r="G742" s="16"/>
      <c r="H742" s="16"/>
      <c r="I742" s="16"/>
      <c r="J742" s="22"/>
      <c r="K742" s="16"/>
      <c r="L742" s="50"/>
      <c r="M742" s="16"/>
      <c r="N742" s="19"/>
      <c r="O742" s="19"/>
      <c r="P742" s="19"/>
      <c r="Q742" s="19"/>
      <c r="R742" s="19"/>
      <c r="S742" s="19"/>
      <c r="T742" s="19"/>
      <c r="U742" s="19"/>
      <c r="V742" s="19"/>
      <c r="W742" s="20"/>
      <c r="X742" s="43"/>
    </row>
    <row r="743" spans="1:24" ht="15.75" hidden="1" customHeight="1" x14ac:dyDescent="0.25">
      <c r="A743" s="16"/>
      <c r="B743" s="16" t="str">
        <f t="shared" si="3"/>
        <v/>
      </c>
      <c r="C743" s="16"/>
      <c r="D743" s="40"/>
      <c r="E743" s="16"/>
      <c r="F743" s="41"/>
      <c r="G743" s="16"/>
      <c r="H743" s="16"/>
      <c r="I743" s="16"/>
      <c r="J743" s="22"/>
      <c r="K743" s="16"/>
      <c r="L743" s="50"/>
      <c r="M743" s="16"/>
      <c r="N743" s="19"/>
      <c r="O743" s="19"/>
      <c r="P743" s="19"/>
      <c r="Q743" s="19"/>
      <c r="R743" s="19"/>
      <c r="S743" s="19"/>
      <c r="T743" s="19"/>
      <c r="U743" s="19"/>
      <c r="V743" s="19"/>
      <c r="W743" s="20"/>
      <c r="X743" s="43"/>
    </row>
    <row r="744" spans="1:24" ht="15.75" hidden="1" customHeight="1" x14ac:dyDescent="0.25">
      <c r="A744" s="16"/>
      <c r="B744" s="16" t="str">
        <f t="shared" si="3"/>
        <v/>
      </c>
      <c r="C744" s="16"/>
      <c r="D744" s="40"/>
      <c r="E744" s="16"/>
      <c r="F744" s="41"/>
      <c r="G744" s="16"/>
      <c r="H744" s="16"/>
      <c r="I744" s="16"/>
      <c r="J744" s="22"/>
      <c r="K744" s="16"/>
      <c r="L744" s="50"/>
      <c r="M744" s="16"/>
      <c r="N744" s="19"/>
      <c r="O744" s="19"/>
      <c r="P744" s="19"/>
      <c r="Q744" s="19"/>
      <c r="R744" s="19"/>
      <c r="S744" s="19"/>
      <c r="T744" s="19"/>
      <c r="U744" s="19"/>
      <c r="V744" s="19"/>
      <c r="W744" s="20"/>
      <c r="X744" s="43"/>
    </row>
    <row r="745" spans="1:24" ht="15.75" hidden="1" customHeight="1" x14ac:dyDescent="0.25">
      <c r="A745" s="16"/>
      <c r="B745" s="16" t="str">
        <f t="shared" si="3"/>
        <v/>
      </c>
      <c r="C745" s="16"/>
      <c r="D745" s="40"/>
      <c r="E745" s="16"/>
      <c r="F745" s="41"/>
      <c r="G745" s="16"/>
      <c r="H745" s="16"/>
      <c r="I745" s="16"/>
      <c r="J745" s="22"/>
      <c r="K745" s="16"/>
      <c r="L745" s="50"/>
      <c r="M745" s="16"/>
      <c r="N745" s="19"/>
      <c r="O745" s="19"/>
      <c r="P745" s="19"/>
      <c r="Q745" s="19"/>
      <c r="R745" s="19"/>
      <c r="S745" s="19"/>
      <c r="T745" s="19"/>
      <c r="U745" s="19"/>
      <c r="V745" s="19"/>
      <c r="W745" s="20"/>
      <c r="X745" s="43"/>
    </row>
    <row r="746" spans="1:24" ht="15.75" hidden="1" customHeight="1" x14ac:dyDescent="0.25">
      <c r="A746" s="16"/>
      <c r="B746" s="16" t="str">
        <f t="shared" si="3"/>
        <v/>
      </c>
      <c r="C746" s="16"/>
      <c r="D746" s="40"/>
      <c r="E746" s="16"/>
      <c r="F746" s="41"/>
      <c r="G746" s="16"/>
      <c r="H746" s="16"/>
      <c r="I746" s="16"/>
      <c r="J746" s="22"/>
      <c r="K746" s="16"/>
      <c r="L746" s="50"/>
      <c r="M746" s="16"/>
      <c r="N746" s="19"/>
      <c r="O746" s="19"/>
      <c r="P746" s="19"/>
      <c r="Q746" s="19"/>
      <c r="R746" s="19"/>
      <c r="S746" s="19"/>
      <c r="T746" s="19"/>
      <c r="U746" s="19"/>
      <c r="V746" s="19"/>
      <c r="W746" s="20"/>
      <c r="X746" s="43"/>
    </row>
    <row r="747" spans="1:24" ht="15.75" hidden="1" customHeight="1" x14ac:dyDescent="0.25">
      <c r="A747" s="16"/>
      <c r="B747" s="16" t="str">
        <f t="shared" si="3"/>
        <v/>
      </c>
      <c r="C747" s="16"/>
      <c r="D747" s="40"/>
      <c r="E747" s="16"/>
      <c r="F747" s="41"/>
      <c r="G747" s="16"/>
      <c r="H747" s="16"/>
      <c r="I747" s="16"/>
      <c r="J747" s="22"/>
      <c r="K747" s="16"/>
      <c r="L747" s="50"/>
      <c r="M747" s="16"/>
      <c r="N747" s="19"/>
      <c r="O747" s="19"/>
      <c r="P747" s="19"/>
      <c r="Q747" s="19"/>
      <c r="R747" s="19"/>
      <c r="S747" s="19"/>
      <c r="T747" s="19"/>
      <c r="U747" s="19"/>
      <c r="V747" s="19"/>
      <c r="W747" s="20"/>
      <c r="X747" s="43"/>
    </row>
    <row r="748" spans="1:24" ht="15.75" hidden="1" customHeight="1" x14ac:dyDescent="0.25">
      <c r="A748" s="16"/>
      <c r="B748" s="16" t="str">
        <f t="shared" si="3"/>
        <v/>
      </c>
      <c r="C748" s="16"/>
      <c r="D748" s="40"/>
      <c r="E748" s="16"/>
      <c r="F748" s="41"/>
      <c r="G748" s="16"/>
      <c r="H748" s="16"/>
      <c r="I748" s="16"/>
      <c r="J748" s="22"/>
      <c r="K748" s="16"/>
      <c r="L748" s="50"/>
      <c r="M748" s="16"/>
      <c r="N748" s="19"/>
      <c r="O748" s="19"/>
      <c r="P748" s="19"/>
      <c r="Q748" s="19"/>
      <c r="R748" s="19"/>
      <c r="S748" s="19"/>
      <c r="T748" s="19"/>
      <c r="U748" s="19"/>
      <c r="V748" s="19"/>
      <c r="W748" s="20"/>
      <c r="X748" s="43"/>
    </row>
    <row r="749" spans="1:24" ht="15.75" hidden="1" customHeight="1" x14ac:dyDescent="0.25">
      <c r="A749" s="16"/>
      <c r="B749" s="16" t="str">
        <f t="shared" si="3"/>
        <v/>
      </c>
      <c r="C749" s="16"/>
      <c r="D749" s="40"/>
      <c r="E749" s="16"/>
      <c r="F749" s="41"/>
      <c r="G749" s="16"/>
      <c r="H749" s="16"/>
      <c r="I749" s="16"/>
      <c r="J749" s="22"/>
      <c r="K749" s="16"/>
      <c r="L749" s="50"/>
      <c r="M749" s="16"/>
      <c r="N749" s="19"/>
      <c r="O749" s="19"/>
      <c r="P749" s="19"/>
      <c r="Q749" s="19"/>
      <c r="R749" s="19"/>
      <c r="S749" s="19"/>
      <c r="T749" s="19"/>
      <c r="U749" s="19"/>
      <c r="V749" s="19"/>
      <c r="W749" s="20"/>
      <c r="X749" s="43"/>
    </row>
    <row r="750" spans="1:24" ht="15.75" hidden="1" customHeight="1" x14ac:dyDescent="0.25">
      <c r="A750" s="16"/>
      <c r="B750" s="16" t="str">
        <f t="shared" si="3"/>
        <v/>
      </c>
      <c r="C750" s="16"/>
      <c r="D750" s="40"/>
      <c r="E750" s="16"/>
      <c r="F750" s="41"/>
      <c r="G750" s="16"/>
      <c r="H750" s="16"/>
      <c r="I750" s="16"/>
      <c r="J750" s="22"/>
      <c r="K750" s="16"/>
      <c r="L750" s="50"/>
      <c r="M750" s="16"/>
      <c r="N750" s="19"/>
      <c r="O750" s="19"/>
      <c r="P750" s="19"/>
      <c r="Q750" s="19"/>
      <c r="R750" s="19"/>
      <c r="S750" s="19"/>
      <c r="T750" s="19"/>
      <c r="U750" s="19"/>
      <c r="V750" s="19"/>
      <c r="W750" s="20"/>
      <c r="X750" s="43"/>
    </row>
    <row r="751" spans="1:24" ht="15.75" hidden="1" customHeight="1" x14ac:dyDescent="0.25">
      <c r="A751" s="16"/>
      <c r="B751" s="16" t="str">
        <f t="shared" si="3"/>
        <v/>
      </c>
      <c r="C751" s="16"/>
      <c r="D751" s="40"/>
      <c r="E751" s="16"/>
      <c r="F751" s="41"/>
      <c r="G751" s="16"/>
      <c r="H751" s="16"/>
      <c r="I751" s="16"/>
      <c r="J751" s="22"/>
      <c r="K751" s="16"/>
      <c r="L751" s="50"/>
      <c r="M751" s="16"/>
      <c r="N751" s="19"/>
      <c r="O751" s="19"/>
      <c r="P751" s="19"/>
      <c r="Q751" s="19"/>
      <c r="R751" s="19"/>
      <c r="S751" s="19"/>
      <c r="T751" s="19"/>
      <c r="U751" s="19"/>
      <c r="V751" s="19"/>
      <c r="W751" s="20"/>
      <c r="X751" s="43"/>
    </row>
    <row r="752" spans="1:24" ht="15.75" hidden="1" customHeight="1" x14ac:dyDescent="0.25">
      <c r="A752" s="16"/>
      <c r="B752" s="16" t="str">
        <f t="shared" si="3"/>
        <v/>
      </c>
      <c r="C752" s="16"/>
      <c r="D752" s="40"/>
      <c r="E752" s="16"/>
      <c r="F752" s="41"/>
      <c r="G752" s="16"/>
      <c r="H752" s="16"/>
      <c r="I752" s="16"/>
      <c r="J752" s="22"/>
      <c r="K752" s="16"/>
      <c r="L752" s="50"/>
      <c r="M752" s="16"/>
      <c r="N752" s="19"/>
      <c r="O752" s="19"/>
      <c r="P752" s="19"/>
      <c r="Q752" s="19"/>
      <c r="R752" s="19"/>
      <c r="S752" s="19"/>
      <c r="T752" s="19"/>
      <c r="U752" s="19"/>
      <c r="V752" s="19"/>
      <c r="W752" s="20"/>
      <c r="X752" s="43"/>
    </row>
    <row r="753" spans="1:24" ht="15.75" hidden="1" customHeight="1" x14ac:dyDescent="0.25">
      <c r="A753" s="16"/>
      <c r="B753" s="16" t="str">
        <f t="shared" si="3"/>
        <v/>
      </c>
      <c r="C753" s="16"/>
      <c r="D753" s="40"/>
      <c r="E753" s="16"/>
      <c r="F753" s="41"/>
      <c r="G753" s="16"/>
      <c r="H753" s="16"/>
      <c r="I753" s="16"/>
      <c r="J753" s="22"/>
      <c r="K753" s="16"/>
      <c r="L753" s="50"/>
      <c r="M753" s="16"/>
      <c r="N753" s="19"/>
      <c r="O753" s="19"/>
      <c r="P753" s="19"/>
      <c r="Q753" s="19"/>
      <c r="R753" s="19"/>
      <c r="S753" s="19"/>
      <c r="T753" s="19"/>
      <c r="U753" s="19"/>
      <c r="V753" s="19"/>
      <c r="W753" s="20"/>
      <c r="X753" s="43"/>
    </row>
    <row r="754" spans="1:24" ht="15.75" hidden="1" customHeight="1" x14ac:dyDescent="0.25">
      <c r="A754" s="16"/>
      <c r="B754" s="16" t="str">
        <f t="shared" si="3"/>
        <v/>
      </c>
      <c r="C754" s="16"/>
      <c r="D754" s="40"/>
      <c r="E754" s="16"/>
      <c r="F754" s="41"/>
      <c r="G754" s="16"/>
      <c r="H754" s="16"/>
      <c r="I754" s="16"/>
      <c r="J754" s="22"/>
      <c r="K754" s="16"/>
      <c r="L754" s="50"/>
      <c r="M754" s="16"/>
      <c r="N754" s="19"/>
      <c r="O754" s="19"/>
      <c r="P754" s="19"/>
      <c r="Q754" s="19"/>
      <c r="R754" s="19"/>
      <c r="S754" s="19"/>
      <c r="T754" s="19"/>
      <c r="U754" s="19"/>
      <c r="V754" s="19"/>
      <c r="W754" s="20"/>
      <c r="X754" s="43"/>
    </row>
    <row r="755" spans="1:24" ht="15.75" hidden="1" customHeight="1" x14ac:dyDescent="0.25">
      <c r="A755" s="16"/>
      <c r="B755" s="16" t="str">
        <f t="shared" si="3"/>
        <v/>
      </c>
      <c r="C755" s="16"/>
      <c r="D755" s="40"/>
      <c r="E755" s="16"/>
      <c r="F755" s="41"/>
      <c r="G755" s="16"/>
      <c r="H755" s="16"/>
      <c r="I755" s="16"/>
      <c r="J755" s="22"/>
      <c r="K755" s="16"/>
      <c r="L755" s="50"/>
      <c r="M755" s="16"/>
      <c r="N755" s="19"/>
      <c r="O755" s="19"/>
      <c r="P755" s="19"/>
      <c r="Q755" s="19"/>
      <c r="R755" s="19"/>
      <c r="S755" s="19"/>
      <c r="T755" s="19"/>
      <c r="U755" s="19"/>
      <c r="V755" s="19"/>
      <c r="W755" s="20"/>
      <c r="X755" s="43"/>
    </row>
    <row r="756" spans="1:24" ht="15.75" hidden="1" customHeight="1" x14ac:dyDescent="0.25">
      <c r="A756" s="16"/>
      <c r="B756" s="16" t="str">
        <f t="shared" si="3"/>
        <v/>
      </c>
      <c r="C756" s="16"/>
      <c r="D756" s="40"/>
      <c r="E756" s="16"/>
      <c r="F756" s="41"/>
      <c r="G756" s="16"/>
      <c r="H756" s="16"/>
      <c r="I756" s="16"/>
      <c r="J756" s="22"/>
      <c r="K756" s="16"/>
      <c r="L756" s="50"/>
      <c r="M756" s="16"/>
      <c r="N756" s="19"/>
      <c r="O756" s="19"/>
      <c r="P756" s="19"/>
      <c r="Q756" s="19"/>
      <c r="R756" s="19"/>
      <c r="S756" s="19"/>
      <c r="T756" s="19"/>
      <c r="U756" s="19"/>
      <c r="V756" s="19"/>
      <c r="W756" s="20"/>
      <c r="X756" s="43"/>
    </row>
    <row r="757" spans="1:24" ht="15.75" hidden="1" customHeight="1" x14ac:dyDescent="0.25">
      <c r="A757" s="16"/>
      <c r="B757" s="16" t="str">
        <f t="shared" si="3"/>
        <v/>
      </c>
      <c r="C757" s="16"/>
      <c r="D757" s="40"/>
      <c r="E757" s="16"/>
      <c r="F757" s="41"/>
      <c r="G757" s="16"/>
      <c r="H757" s="16"/>
      <c r="I757" s="16"/>
      <c r="J757" s="22"/>
      <c r="K757" s="16"/>
      <c r="L757" s="50"/>
      <c r="M757" s="16"/>
      <c r="N757" s="19"/>
      <c r="O757" s="19"/>
      <c r="P757" s="19"/>
      <c r="Q757" s="19"/>
      <c r="R757" s="19"/>
      <c r="S757" s="19"/>
      <c r="T757" s="19"/>
      <c r="U757" s="19"/>
      <c r="V757" s="19"/>
      <c r="W757" s="20"/>
      <c r="X757" s="43"/>
    </row>
    <row r="758" spans="1:24" ht="15.75" hidden="1" customHeight="1" x14ac:dyDescent="0.25">
      <c r="A758" s="16"/>
      <c r="B758" s="16" t="str">
        <f t="shared" si="3"/>
        <v/>
      </c>
      <c r="C758" s="16"/>
      <c r="D758" s="40"/>
      <c r="E758" s="16"/>
      <c r="F758" s="41"/>
      <c r="G758" s="16"/>
      <c r="H758" s="16"/>
      <c r="I758" s="16"/>
      <c r="J758" s="22"/>
      <c r="K758" s="16"/>
      <c r="L758" s="50"/>
      <c r="M758" s="16"/>
      <c r="N758" s="19"/>
      <c r="O758" s="19"/>
      <c r="P758" s="19"/>
      <c r="Q758" s="19"/>
      <c r="R758" s="19"/>
      <c r="S758" s="19"/>
      <c r="T758" s="19"/>
      <c r="U758" s="19"/>
      <c r="V758" s="19"/>
      <c r="W758" s="20"/>
      <c r="X758" s="43"/>
    </row>
    <row r="759" spans="1:24" ht="15.75" hidden="1" customHeight="1" x14ac:dyDescent="0.25">
      <c r="A759" s="16"/>
      <c r="B759" s="16" t="str">
        <f t="shared" si="3"/>
        <v/>
      </c>
      <c r="C759" s="16"/>
      <c r="D759" s="40"/>
      <c r="E759" s="16"/>
      <c r="F759" s="41"/>
      <c r="G759" s="16"/>
      <c r="H759" s="16"/>
      <c r="I759" s="16"/>
      <c r="J759" s="22"/>
      <c r="K759" s="16"/>
      <c r="L759" s="50"/>
      <c r="M759" s="16"/>
      <c r="N759" s="19"/>
      <c r="O759" s="19"/>
      <c r="P759" s="19"/>
      <c r="Q759" s="19"/>
      <c r="R759" s="19"/>
      <c r="S759" s="19"/>
      <c r="T759" s="19"/>
      <c r="U759" s="19"/>
      <c r="V759" s="19"/>
      <c r="W759" s="20"/>
      <c r="X759" s="43"/>
    </row>
    <row r="760" spans="1:24" ht="15.75" hidden="1" customHeight="1" x14ac:dyDescent="0.25">
      <c r="A760" s="16"/>
      <c r="B760" s="16" t="str">
        <f t="shared" si="3"/>
        <v/>
      </c>
      <c r="C760" s="16"/>
      <c r="D760" s="40"/>
      <c r="E760" s="16"/>
      <c r="F760" s="41"/>
      <c r="G760" s="16"/>
      <c r="H760" s="16"/>
      <c r="I760" s="16"/>
      <c r="J760" s="22"/>
      <c r="K760" s="16"/>
      <c r="L760" s="50"/>
      <c r="M760" s="16"/>
      <c r="N760" s="19"/>
      <c r="O760" s="19"/>
      <c r="P760" s="19"/>
      <c r="Q760" s="19"/>
      <c r="R760" s="19"/>
      <c r="S760" s="19"/>
      <c r="T760" s="19"/>
      <c r="U760" s="19"/>
      <c r="V760" s="19"/>
      <c r="W760" s="20"/>
      <c r="X760" s="43"/>
    </row>
    <row r="761" spans="1:24" ht="15.75" hidden="1" customHeight="1" x14ac:dyDescent="0.25">
      <c r="A761" s="16"/>
      <c r="B761" s="16" t="str">
        <f t="shared" si="3"/>
        <v/>
      </c>
      <c r="C761" s="16"/>
      <c r="D761" s="40"/>
      <c r="E761" s="16"/>
      <c r="F761" s="41"/>
      <c r="G761" s="16"/>
      <c r="H761" s="16"/>
      <c r="I761" s="16"/>
      <c r="J761" s="22"/>
      <c r="K761" s="16"/>
      <c r="L761" s="50"/>
      <c r="M761" s="16"/>
      <c r="N761" s="19"/>
      <c r="O761" s="19"/>
      <c r="P761" s="19"/>
      <c r="Q761" s="19"/>
      <c r="R761" s="19"/>
      <c r="S761" s="19"/>
      <c r="T761" s="19"/>
      <c r="U761" s="19"/>
      <c r="V761" s="19"/>
      <c r="W761" s="20"/>
      <c r="X761" s="43"/>
    </row>
    <row r="762" spans="1:24" ht="15.75" hidden="1" customHeight="1" x14ac:dyDescent="0.25">
      <c r="A762" s="16"/>
      <c r="B762" s="16" t="str">
        <f t="shared" si="3"/>
        <v/>
      </c>
      <c r="C762" s="16"/>
      <c r="D762" s="40"/>
      <c r="E762" s="16"/>
      <c r="F762" s="41"/>
      <c r="G762" s="16"/>
      <c r="H762" s="16"/>
      <c r="I762" s="16"/>
      <c r="J762" s="22"/>
      <c r="K762" s="16"/>
      <c r="L762" s="50"/>
      <c r="M762" s="16"/>
      <c r="N762" s="19"/>
      <c r="O762" s="19"/>
      <c r="P762" s="19"/>
      <c r="Q762" s="19"/>
      <c r="R762" s="19"/>
      <c r="S762" s="19"/>
      <c r="T762" s="19"/>
      <c r="U762" s="19"/>
      <c r="V762" s="19"/>
      <c r="W762" s="20"/>
      <c r="X762" s="43"/>
    </row>
    <row r="763" spans="1:24" ht="15.75" hidden="1" customHeight="1" x14ac:dyDescent="0.25">
      <c r="A763" s="16"/>
      <c r="B763" s="16" t="str">
        <f t="shared" si="3"/>
        <v/>
      </c>
      <c r="C763" s="16"/>
      <c r="D763" s="40"/>
      <c r="E763" s="16"/>
      <c r="F763" s="41"/>
      <c r="G763" s="16"/>
      <c r="H763" s="16"/>
      <c r="I763" s="16"/>
      <c r="J763" s="22"/>
      <c r="K763" s="16"/>
      <c r="L763" s="50"/>
      <c r="M763" s="16"/>
      <c r="N763" s="19"/>
      <c r="O763" s="19"/>
      <c r="P763" s="19"/>
      <c r="Q763" s="19"/>
      <c r="R763" s="19"/>
      <c r="S763" s="19"/>
      <c r="T763" s="19"/>
      <c r="U763" s="19"/>
      <c r="V763" s="19"/>
      <c r="W763" s="20"/>
      <c r="X763" s="43"/>
    </row>
    <row r="764" spans="1:24" ht="15.75" hidden="1" customHeight="1" x14ac:dyDescent="0.25">
      <c r="A764" s="16"/>
      <c r="B764" s="16" t="str">
        <f t="shared" si="3"/>
        <v/>
      </c>
      <c r="C764" s="16"/>
      <c r="D764" s="40"/>
      <c r="E764" s="16"/>
      <c r="F764" s="41"/>
      <c r="G764" s="16"/>
      <c r="H764" s="16"/>
      <c r="I764" s="16"/>
      <c r="J764" s="22"/>
      <c r="K764" s="16"/>
      <c r="L764" s="50"/>
      <c r="M764" s="16"/>
      <c r="N764" s="19"/>
      <c r="O764" s="19"/>
      <c r="P764" s="19"/>
      <c r="Q764" s="19"/>
      <c r="R764" s="19"/>
      <c r="S764" s="19"/>
      <c r="T764" s="19"/>
      <c r="U764" s="19"/>
      <c r="V764" s="19"/>
      <c r="W764" s="20"/>
      <c r="X764" s="43"/>
    </row>
    <row r="765" spans="1:24" ht="15.75" hidden="1" customHeight="1" x14ac:dyDescent="0.25">
      <c r="A765" s="16"/>
      <c r="B765" s="16" t="str">
        <f t="shared" si="3"/>
        <v/>
      </c>
      <c r="C765" s="16"/>
      <c r="D765" s="40"/>
      <c r="E765" s="16"/>
      <c r="F765" s="41"/>
      <c r="G765" s="16"/>
      <c r="H765" s="16"/>
      <c r="I765" s="16"/>
      <c r="J765" s="22"/>
      <c r="K765" s="16"/>
      <c r="L765" s="50"/>
      <c r="M765" s="16"/>
      <c r="N765" s="19"/>
      <c r="O765" s="19"/>
      <c r="P765" s="19"/>
      <c r="Q765" s="19"/>
      <c r="R765" s="19"/>
      <c r="S765" s="19"/>
      <c r="T765" s="19"/>
      <c r="U765" s="19"/>
      <c r="V765" s="19"/>
      <c r="W765" s="20"/>
      <c r="X765" s="43"/>
    </row>
    <row r="766" spans="1:24" ht="15.75" hidden="1" customHeight="1" x14ac:dyDescent="0.25">
      <c r="A766" s="16"/>
      <c r="B766" s="16" t="str">
        <f t="shared" si="3"/>
        <v/>
      </c>
      <c r="C766" s="16"/>
      <c r="D766" s="40"/>
      <c r="E766" s="16"/>
      <c r="F766" s="41"/>
      <c r="G766" s="16"/>
      <c r="H766" s="16"/>
      <c r="I766" s="16"/>
      <c r="J766" s="22"/>
      <c r="K766" s="16"/>
      <c r="L766" s="50"/>
      <c r="M766" s="16"/>
      <c r="N766" s="19"/>
      <c r="O766" s="19"/>
      <c r="P766" s="19"/>
      <c r="Q766" s="19"/>
      <c r="R766" s="19"/>
      <c r="S766" s="19"/>
      <c r="T766" s="19"/>
      <c r="U766" s="19"/>
      <c r="V766" s="19"/>
      <c r="W766" s="20"/>
      <c r="X766" s="43"/>
    </row>
    <row r="767" spans="1:24" ht="15.75" hidden="1" customHeight="1" x14ac:dyDescent="0.25">
      <c r="A767" s="16"/>
      <c r="B767" s="16" t="str">
        <f t="shared" si="3"/>
        <v/>
      </c>
      <c r="C767" s="16"/>
      <c r="D767" s="40"/>
      <c r="E767" s="16"/>
      <c r="F767" s="41"/>
      <c r="G767" s="16"/>
      <c r="H767" s="16"/>
      <c r="I767" s="16"/>
      <c r="J767" s="22"/>
      <c r="K767" s="16"/>
      <c r="L767" s="50"/>
      <c r="M767" s="16"/>
      <c r="N767" s="19"/>
      <c r="O767" s="19"/>
      <c r="P767" s="19"/>
      <c r="Q767" s="19"/>
      <c r="R767" s="19"/>
      <c r="S767" s="19"/>
      <c r="T767" s="19"/>
      <c r="U767" s="19"/>
      <c r="V767" s="19"/>
      <c r="W767" s="20"/>
      <c r="X767" s="43"/>
    </row>
    <row r="768" spans="1:24" ht="15.75" hidden="1" customHeight="1" x14ac:dyDescent="0.25">
      <c r="A768" s="16"/>
      <c r="B768" s="16" t="str">
        <f t="shared" si="3"/>
        <v/>
      </c>
      <c r="C768" s="16"/>
      <c r="D768" s="40"/>
      <c r="E768" s="16"/>
      <c r="F768" s="41"/>
      <c r="G768" s="16"/>
      <c r="H768" s="16"/>
      <c r="I768" s="16"/>
      <c r="J768" s="22"/>
      <c r="K768" s="16"/>
      <c r="L768" s="50"/>
      <c r="M768" s="16"/>
      <c r="N768" s="19"/>
      <c r="O768" s="19"/>
      <c r="P768" s="19"/>
      <c r="Q768" s="19"/>
      <c r="R768" s="19"/>
      <c r="S768" s="19"/>
      <c r="T768" s="19"/>
      <c r="U768" s="19"/>
      <c r="V768" s="19"/>
      <c r="W768" s="20"/>
      <c r="X768" s="43"/>
    </row>
    <row r="769" spans="1:24" ht="15.75" hidden="1" customHeight="1" x14ac:dyDescent="0.25">
      <c r="A769" s="16"/>
      <c r="B769" s="16" t="str">
        <f t="shared" si="3"/>
        <v/>
      </c>
      <c r="C769" s="16"/>
      <c r="D769" s="40"/>
      <c r="E769" s="16"/>
      <c r="F769" s="41"/>
      <c r="G769" s="16"/>
      <c r="H769" s="16"/>
      <c r="I769" s="16"/>
      <c r="J769" s="22"/>
      <c r="K769" s="16"/>
      <c r="L769" s="50"/>
      <c r="M769" s="16"/>
      <c r="N769" s="19"/>
      <c r="O769" s="19"/>
      <c r="P769" s="19"/>
      <c r="Q769" s="19"/>
      <c r="R769" s="19"/>
      <c r="S769" s="19"/>
      <c r="T769" s="19"/>
      <c r="U769" s="19"/>
      <c r="V769" s="19"/>
      <c r="W769" s="20"/>
      <c r="X769" s="43"/>
    </row>
    <row r="770" spans="1:24" ht="15.75" hidden="1" customHeight="1" x14ac:dyDescent="0.25">
      <c r="A770" s="16"/>
      <c r="B770" s="16" t="str">
        <f t="shared" si="3"/>
        <v/>
      </c>
      <c r="C770" s="16"/>
      <c r="D770" s="40"/>
      <c r="E770" s="16"/>
      <c r="F770" s="41"/>
      <c r="G770" s="16"/>
      <c r="H770" s="16"/>
      <c r="I770" s="16"/>
      <c r="J770" s="22"/>
      <c r="K770" s="16"/>
      <c r="L770" s="50"/>
      <c r="M770" s="16"/>
      <c r="N770" s="19"/>
      <c r="O770" s="19"/>
      <c r="P770" s="19"/>
      <c r="Q770" s="19"/>
      <c r="R770" s="19"/>
      <c r="S770" s="19"/>
      <c r="T770" s="19"/>
      <c r="U770" s="19"/>
      <c r="V770" s="19"/>
      <c r="W770" s="20"/>
      <c r="X770" s="43"/>
    </row>
    <row r="771" spans="1:24" ht="15.75" hidden="1" customHeight="1" x14ac:dyDescent="0.25">
      <c r="A771" s="16"/>
      <c r="B771" s="16" t="str">
        <f t="shared" si="3"/>
        <v/>
      </c>
      <c r="C771" s="16"/>
      <c r="D771" s="40"/>
      <c r="E771" s="16"/>
      <c r="F771" s="41"/>
      <c r="G771" s="16"/>
      <c r="H771" s="16"/>
      <c r="I771" s="16"/>
      <c r="J771" s="22"/>
      <c r="K771" s="16"/>
      <c r="L771" s="50"/>
      <c r="M771" s="16"/>
      <c r="N771" s="19"/>
      <c r="O771" s="19"/>
      <c r="P771" s="19"/>
      <c r="Q771" s="19"/>
      <c r="R771" s="19"/>
      <c r="S771" s="19"/>
      <c r="T771" s="19"/>
      <c r="U771" s="19"/>
      <c r="V771" s="19"/>
      <c r="W771" s="20"/>
      <c r="X771" s="43"/>
    </row>
    <row r="772" spans="1:24" ht="15.75" hidden="1" customHeight="1" x14ac:dyDescent="0.25">
      <c r="A772" s="16"/>
      <c r="B772" s="16" t="str">
        <f t="shared" si="3"/>
        <v/>
      </c>
      <c r="C772" s="16"/>
      <c r="D772" s="40"/>
      <c r="E772" s="16"/>
      <c r="F772" s="41"/>
      <c r="G772" s="16"/>
      <c r="H772" s="16"/>
      <c r="I772" s="16"/>
      <c r="J772" s="22"/>
      <c r="K772" s="16"/>
      <c r="L772" s="50"/>
      <c r="M772" s="16"/>
      <c r="N772" s="19"/>
      <c r="O772" s="19"/>
      <c r="P772" s="19"/>
      <c r="Q772" s="19"/>
      <c r="R772" s="19"/>
      <c r="S772" s="19"/>
      <c r="T772" s="19"/>
      <c r="U772" s="19"/>
      <c r="V772" s="19"/>
      <c r="W772" s="20"/>
      <c r="X772" s="43"/>
    </row>
    <row r="773" spans="1:24" ht="15.75" hidden="1" customHeight="1" x14ac:dyDescent="0.25">
      <c r="A773" s="16"/>
      <c r="B773" s="16" t="str">
        <f t="shared" si="3"/>
        <v/>
      </c>
      <c r="C773" s="16"/>
      <c r="D773" s="40"/>
      <c r="E773" s="16"/>
      <c r="F773" s="41"/>
      <c r="G773" s="16"/>
      <c r="H773" s="16"/>
      <c r="I773" s="16"/>
      <c r="J773" s="22"/>
      <c r="K773" s="16"/>
      <c r="L773" s="50"/>
      <c r="M773" s="16"/>
      <c r="N773" s="19"/>
      <c r="O773" s="19"/>
      <c r="P773" s="19"/>
      <c r="Q773" s="19"/>
      <c r="R773" s="19"/>
      <c r="S773" s="19"/>
      <c r="T773" s="19"/>
      <c r="U773" s="19"/>
      <c r="V773" s="19"/>
      <c r="W773" s="20"/>
      <c r="X773" s="43"/>
    </row>
    <row r="774" spans="1:24" ht="15.75" hidden="1" customHeight="1" x14ac:dyDescent="0.25">
      <c r="A774" s="16"/>
      <c r="B774" s="16" t="str">
        <f t="shared" si="3"/>
        <v/>
      </c>
      <c r="C774" s="16"/>
      <c r="D774" s="40"/>
      <c r="E774" s="16"/>
      <c r="F774" s="41"/>
      <c r="G774" s="16"/>
      <c r="H774" s="16"/>
      <c r="I774" s="16"/>
      <c r="J774" s="22"/>
      <c r="K774" s="16"/>
      <c r="L774" s="50"/>
      <c r="M774" s="16"/>
      <c r="N774" s="19"/>
      <c r="O774" s="19"/>
      <c r="P774" s="19"/>
      <c r="Q774" s="19"/>
      <c r="R774" s="19"/>
      <c r="S774" s="19"/>
      <c r="T774" s="19"/>
      <c r="U774" s="19"/>
      <c r="V774" s="19"/>
      <c r="W774" s="20"/>
      <c r="X774" s="43"/>
    </row>
    <row r="775" spans="1:24" ht="15.75" hidden="1" customHeight="1" x14ac:dyDescent="0.25">
      <c r="A775" s="16"/>
      <c r="B775" s="16" t="str">
        <f t="shared" si="3"/>
        <v/>
      </c>
      <c r="C775" s="16"/>
      <c r="D775" s="40"/>
      <c r="E775" s="16"/>
      <c r="F775" s="41"/>
      <c r="G775" s="16"/>
      <c r="H775" s="16"/>
      <c r="I775" s="16"/>
      <c r="J775" s="22"/>
      <c r="K775" s="16"/>
      <c r="L775" s="50"/>
      <c r="M775" s="16"/>
      <c r="N775" s="19"/>
      <c r="O775" s="19"/>
      <c r="P775" s="19"/>
      <c r="Q775" s="19"/>
      <c r="R775" s="19"/>
      <c r="S775" s="19"/>
      <c r="T775" s="19"/>
      <c r="U775" s="19"/>
      <c r="V775" s="19"/>
      <c r="W775" s="20"/>
      <c r="X775" s="43"/>
    </row>
    <row r="776" spans="1:24" ht="15.75" hidden="1" customHeight="1" x14ac:dyDescent="0.25">
      <c r="A776" s="16"/>
      <c r="B776" s="16" t="str">
        <f t="shared" si="3"/>
        <v/>
      </c>
      <c r="C776" s="16"/>
      <c r="D776" s="40"/>
      <c r="E776" s="16"/>
      <c r="F776" s="41"/>
      <c r="G776" s="16"/>
      <c r="H776" s="16"/>
      <c r="I776" s="16"/>
      <c r="J776" s="22"/>
      <c r="K776" s="16"/>
      <c r="L776" s="50"/>
      <c r="M776" s="16"/>
      <c r="N776" s="19"/>
      <c r="O776" s="19"/>
      <c r="P776" s="19"/>
      <c r="Q776" s="19"/>
      <c r="R776" s="19"/>
      <c r="S776" s="19"/>
      <c r="T776" s="19"/>
      <c r="U776" s="19"/>
      <c r="V776" s="19"/>
      <c r="W776" s="20"/>
      <c r="X776" s="43"/>
    </row>
    <row r="777" spans="1:24" ht="15.75" hidden="1" customHeight="1" x14ac:dyDescent="0.25">
      <c r="A777" s="16"/>
      <c r="B777" s="16" t="str">
        <f t="shared" si="3"/>
        <v/>
      </c>
      <c r="C777" s="16"/>
      <c r="D777" s="40"/>
      <c r="E777" s="16"/>
      <c r="F777" s="41"/>
      <c r="G777" s="16"/>
      <c r="H777" s="16"/>
      <c r="I777" s="16"/>
      <c r="J777" s="22"/>
      <c r="K777" s="16"/>
      <c r="L777" s="50"/>
      <c r="M777" s="16"/>
      <c r="N777" s="19"/>
      <c r="O777" s="19"/>
      <c r="P777" s="19"/>
      <c r="Q777" s="19"/>
      <c r="R777" s="19"/>
      <c r="S777" s="19"/>
      <c r="T777" s="19"/>
      <c r="U777" s="19"/>
      <c r="V777" s="19"/>
      <c r="W777" s="20"/>
      <c r="X777" s="43"/>
    </row>
    <row r="778" spans="1:24" ht="15.75" hidden="1" customHeight="1" x14ac:dyDescent="0.25">
      <c r="A778" s="16"/>
      <c r="B778" s="16" t="str">
        <f t="shared" si="3"/>
        <v/>
      </c>
      <c r="C778" s="16"/>
      <c r="D778" s="40"/>
      <c r="E778" s="16"/>
      <c r="F778" s="41"/>
      <c r="G778" s="16"/>
      <c r="H778" s="16"/>
      <c r="I778" s="16"/>
      <c r="J778" s="22"/>
      <c r="K778" s="16"/>
      <c r="L778" s="50"/>
      <c r="M778" s="16"/>
      <c r="N778" s="19"/>
      <c r="O778" s="19"/>
      <c r="P778" s="19"/>
      <c r="Q778" s="19"/>
      <c r="R778" s="19"/>
      <c r="S778" s="19"/>
      <c r="T778" s="19"/>
      <c r="U778" s="19"/>
      <c r="V778" s="19"/>
      <c r="W778" s="20"/>
      <c r="X778" s="43"/>
    </row>
    <row r="779" spans="1:24" ht="15.75" hidden="1" customHeight="1" x14ac:dyDescent="0.25">
      <c r="A779" s="16"/>
      <c r="B779" s="16" t="str">
        <f t="shared" si="3"/>
        <v/>
      </c>
      <c r="C779" s="16"/>
      <c r="D779" s="40"/>
      <c r="E779" s="16"/>
      <c r="F779" s="41"/>
      <c r="G779" s="16"/>
      <c r="H779" s="16"/>
      <c r="I779" s="16"/>
      <c r="J779" s="22"/>
      <c r="K779" s="16"/>
      <c r="L779" s="50"/>
      <c r="M779" s="16"/>
      <c r="N779" s="19"/>
      <c r="O779" s="19"/>
      <c r="P779" s="19"/>
      <c r="Q779" s="19"/>
      <c r="R779" s="19"/>
      <c r="S779" s="19"/>
      <c r="T779" s="19"/>
      <c r="U779" s="19"/>
      <c r="V779" s="19"/>
      <c r="W779" s="20"/>
      <c r="X779" s="43"/>
    </row>
    <row r="780" spans="1:24" ht="15.75" hidden="1" customHeight="1" x14ac:dyDescent="0.25">
      <c r="A780" s="16"/>
      <c r="B780" s="16" t="str">
        <f t="shared" si="3"/>
        <v/>
      </c>
      <c r="C780" s="16"/>
      <c r="D780" s="40"/>
      <c r="E780" s="16"/>
      <c r="F780" s="41"/>
      <c r="G780" s="16"/>
      <c r="H780" s="16"/>
      <c r="I780" s="16"/>
      <c r="J780" s="22"/>
      <c r="K780" s="16"/>
      <c r="L780" s="50"/>
      <c r="M780" s="16"/>
      <c r="N780" s="19"/>
      <c r="O780" s="19"/>
      <c r="P780" s="19"/>
      <c r="Q780" s="19"/>
      <c r="R780" s="19"/>
      <c r="S780" s="19"/>
      <c r="T780" s="19"/>
      <c r="U780" s="19"/>
      <c r="V780" s="19"/>
      <c r="W780" s="20"/>
      <c r="X780" s="43"/>
    </row>
    <row r="781" spans="1:24" ht="15.75" hidden="1" customHeight="1" x14ac:dyDescent="0.25">
      <c r="A781" s="16"/>
      <c r="B781" s="16" t="str">
        <f t="shared" si="3"/>
        <v/>
      </c>
      <c r="C781" s="16"/>
      <c r="D781" s="40"/>
      <c r="E781" s="16"/>
      <c r="F781" s="41"/>
      <c r="G781" s="16"/>
      <c r="H781" s="16"/>
      <c r="I781" s="16"/>
      <c r="J781" s="22"/>
      <c r="K781" s="16"/>
      <c r="L781" s="50"/>
      <c r="M781" s="16"/>
      <c r="N781" s="19"/>
      <c r="O781" s="19"/>
      <c r="P781" s="19"/>
      <c r="Q781" s="19"/>
      <c r="R781" s="19"/>
      <c r="S781" s="19"/>
      <c r="T781" s="19"/>
      <c r="U781" s="19"/>
      <c r="V781" s="19"/>
      <c r="W781" s="20"/>
      <c r="X781" s="43"/>
    </row>
    <row r="782" spans="1:24" ht="15.75" hidden="1" customHeight="1" x14ac:dyDescent="0.25">
      <c r="A782" s="16"/>
      <c r="B782" s="16" t="str">
        <f t="shared" si="3"/>
        <v/>
      </c>
      <c r="C782" s="16"/>
      <c r="D782" s="40"/>
      <c r="E782" s="16"/>
      <c r="F782" s="41"/>
      <c r="G782" s="16"/>
      <c r="H782" s="16"/>
      <c r="I782" s="16"/>
      <c r="J782" s="22"/>
      <c r="K782" s="16"/>
      <c r="L782" s="50"/>
      <c r="M782" s="16"/>
      <c r="N782" s="19"/>
      <c r="O782" s="19"/>
      <c r="P782" s="19"/>
      <c r="Q782" s="19"/>
      <c r="R782" s="19"/>
      <c r="S782" s="19"/>
      <c r="T782" s="19"/>
      <c r="U782" s="19"/>
      <c r="V782" s="19"/>
      <c r="W782" s="20"/>
      <c r="X782" s="43"/>
    </row>
    <row r="783" spans="1:24" ht="15.75" hidden="1" customHeight="1" x14ac:dyDescent="0.25">
      <c r="A783" s="16"/>
      <c r="B783" s="16" t="str">
        <f t="shared" si="3"/>
        <v/>
      </c>
      <c r="C783" s="16"/>
      <c r="D783" s="40"/>
      <c r="E783" s="16"/>
      <c r="F783" s="41"/>
      <c r="G783" s="16"/>
      <c r="H783" s="16"/>
      <c r="I783" s="16"/>
      <c r="J783" s="22"/>
      <c r="K783" s="16"/>
      <c r="L783" s="50"/>
      <c r="M783" s="16"/>
      <c r="N783" s="19"/>
      <c r="O783" s="19"/>
      <c r="P783" s="19"/>
      <c r="Q783" s="19"/>
      <c r="R783" s="19"/>
      <c r="S783" s="19"/>
      <c r="T783" s="19"/>
      <c r="U783" s="19"/>
      <c r="V783" s="19"/>
      <c r="W783" s="20"/>
      <c r="X783" s="43"/>
    </row>
    <row r="784" spans="1:24" ht="15.75" hidden="1" customHeight="1" x14ac:dyDescent="0.25">
      <c r="A784" s="16"/>
      <c r="B784" s="16" t="str">
        <f t="shared" si="3"/>
        <v/>
      </c>
      <c r="C784" s="16"/>
      <c r="D784" s="40"/>
      <c r="E784" s="16"/>
      <c r="F784" s="41"/>
      <c r="G784" s="16"/>
      <c r="H784" s="16"/>
      <c r="I784" s="16"/>
      <c r="J784" s="22"/>
      <c r="K784" s="16"/>
      <c r="L784" s="50"/>
      <c r="M784" s="16"/>
      <c r="N784" s="19"/>
      <c r="O784" s="19"/>
      <c r="P784" s="19"/>
      <c r="Q784" s="19"/>
      <c r="R784" s="19"/>
      <c r="S784" s="19"/>
      <c r="T784" s="19"/>
      <c r="U784" s="19"/>
      <c r="V784" s="19"/>
      <c r="W784" s="20"/>
      <c r="X784" s="43"/>
    </row>
    <row r="785" spans="1:24" ht="15.75" hidden="1" customHeight="1" x14ac:dyDescent="0.25">
      <c r="A785" s="16"/>
      <c r="B785" s="16" t="str">
        <f t="shared" si="3"/>
        <v/>
      </c>
      <c r="C785" s="16"/>
      <c r="D785" s="40"/>
      <c r="E785" s="16"/>
      <c r="F785" s="41"/>
      <c r="G785" s="16"/>
      <c r="H785" s="16"/>
      <c r="I785" s="16"/>
      <c r="J785" s="22"/>
      <c r="K785" s="16"/>
      <c r="L785" s="50"/>
      <c r="M785" s="16"/>
      <c r="N785" s="19"/>
      <c r="O785" s="19"/>
      <c r="P785" s="19"/>
      <c r="Q785" s="19"/>
      <c r="R785" s="19"/>
      <c r="S785" s="19"/>
      <c r="T785" s="19"/>
      <c r="U785" s="19"/>
      <c r="V785" s="19"/>
      <c r="W785" s="20"/>
      <c r="X785" s="43"/>
    </row>
    <row r="786" spans="1:24" ht="15.75" hidden="1" customHeight="1" x14ac:dyDescent="0.25">
      <c r="A786" s="16"/>
      <c r="B786" s="16" t="str">
        <f t="shared" si="3"/>
        <v/>
      </c>
      <c r="C786" s="16"/>
      <c r="D786" s="40"/>
      <c r="E786" s="16"/>
      <c r="F786" s="41"/>
      <c r="G786" s="16"/>
      <c r="H786" s="16"/>
      <c r="I786" s="16"/>
      <c r="J786" s="22"/>
      <c r="K786" s="16"/>
      <c r="L786" s="50"/>
      <c r="M786" s="16"/>
      <c r="N786" s="19"/>
      <c r="O786" s="19"/>
      <c r="P786" s="19"/>
      <c r="Q786" s="19"/>
      <c r="R786" s="19"/>
      <c r="S786" s="19"/>
      <c r="T786" s="19"/>
      <c r="U786" s="19"/>
      <c r="V786" s="19"/>
      <c r="W786" s="20"/>
      <c r="X786" s="43"/>
    </row>
    <row r="787" spans="1:24" ht="15.75" hidden="1" customHeight="1" x14ac:dyDescent="0.25">
      <c r="A787" s="16"/>
      <c r="B787" s="16" t="str">
        <f t="shared" si="3"/>
        <v/>
      </c>
      <c r="C787" s="16"/>
      <c r="D787" s="40"/>
      <c r="E787" s="16"/>
      <c r="F787" s="41"/>
      <c r="G787" s="16"/>
      <c r="H787" s="16"/>
      <c r="I787" s="16"/>
      <c r="J787" s="22"/>
      <c r="K787" s="16"/>
      <c r="L787" s="50"/>
      <c r="M787" s="16"/>
      <c r="N787" s="19"/>
      <c r="O787" s="19"/>
      <c r="P787" s="19"/>
      <c r="Q787" s="19"/>
      <c r="R787" s="19"/>
      <c r="S787" s="19"/>
      <c r="T787" s="19"/>
      <c r="U787" s="19"/>
      <c r="V787" s="19"/>
      <c r="W787" s="20"/>
      <c r="X787" s="43"/>
    </row>
    <row r="788" spans="1:24" ht="15.75" hidden="1" customHeight="1" x14ac:dyDescent="0.25">
      <c r="A788" s="16"/>
      <c r="B788" s="16" t="str">
        <f t="shared" si="3"/>
        <v/>
      </c>
      <c r="C788" s="16"/>
      <c r="D788" s="40"/>
      <c r="E788" s="16"/>
      <c r="F788" s="41"/>
      <c r="G788" s="16"/>
      <c r="H788" s="16"/>
      <c r="I788" s="16"/>
      <c r="J788" s="22"/>
      <c r="K788" s="16"/>
      <c r="L788" s="50"/>
      <c r="M788" s="16"/>
      <c r="N788" s="19"/>
      <c r="O788" s="19"/>
      <c r="P788" s="19"/>
      <c r="Q788" s="19"/>
      <c r="R788" s="19"/>
      <c r="S788" s="19"/>
      <c r="T788" s="19"/>
      <c r="U788" s="19"/>
      <c r="V788" s="19"/>
      <c r="W788" s="20"/>
      <c r="X788" s="43"/>
    </row>
    <row r="789" spans="1:24" ht="15.75" hidden="1" customHeight="1" x14ac:dyDescent="0.25">
      <c r="A789" s="16"/>
      <c r="B789" s="16" t="str">
        <f t="shared" si="3"/>
        <v/>
      </c>
      <c r="C789" s="16"/>
      <c r="D789" s="40"/>
      <c r="E789" s="16"/>
      <c r="F789" s="41"/>
      <c r="G789" s="16"/>
      <c r="H789" s="16"/>
      <c r="I789" s="16"/>
      <c r="J789" s="22"/>
      <c r="K789" s="16"/>
      <c r="L789" s="50"/>
      <c r="M789" s="16"/>
      <c r="N789" s="19"/>
      <c r="O789" s="19"/>
      <c r="P789" s="19"/>
      <c r="Q789" s="19"/>
      <c r="R789" s="19"/>
      <c r="S789" s="19"/>
      <c r="T789" s="19"/>
      <c r="U789" s="19"/>
      <c r="V789" s="19"/>
      <c r="W789" s="20"/>
      <c r="X789" s="43"/>
    </row>
    <row r="790" spans="1:24" ht="15.75" hidden="1" customHeight="1" x14ac:dyDescent="0.25">
      <c r="A790" s="16"/>
      <c r="B790" s="16" t="str">
        <f t="shared" si="3"/>
        <v/>
      </c>
      <c r="C790" s="16"/>
      <c r="D790" s="40"/>
      <c r="E790" s="16"/>
      <c r="F790" s="41"/>
      <c r="G790" s="16"/>
      <c r="H790" s="16"/>
      <c r="I790" s="16"/>
      <c r="J790" s="22"/>
      <c r="K790" s="16"/>
      <c r="L790" s="50"/>
      <c r="M790" s="16"/>
      <c r="N790" s="19"/>
      <c r="O790" s="19"/>
      <c r="P790" s="19"/>
      <c r="Q790" s="19"/>
      <c r="R790" s="19"/>
      <c r="S790" s="19"/>
      <c r="T790" s="19"/>
      <c r="U790" s="19"/>
      <c r="V790" s="19"/>
      <c r="W790" s="20"/>
      <c r="X790" s="43"/>
    </row>
    <row r="791" spans="1:24" ht="15.75" hidden="1" customHeight="1" x14ac:dyDescent="0.25">
      <c r="A791" s="16"/>
      <c r="B791" s="16" t="str">
        <f t="shared" si="3"/>
        <v/>
      </c>
      <c r="C791" s="16"/>
      <c r="D791" s="40"/>
      <c r="E791" s="16"/>
      <c r="F791" s="41"/>
      <c r="G791" s="16"/>
      <c r="H791" s="16"/>
      <c r="I791" s="16"/>
      <c r="J791" s="22"/>
      <c r="K791" s="16"/>
      <c r="L791" s="50"/>
      <c r="M791" s="16"/>
      <c r="N791" s="19"/>
      <c r="O791" s="19"/>
      <c r="P791" s="19"/>
      <c r="Q791" s="19"/>
      <c r="R791" s="19"/>
      <c r="S791" s="19"/>
      <c r="T791" s="19"/>
      <c r="U791" s="19"/>
      <c r="V791" s="19"/>
      <c r="W791" s="20"/>
      <c r="X791" s="43"/>
    </row>
    <row r="792" spans="1:24" ht="15.75" hidden="1" customHeight="1" x14ac:dyDescent="0.25">
      <c r="A792" s="16"/>
      <c r="B792" s="16" t="str">
        <f t="shared" si="3"/>
        <v/>
      </c>
      <c r="C792" s="16"/>
      <c r="D792" s="40"/>
      <c r="E792" s="16"/>
      <c r="F792" s="41"/>
      <c r="G792" s="16"/>
      <c r="H792" s="16"/>
      <c r="I792" s="16"/>
      <c r="J792" s="22"/>
      <c r="K792" s="16"/>
      <c r="L792" s="50"/>
      <c r="M792" s="16"/>
      <c r="N792" s="19"/>
      <c r="O792" s="19"/>
      <c r="P792" s="19"/>
      <c r="Q792" s="19"/>
      <c r="R792" s="19"/>
      <c r="S792" s="19"/>
      <c r="T792" s="19"/>
      <c r="U792" s="19"/>
      <c r="V792" s="19"/>
      <c r="W792" s="20"/>
      <c r="X792" s="43"/>
    </row>
    <row r="793" spans="1:24" ht="15.75" hidden="1" customHeight="1" x14ac:dyDescent="0.25">
      <c r="A793" s="16"/>
      <c r="B793" s="16" t="str">
        <f t="shared" si="3"/>
        <v/>
      </c>
      <c r="C793" s="16"/>
      <c r="D793" s="40"/>
      <c r="E793" s="16"/>
      <c r="F793" s="41"/>
      <c r="G793" s="16"/>
      <c r="H793" s="16"/>
      <c r="I793" s="16"/>
      <c r="J793" s="22"/>
      <c r="K793" s="16"/>
      <c r="L793" s="50"/>
      <c r="M793" s="16"/>
      <c r="N793" s="19"/>
      <c r="O793" s="19"/>
      <c r="P793" s="19"/>
      <c r="Q793" s="19"/>
      <c r="R793" s="19"/>
      <c r="S793" s="19"/>
      <c r="T793" s="19"/>
      <c r="U793" s="19"/>
      <c r="V793" s="19"/>
      <c r="W793" s="20"/>
      <c r="X793" s="43"/>
    </row>
    <row r="794" spans="1:24" ht="15.75" hidden="1" customHeight="1" x14ac:dyDescent="0.25">
      <c r="A794" s="16"/>
      <c r="B794" s="16" t="str">
        <f t="shared" si="3"/>
        <v/>
      </c>
      <c r="C794" s="16"/>
      <c r="D794" s="40"/>
      <c r="E794" s="16"/>
      <c r="F794" s="41"/>
      <c r="G794" s="16"/>
      <c r="H794" s="16"/>
      <c r="I794" s="16"/>
      <c r="J794" s="22"/>
      <c r="K794" s="16"/>
      <c r="L794" s="50"/>
      <c r="M794" s="16"/>
      <c r="N794" s="19"/>
      <c r="O794" s="19"/>
      <c r="P794" s="19"/>
      <c r="Q794" s="19"/>
      <c r="R794" s="19"/>
      <c r="S794" s="19"/>
      <c r="T794" s="19"/>
      <c r="U794" s="19"/>
      <c r="V794" s="19"/>
      <c r="W794" s="20"/>
      <c r="X794" s="43"/>
    </row>
    <row r="795" spans="1:24" ht="15.75" hidden="1" customHeight="1" x14ac:dyDescent="0.25">
      <c r="A795" s="16"/>
      <c r="B795" s="16" t="str">
        <f t="shared" si="3"/>
        <v/>
      </c>
      <c r="C795" s="16"/>
      <c r="D795" s="40"/>
      <c r="E795" s="16"/>
      <c r="F795" s="41"/>
      <c r="G795" s="16"/>
      <c r="H795" s="16"/>
      <c r="I795" s="16"/>
      <c r="J795" s="22"/>
      <c r="K795" s="16"/>
      <c r="L795" s="50"/>
      <c r="M795" s="16"/>
      <c r="N795" s="19"/>
      <c r="O795" s="19"/>
      <c r="P795" s="19"/>
      <c r="Q795" s="19"/>
      <c r="R795" s="19"/>
      <c r="S795" s="19"/>
      <c r="T795" s="19"/>
      <c r="U795" s="19"/>
      <c r="V795" s="19"/>
      <c r="W795" s="20"/>
      <c r="X795" s="43"/>
    </row>
    <row r="796" spans="1:24" ht="15.75" hidden="1" customHeight="1" x14ac:dyDescent="0.25">
      <c r="A796" s="16"/>
      <c r="B796" s="16" t="str">
        <f t="shared" si="3"/>
        <v/>
      </c>
      <c r="C796" s="16"/>
      <c r="D796" s="40"/>
      <c r="E796" s="16"/>
      <c r="F796" s="41"/>
      <c r="G796" s="16"/>
      <c r="H796" s="16"/>
      <c r="I796" s="16"/>
      <c r="J796" s="22"/>
      <c r="K796" s="16"/>
      <c r="L796" s="50"/>
      <c r="M796" s="16"/>
      <c r="N796" s="19"/>
      <c r="O796" s="19"/>
      <c r="P796" s="19"/>
      <c r="Q796" s="19"/>
      <c r="R796" s="19"/>
      <c r="S796" s="19"/>
      <c r="T796" s="19"/>
      <c r="U796" s="19"/>
      <c r="V796" s="19"/>
      <c r="W796" s="20"/>
      <c r="X796" s="43"/>
    </row>
    <row r="797" spans="1:24" ht="15.75" hidden="1" customHeight="1" x14ac:dyDescent="0.25">
      <c r="A797" s="16"/>
      <c r="B797" s="16" t="str">
        <f t="shared" si="3"/>
        <v/>
      </c>
      <c r="C797" s="16"/>
      <c r="D797" s="40"/>
      <c r="E797" s="16"/>
      <c r="F797" s="41"/>
      <c r="G797" s="16"/>
      <c r="H797" s="16"/>
      <c r="I797" s="16"/>
      <c r="J797" s="22"/>
      <c r="K797" s="16"/>
      <c r="L797" s="50"/>
      <c r="M797" s="16"/>
      <c r="N797" s="19"/>
      <c r="O797" s="19"/>
      <c r="P797" s="19"/>
      <c r="Q797" s="19"/>
      <c r="R797" s="19"/>
      <c r="S797" s="19"/>
      <c r="T797" s="19"/>
      <c r="U797" s="19"/>
      <c r="V797" s="19"/>
      <c r="W797" s="20"/>
      <c r="X797" s="43"/>
    </row>
    <row r="798" spans="1:24" ht="15.75" hidden="1" customHeight="1" x14ac:dyDescent="0.25">
      <c r="A798" s="16"/>
      <c r="B798" s="16" t="str">
        <f t="shared" si="3"/>
        <v/>
      </c>
      <c r="C798" s="16"/>
      <c r="D798" s="40"/>
      <c r="E798" s="16"/>
      <c r="F798" s="41"/>
      <c r="G798" s="16"/>
      <c r="H798" s="16"/>
      <c r="I798" s="16"/>
      <c r="J798" s="22"/>
      <c r="K798" s="16"/>
      <c r="L798" s="50"/>
      <c r="M798" s="16"/>
      <c r="N798" s="19"/>
      <c r="O798" s="19"/>
      <c r="P798" s="19"/>
      <c r="Q798" s="19"/>
      <c r="R798" s="19"/>
      <c r="S798" s="19"/>
      <c r="T798" s="19"/>
      <c r="U798" s="19"/>
      <c r="V798" s="19"/>
      <c r="W798" s="20"/>
      <c r="X798" s="43"/>
    </row>
    <row r="799" spans="1:24" ht="15.75" hidden="1" customHeight="1" x14ac:dyDescent="0.25">
      <c r="A799" s="16"/>
      <c r="B799" s="16" t="str">
        <f t="shared" si="3"/>
        <v/>
      </c>
      <c r="C799" s="16"/>
      <c r="D799" s="40"/>
      <c r="E799" s="16"/>
      <c r="F799" s="41"/>
      <c r="G799" s="16"/>
      <c r="H799" s="16"/>
      <c r="I799" s="16"/>
      <c r="J799" s="22"/>
      <c r="K799" s="16"/>
      <c r="L799" s="50"/>
      <c r="M799" s="16"/>
      <c r="N799" s="19"/>
      <c r="O799" s="19"/>
      <c r="P799" s="19"/>
      <c r="Q799" s="19"/>
      <c r="R799" s="19"/>
      <c r="S799" s="19"/>
      <c r="T799" s="19"/>
      <c r="U799" s="19"/>
      <c r="V799" s="19"/>
      <c r="W799" s="20"/>
      <c r="X799" s="43"/>
    </row>
    <row r="800" spans="1:24" ht="15.75" hidden="1" customHeight="1" x14ac:dyDescent="0.25">
      <c r="A800" s="16"/>
      <c r="B800" s="16" t="str">
        <f t="shared" si="3"/>
        <v/>
      </c>
      <c r="C800" s="16"/>
      <c r="D800" s="40"/>
      <c r="E800" s="16"/>
      <c r="F800" s="41"/>
      <c r="G800" s="16"/>
      <c r="H800" s="16"/>
      <c r="I800" s="16"/>
      <c r="J800" s="22"/>
      <c r="K800" s="16"/>
      <c r="L800" s="50"/>
      <c r="M800" s="16"/>
      <c r="N800" s="19"/>
      <c r="O800" s="19"/>
      <c r="P800" s="19"/>
      <c r="Q800" s="19"/>
      <c r="R800" s="19"/>
      <c r="S800" s="19"/>
      <c r="T800" s="19"/>
      <c r="U800" s="19"/>
      <c r="V800" s="19"/>
      <c r="W800" s="20"/>
      <c r="X800" s="43"/>
    </row>
    <row r="801" spans="1:24" ht="15.75" hidden="1" customHeight="1" x14ac:dyDescent="0.25">
      <c r="A801" s="16"/>
      <c r="B801" s="16" t="str">
        <f t="shared" si="3"/>
        <v/>
      </c>
      <c r="C801" s="16"/>
      <c r="D801" s="40"/>
      <c r="E801" s="16"/>
      <c r="F801" s="41"/>
      <c r="G801" s="16"/>
      <c r="H801" s="16"/>
      <c r="I801" s="16"/>
      <c r="J801" s="22"/>
      <c r="K801" s="16"/>
      <c r="L801" s="50"/>
      <c r="M801" s="16"/>
      <c r="N801" s="19"/>
      <c r="O801" s="19"/>
      <c r="P801" s="19"/>
      <c r="Q801" s="19"/>
      <c r="R801" s="19"/>
      <c r="S801" s="19"/>
      <c r="T801" s="19"/>
      <c r="U801" s="19"/>
      <c r="V801" s="19"/>
      <c r="W801" s="20"/>
      <c r="X801" s="43"/>
    </row>
    <row r="802" spans="1:24" ht="15.75" hidden="1" customHeight="1" x14ac:dyDescent="0.25">
      <c r="A802" s="16"/>
      <c r="B802" s="16" t="str">
        <f t="shared" si="3"/>
        <v/>
      </c>
      <c r="C802" s="16"/>
      <c r="D802" s="40"/>
      <c r="E802" s="16"/>
      <c r="F802" s="41"/>
      <c r="G802" s="16"/>
      <c r="H802" s="16"/>
      <c r="I802" s="16"/>
      <c r="J802" s="22"/>
      <c r="K802" s="16"/>
      <c r="L802" s="50"/>
      <c r="M802" s="16"/>
      <c r="N802" s="19"/>
      <c r="O802" s="19"/>
      <c r="P802" s="19"/>
      <c r="Q802" s="19"/>
      <c r="R802" s="19"/>
      <c r="S802" s="19"/>
      <c r="T802" s="19"/>
      <c r="U802" s="19"/>
      <c r="V802" s="19"/>
      <c r="W802" s="20"/>
      <c r="X802" s="43"/>
    </row>
    <row r="803" spans="1:24" ht="15.75" hidden="1" customHeight="1" x14ac:dyDescent="0.25">
      <c r="A803" s="16"/>
      <c r="B803" s="16" t="str">
        <f t="shared" si="3"/>
        <v/>
      </c>
      <c r="C803" s="16"/>
      <c r="D803" s="40"/>
      <c r="E803" s="16"/>
      <c r="F803" s="41"/>
      <c r="G803" s="16"/>
      <c r="H803" s="16"/>
      <c r="I803" s="16"/>
      <c r="J803" s="22"/>
      <c r="K803" s="16"/>
      <c r="L803" s="50"/>
      <c r="M803" s="16"/>
      <c r="N803" s="19"/>
      <c r="O803" s="19"/>
      <c r="P803" s="19"/>
      <c r="Q803" s="19"/>
      <c r="R803" s="19"/>
      <c r="S803" s="19"/>
      <c r="T803" s="19"/>
      <c r="U803" s="19"/>
      <c r="V803" s="19"/>
      <c r="W803" s="20"/>
      <c r="X803" s="43"/>
    </row>
    <row r="804" spans="1:24" ht="15.75" hidden="1" customHeight="1" x14ac:dyDescent="0.25">
      <c r="A804" s="16"/>
      <c r="B804" s="16" t="str">
        <f t="shared" si="3"/>
        <v/>
      </c>
      <c r="C804" s="16"/>
      <c r="D804" s="40"/>
      <c r="E804" s="16"/>
      <c r="F804" s="41"/>
      <c r="G804" s="16"/>
      <c r="H804" s="16"/>
      <c r="I804" s="16"/>
      <c r="J804" s="22"/>
      <c r="K804" s="16"/>
      <c r="L804" s="50"/>
      <c r="M804" s="16"/>
      <c r="N804" s="19"/>
      <c r="O804" s="19"/>
      <c r="P804" s="19"/>
      <c r="Q804" s="19"/>
      <c r="R804" s="19"/>
      <c r="S804" s="19"/>
      <c r="T804" s="19"/>
      <c r="U804" s="19"/>
      <c r="V804" s="19"/>
      <c r="W804" s="20"/>
      <c r="X804" s="43"/>
    </row>
    <row r="805" spans="1:24" ht="15.75" hidden="1" customHeight="1" x14ac:dyDescent="0.25">
      <c r="A805" s="16"/>
      <c r="B805" s="16" t="str">
        <f t="shared" si="3"/>
        <v/>
      </c>
      <c r="C805" s="16"/>
      <c r="D805" s="40"/>
      <c r="E805" s="16"/>
      <c r="F805" s="41"/>
      <c r="G805" s="16"/>
      <c r="H805" s="16"/>
      <c r="I805" s="16"/>
      <c r="J805" s="22"/>
      <c r="K805" s="16"/>
      <c r="L805" s="50"/>
      <c r="M805" s="16"/>
      <c r="N805" s="19"/>
      <c r="O805" s="19"/>
      <c r="P805" s="19"/>
      <c r="Q805" s="19"/>
      <c r="R805" s="19"/>
      <c r="S805" s="19"/>
      <c r="T805" s="19"/>
      <c r="U805" s="19"/>
      <c r="V805" s="19"/>
      <c r="W805" s="20"/>
      <c r="X805" s="43"/>
    </row>
    <row r="806" spans="1:24" ht="15.75" hidden="1" customHeight="1" x14ac:dyDescent="0.25">
      <c r="A806" s="16"/>
      <c r="B806" s="16" t="str">
        <f t="shared" si="3"/>
        <v/>
      </c>
      <c r="C806" s="16"/>
      <c r="D806" s="40"/>
      <c r="E806" s="16"/>
      <c r="F806" s="41"/>
      <c r="G806" s="16"/>
      <c r="H806" s="16"/>
      <c r="I806" s="16"/>
      <c r="J806" s="22"/>
      <c r="K806" s="16"/>
      <c r="L806" s="50"/>
      <c r="M806" s="16"/>
      <c r="N806" s="19"/>
      <c r="O806" s="19"/>
      <c r="P806" s="19"/>
      <c r="Q806" s="19"/>
      <c r="R806" s="19"/>
      <c r="S806" s="19"/>
      <c r="T806" s="19"/>
      <c r="U806" s="19"/>
      <c r="V806" s="19"/>
      <c r="W806" s="20"/>
      <c r="X806" s="43"/>
    </row>
    <row r="807" spans="1:24" ht="15.75" hidden="1" customHeight="1" x14ac:dyDescent="0.25">
      <c r="A807" s="16"/>
      <c r="B807" s="16" t="str">
        <f t="shared" si="3"/>
        <v/>
      </c>
      <c r="C807" s="16"/>
      <c r="D807" s="40"/>
      <c r="E807" s="16"/>
      <c r="F807" s="41"/>
      <c r="G807" s="16"/>
      <c r="H807" s="16"/>
      <c r="I807" s="16"/>
      <c r="J807" s="22"/>
      <c r="K807" s="16"/>
      <c r="L807" s="50"/>
      <c r="M807" s="16"/>
      <c r="N807" s="19"/>
      <c r="O807" s="19"/>
      <c r="P807" s="19"/>
      <c r="Q807" s="19"/>
      <c r="R807" s="19"/>
      <c r="S807" s="19"/>
      <c r="T807" s="19"/>
      <c r="U807" s="19"/>
      <c r="V807" s="19"/>
      <c r="W807" s="20"/>
      <c r="X807" s="43"/>
    </row>
    <row r="808" spans="1:24" ht="15.75" hidden="1" customHeight="1" x14ac:dyDescent="0.25">
      <c r="A808" s="16"/>
      <c r="B808" s="16" t="str">
        <f t="shared" si="3"/>
        <v/>
      </c>
      <c r="C808" s="16"/>
      <c r="D808" s="40"/>
      <c r="E808" s="16"/>
      <c r="F808" s="41"/>
      <c r="G808" s="16"/>
      <c r="H808" s="16"/>
      <c r="I808" s="16"/>
      <c r="J808" s="22"/>
      <c r="K808" s="16"/>
      <c r="L808" s="50"/>
      <c r="M808" s="16"/>
      <c r="N808" s="19"/>
      <c r="O808" s="19"/>
      <c r="P808" s="19"/>
      <c r="Q808" s="19"/>
      <c r="R808" s="19"/>
      <c r="S808" s="19"/>
      <c r="T808" s="19"/>
      <c r="U808" s="19"/>
      <c r="V808" s="19"/>
      <c r="W808" s="20"/>
      <c r="X808" s="43"/>
    </row>
    <row r="809" spans="1:24" ht="15.75" hidden="1" customHeight="1" x14ac:dyDescent="0.25">
      <c r="A809" s="16"/>
      <c r="B809" s="16" t="str">
        <f t="shared" si="3"/>
        <v/>
      </c>
      <c r="C809" s="16"/>
      <c r="D809" s="40"/>
      <c r="E809" s="16"/>
      <c r="F809" s="41"/>
      <c r="G809" s="16"/>
      <c r="H809" s="16"/>
      <c r="I809" s="16"/>
      <c r="J809" s="22"/>
      <c r="K809" s="16"/>
      <c r="L809" s="50"/>
      <c r="M809" s="16"/>
      <c r="N809" s="19"/>
      <c r="O809" s="19"/>
      <c r="P809" s="19"/>
      <c r="Q809" s="19"/>
      <c r="R809" s="19"/>
      <c r="S809" s="19"/>
      <c r="T809" s="19"/>
      <c r="U809" s="19"/>
      <c r="V809" s="19"/>
      <c r="W809" s="20"/>
      <c r="X809" s="43"/>
    </row>
    <row r="810" spans="1:24" ht="15.75" hidden="1" customHeight="1" x14ac:dyDescent="0.25">
      <c r="A810" s="16"/>
      <c r="B810" s="16" t="str">
        <f t="shared" si="3"/>
        <v/>
      </c>
      <c r="C810" s="16"/>
      <c r="D810" s="40"/>
      <c r="E810" s="16"/>
      <c r="F810" s="41"/>
      <c r="G810" s="16"/>
      <c r="H810" s="16"/>
      <c r="I810" s="16"/>
      <c r="J810" s="22"/>
      <c r="K810" s="16"/>
      <c r="L810" s="50"/>
      <c r="M810" s="16"/>
      <c r="N810" s="19"/>
      <c r="O810" s="19"/>
      <c r="P810" s="19"/>
      <c r="Q810" s="19"/>
      <c r="R810" s="19"/>
      <c r="S810" s="19"/>
      <c r="T810" s="19"/>
      <c r="U810" s="19"/>
      <c r="V810" s="19"/>
      <c r="W810" s="20"/>
      <c r="X810" s="43"/>
    </row>
    <row r="811" spans="1:24" ht="15.75" hidden="1" customHeight="1" x14ac:dyDescent="0.25">
      <c r="A811" s="16"/>
      <c r="B811" s="16" t="str">
        <f t="shared" si="3"/>
        <v/>
      </c>
      <c r="C811" s="16"/>
      <c r="D811" s="40"/>
      <c r="E811" s="16"/>
      <c r="F811" s="41"/>
      <c r="G811" s="16"/>
      <c r="H811" s="16"/>
      <c r="I811" s="16"/>
      <c r="J811" s="22"/>
      <c r="K811" s="16"/>
      <c r="L811" s="50"/>
      <c r="M811" s="16"/>
      <c r="N811" s="19"/>
      <c r="O811" s="19"/>
      <c r="P811" s="19"/>
      <c r="Q811" s="19"/>
      <c r="R811" s="19"/>
      <c r="S811" s="19"/>
      <c r="T811" s="19"/>
      <c r="U811" s="19"/>
      <c r="V811" s="19"/>
      <c r="W811" s="20"/>
      <c r="X811" s="43"/>
    </row>
    <row r="812" spans="1:24" ht="15.75" hidden="1" customHeight="1" x14ac:dyDescent="0.25">
      <c r="A812" s="16"/>
      <c r="B812" s="16" t="str">
        <f t="shared" si="3"/>
        <v/>
      </c>
      <c r="C812" s="16"/>
      <c r="D812" s="40"/>
      <c r="E812" s="16"/>
      <c r="F812" s="41"/>
      <c r="G812" s="16"/>
      <c r="H812" s="16"/>
      <c r="I812" s="16"/>
      <c r="J812" s="22"/>
      <c r="K812" s="16"/>
      <c r="L812" s="50"/>
      <c r="M812" s="16"/>
      <c r="N812" s="19"/>
      <c r="O812" s="19"/>
      <c r="P812" s="19"/>
      <c r="Q812" s="19"/>
      <c r="R812" s="19"/>
      <c r="S812" s="19"/>
      <c r="T812" s="19"/>
      <c r="U812" s="19"/>
      <c r="V812" s="19"/>
      <c r="W812" s="20"/>
      <c r="X812" s="43"/>
    </row>
    <row r="813" spans="1:24" ht="15.75" hidden="1" customHeight="1" x14ac:dyDescent="0.25">
      <c r="A813" s="16"/>
      <c r="B813" s="16" t="str">
        <f t="shared" si="3"/>
        <v/>
      </c>
      <c r="C813" s="16"/>
      <c r="D813" s="40"/>
      <c r="E813" s="16"/>
      <c r="F813" s="41"/>
      <c r="G813" s="16"/>
      <c r="H813" s="16"/>
      <c r="I813" s="16"/>
      <c r="J813" s="22"/>
      <c r="K813" s="16"/>
      <c r="L813" s="50"/>
      <c r="M813" s="16"/>
      <c r="N813" s="19"/>
      <c r="O813" s="19"/>
      <c r="P813" s="19"/>
      <c r="Q813" s="19"/>
      <c r="R813" s="19"/>
      <c r="S813" s="19"/>
      <c r="T813" s="19"/>
      <c r="U813" s="19"/>
      <c r="V813" s="19"/>
      <c r="W813" s="20"/>
      <c r="X813" s="43"/>
    </row>
    <row r="814" spans="1:24" ht="15.75" hidden="1" customHeight="1" x14ac:dyDescent="0.25">
      <c r="A814" s="16"/>
      <c r="B814" s="16" t="str">
        <f t="shared" si="3"/>
        <v/>
      </c>
      <c r="C814" s="16"/>
      <c r="D814" s="40"/>
      <c r="E814" s="16"/>
      <c r="F814" s="41"/>
      <c r="G814" s="16"/>
      <c r="H814" s="16"/>
      <c r="I814" s="16"/>
      <c r="J814" s="22"/>
      <c r="K814" s="16"/>
      <c r="L814" s="50"/>
      <c r="M814" s="16"/>
      <c r="N814" s="19"/>
      <c r="O814" s="19"/>
      <c r="P814" s="19"/>
      <c r="Q814" s="19"/>
      <c r="R814" s="19"/>
      <c r="S814" s="19"/>
      <c r="T814" s="19"/>
      <c r="U814" s="19"/>
      <c r="V814" s="19"/>
      <c r="W814" s="20"/>
      <c r="X814" s="43"/>
    </row>
    <row r="815" spans="1:24" ht="15.75" hidden="1" customHeight="1" x14ac:dyDescent="0.25">
      <c r="A815" s="16"/>
      <c r="B815" s="16" t="str">
        <f t="shared" ref="B815:B1069" si="4">MID(X815,17,30)</f>
        <v/>
      </c>
      <c r="C815" s="16"/>
      <c r="D815" s="40"/>
      <c r="E815" s="16"/>
      <c r="F815" s="41"/>
      <c r="G815" s="16"/>
      <c r="H815" s="16"/>
      <c r="I815" s="16"/>
      <c r="J815" s="22"/>
      <c r="K815" s="16"/>
      <c r="L815" s="50"/>
      <c r="M815" s="16"/>
      <c r="N815" s="19"/>
      <c r="O815" s="19"/>
      <c r="P815" s="19"/>
      <c r="Q815" s="19"/>
      <c r="R815" s="19"/>
      <c r="S815" s="19"/>
      <c r="T815" s="19"/>
      <c r="U815" s="19"/>
      <c r="V815" s="19"/>
      <c r="W815" s="20"/>
      <c r="X815" s="43"/>
    </row>
    <row r="816" spans="1:24" ht="15.75" hidden="1" customHeight="1" x14ac:dyDescent="0.25">
      <c r="A816" s="16"/>
      <c r="B816" s="16" t="str">
        <f t="shared" si="4"/>
        <v/>
      </c>
      <c r="C816" s="16"/>
      <c r="D816" s="40"/>
      <c r="E816" s="16"/>
      <c r="F816" s="41"/>
      <c r="G816" s="16"/>
      <c r="H816" s="16"/>
      <c r="I816" s="16"/>
      <c r="J816" s="22"/>
      <c r="K816" s="16"/>
      <c r="L816" s="50"/>
      <c r="M816" s="16"/>
      <c r="N816" s="19"/>
      <c r="O816" s="19"/>
      <c r="P816" s="19"/>
      <c r="Q816" s="19"/>
      <c r="R816" s="19"/>
      <c r="S816" s="19"/>
      <c r="T816" s="19"/>
      <c r="U816" s="19"/>
      <c r="V816" s="19"/>
      <c r="W816" s="20"/>
      <c r="X816" s="43"/>
    </row>
    <row r="817" spans="1:24" ht="15.75" hidden="1" customHeight="1" x14ac:dyDescent="0.25">
      <c r="A817" s="16"/>
      <c r="B817" s="16" t="str">
        <f t="shared" si="4"/>
        <v/>
      </c>
      <c r="C817" s="16"/>
      <c r="D817" s="40"/>
      <c r="E817" s="16"/>
      <c r="F817" s="41"/>
      <c r="G817" s="16"/>
      <c r="H817" s="16"/>
      <c r="I817" s="16"/>
      <c r="J817" s="22"/>
      <c r="K817" s="16"/>
      <c r="L817" s="50"/>
      <c r="M817" s="16"/>
      <c r="N817" s="19"/>
      <c r="O817" s="19"/>
      <c r="P817" s="19"/>
      <c r="Q817" s="19"/>
      <c r="R817" s="19"/>
      <c r="S817" s="19"/>
      <c r="T817" s="19"/>
      <c r="U817" s="19"/>
      <c r="V817" s="19"/>
      <c r="W817" s="20"/>
      <c r="X817" s="43"/>
    </row>
    <row r="818" spans="1:24" ht="15.75" hidden="1" customHeight="1" x14ac:dyDescent="0.25">
      <c r="A818" s="16"/>
      <c r="B818" s="16" t="str">
        <f t="shared" si="4"/>
        <v/>
      </c>
      <c r="C818" s="16"/>
      <c r="D818" s="40"/>
      <c r="E818" s="16"/>
      <c r="F818" s="41"/>
      <c r="G818" s="16"/>
      <c r="H818" s="16"/>
      <c r="I818" s="16"/>
      <c r="J818" s="22"/>
      <c r="K818" s="16"/>
      <c r="L818" s="50"/>
      <c r="M818" s="16"/>
      <c r="N818" s="19"/>
      <c r="O818" s="19"/>
      <c r="P818" s="19"/>
      <c r="Q818" s="19"/>
      <c r="R818" s="19"/>
      <c r="S818" s="19"/>
      <c r="T818" s="19"/>
      <c r="U818" s="19"/>
      <c r="V818" s="19"/>
      <c r="W818" s="20"/>
      <c r="X818" s="43"/>
    </row>
    <row r="819" spans="1:24" ht="15.75" hidden="1" customHeight="1" x14ac:dyDescent="0.25">
      <c r="A819" s="16"/>
      <c r="B819" s="16" t="str">
        <f t="shared" si="4"/>
        <v/>
      </c>
      <c r="C819" s="16"/>
      <c r="D819" s="40"/>
      <c r="E819" s="16"/>
      <c r="F819" s="41"/>
      <c r="G819" s="16"/>
      <c r="H819" s="16"/>
      <c r="I819" s="16"/>
      <c r="J819" s="22"/>
      <c r="K819" s="16"/>
      <c r="L819" s="50"/>
      <c r="M819" s="16"/>
      <c r="N819" s="19"/>
      <c r="O819" s="19"/>
      <c r="P819" s="19"/>
      <c r="Q819" s="19"/>
      <c r="R819" s="19"/>
      <c r="S819" s="19"/>
      <c r="T819" s="19"/>
      <c r="U819" s="19"/>
      <c r="V819" s="19"/>
      <c r="W819" s="20"/>
      <c r="X819" s="43"/>
    </row>
    <row r="820" spans="1:24" ht="15.75" hidden="1" customHeight="1" x14ac:dyDescent="0.25">
      <c r="A820" s="16"/>
      <c r="B820" s="16" t="str">
        <f t="shared" si="4"/>
        <v/>
      </c>
      <c r="C820" s="16"/>
      <c r="D820" s="40"/>
      <c r="E820" s="16"/>
      <c r="F820" s="41"/>
      <c r="G820" s="16"/>
      <c r="H820" s="16"/>
      <c r="I820" s="16"/>
      <c r="J820" s="22"/>
      <c r="K820" s="16"/>
      <c r="L820" s="50"/>
      <c r="M820" s="16"/>
      <c r="N820" s="19"/>
      <c r="O820" s="19"/>
      <c r="P820" s="19"/>
      <c r="Q820" s="19"/>
      <c r="R820" s="19"/>
      <c r="S820" s="19"/>
      <c r="T820" s="19"/>
      <c r="U820" s="19"/>
      <c r="V820" s="19"/>
      <c r="W820" s="20"/>
      <c r="X820" s="43"/>
    </row>
    <row r="821" spans="1:24" ht="15.75" hidden="1" customHeight="1" x14ac:dyDescent="0.25">
      <c r="A821" s="16"/>
      <c r="B821" s="16" t="str">
        <f t="shared" si="4"/>
        <v/>
      </c>
      <c r="C821" s="16"/>
      <c r="D821" s="40"/>
      <c r="E821" s="16"/>
      <c r="F821" s="41"/>
      <c r="G821" s="16"/>
      <c r="H821" s="16"/>
      <c r="I821" s="16"/>
      <c r="J821" s="22"/>
      <c r="K821" s="16"/>
      <c r="L821" s="50"/>
      <c r="M821" s="16"/>
      <c r="N821" s="19"/>
      <c r="O821" s="19"/>
      <c r="P821" s="19"/>
      <c r="Q821" s="19"/>
      <c r="R821" s="19"/>
      <c r="S821" s="19"/>
      <c r="T821" s="19"/>
      <c r="U821" s="19"/>
      <c r="V821" s="19"/>
      <c r="W821" s="20"/>
      <c r="X821" s="43"/>
    </row>
    <row r="822" spans="1:24" ht="15.75" hidden="1" customHeight="1" x14ac:dyDescent="0.25">
      <c r="A822" s="16"/>
      <c r="B822" s="16" t="str">
        <f t="shared" si="4"/>
        <v/>
      </c>
      <c r="C822" s="16"/>
      <c r="D822" s="40"/>
      <c r="E822" s="16"/>
      <c r="F822" s="41"/>
      <c r="G822" s="16"/>
      <c r="H822" s="16"/>
      <c r="I822" s="16"/>
      <c r="J822" s="22"/>
      <c r="K822" s="16"/>
      <c r="L822" s="50"/>
      <c r="M822" s="16"/>
      <c r="N822" s="19"/>
      <c r="O822" s="19"/>
      <c r="P822" s="19"/>
      <c r="Q822" s="19"/>
      <c r="R822" s="19"/>
      <c r="S822" s="19"/>
      <c r="T822" s="19"/>
      <c r="U822" s="19"/>
      <c r="V822" s="19"/>
      <c r="W822" s="20"/>
      <c r="X822" s="43"/>
    </row>
    <row r="823" spans="1:24" ht="15.75" hidden="1" customHeight="1" x14ac:dyDescent="0.25">
      <c r="A823" s="16"/>
      <c r="B823" s="16" t="str">
        <f t="shared" si="4"/>
        <v/>
      </c>
      <c r="C823" s="16"/>
      <c r="D823" s="40"/>
      <c r="E823" s="16"/>
      <c r="F823" s="41"/>
      <c r="G823" s="16"/>
      <c r="H823" s="16"/>
      <c r="I823" s="16"/>
      <c r="J823" s="22"/>
      <c r="K823" s="16"/>
      <c r="L823" s="50"/>
      <c r="M823" s="16"/>
      <c r="N823" s="19"/>
      <c r="O823" s="19"/>
      <c r="P823" s="19"/>
      <c r="Q823" s="19"/>
      <c r="R823" s="19"/>
      <c r="S823" s="19"/>
      <c r="T823" s="19"/>
      <c r="U823" s="19"/>
      <c r="V823" s="19"/>
      <c r="W823" s="20"/>
      <c r="X823" s="43"/>
    </row>
    <row r="824" spans="1:24" ht="15.75" hidden="1" customHeight="1" x14ac:dyDescent="0.25">
      <c r="A824" s="16"/>
      <c r="B824" s="16" t="str">
        <f t="shared" si="4"/>
        <v/>
      </c>
      <c r="C824" s="16"/>
      <c r="D824" s="40"/>
      <c r="E824" s="16"/>
      <c r="F824" s="41"/>
      <c r="G824" s="16"/>
      <c r="H824" s="16"/>
      <c r="I824" s="16"/>
      <c r="J824" s="22"/>
      <c r="K824" s="16"/>
      <c r="L824" s="50"/>
      <c r="M824" s="16"/>
      <c r="N824" s="19"/>
      <c r="O824" s="19"/>
      <c r="P824" s="19"/>
      <c r="Q824" s="19"/>
      <c r="R824" s="19"/>
      <c r="S824" s="19"/>
      <c r="T824" s="19"/>
      <c r="U824" s="19"/>
      <c r="V824" s="19"/>
      <c r="W824" s="20"/>
      <c r="X824" s="43"/>
    </row>
    <row r="825" spans="1:24" ht="15.75" hidden="1" customHeight="1" x14ac:dyDescent="0.25">
      <c r="A825" s="16"/>
      <c r="B825" s="16" t="str">
        <f t="shared" si="4"/>
        <v/>
      </c>
      <c r="C825" s="16"/>
      <c r="D825" s="40"/>
      <c r="E825" s="16"/>
      <c r="F825" s="41"/>
      <c r="G825" s="16"/>
      <c r="H825" s="16"/>
      <c r="I825" s="16"/>
      <c r="J825" s="22"/>
      <c r="K825" s="16"/>
      <c r="L825" s="50"/>
      <c r="M825" s="16"/>
      <c r="N825" s="19"/>
      <c r="O825" s="19"/>
      <c r="P825" s="19"/>
      <c r="Q825" s="19"/>
      <c r="R825" s="19"/>
      <c r="S825" s="19"/>
      <c r="T825" s="19"/>
      <c r="U825" s="19"/>
      <c r="V825" s="19"/>
      <c r="W825" s="20"/>
      <c r="X825" s="43"/>
    </row>
    <row r="826" spans="1:24" ht="15.75" hidden="1" customHeight="1" x14ac:dyDescent="0.25">
      <c r="A826" s="16"/>
      <c r="B826" s="16" t="str">
        <f t="shared" si="4"/>
        <v/>
      </c>
      <c r="C826" s="16"/>
      <c r="D826" s="40"/>
      <c r="E826" s="16"/>
      <c r="F826" s="41"/>
      <c r="G826" s="16"/>
      <c r="H826" s="16"/>
      <c r="I826" s="16"/>
      <c r="J826" s="22"/>
      <c r="K826" s="16"/>
      <c r="L826" s="50"/>
      <c r="M826" s="16"/>
      <c r="N826" s="19"/>
      <c r="O826" s="19"/>
      <c r="P826" s="19"/>
      <c r="Q826" s="19"/>
      <c r="R826" s="19"/>
      <c r="S826" s="19"/>
      <c r="T826" s="19"/>
      <c r="U826" s="19"/>
      <c r="V826" s="19"/>
      <c r="W826" s="20"/>
      <c r="X826" s="43"/>
    </row>
    <row r="827" spans="1:24" ht="15.75" hidden="1" customHeight="1" x14ac:dyDescent="0.25">
      <c r="A827" s="16"/>
      <c r="B827" s="16" t="str">
        <f t="shared" si="4"/>
        <v/>
      </c>
      <c r="C827" s="16"/>
      <c r="D827" s="40"/>
      <c r="E827" s="16"/>
      <c r="F827" s="41"/>
      <c r="G827" s="16"/>
      <c r="H827" s="16"/>
      <c r="I827" s="16"/>
      <c r="J827" s="22"/>
      <c r="K827" s="16"/>
      <c r="L827" s="50"/>
      <c r="M827" s="16"/>
      <c r="N827" s="19"/>
      <c r="O827" s="19"/>
      <c r="P827" s="19"/>
      <c r="Q827" s="19"/>
      <c r="R827" s="19"/>
      <c r="S827" s="19"/>
      <c r="T827" s="19"/>
      <c r="U827" s="19"/>
      <c r="V827" s="19"/>
      <c r="W827" s="20"/>
      <c r="X827" s="43"/>
    </row>
    <row r="828" spans="1:24" ht="15.75" hidden="1" customHeight="1" x14ac:dyDescent="0.25">
      <c r="A828" s="16"/>
      <c r="B828" s="16" t="str">
        <f t="shared" si="4"/>
        <v/>
      </c>
      <c r="C828" s="16"/>
      <c r="D828" s="40"/>
      <c r="E828" s="16"/>
      <c r="F828" s="41"/>
      <c r="G828" s="16"/>
      <c r="H828" s="16"/>
      <c r="I828" s="16"/>
      <c r="J828" s="22"/>
      <c r="K828" s="16"/>
      <c r="L828" s="50"/>
      <c r="M828" s="16"/>
      <c r="N828" s="19"/>
      <c r="O828" s="19"/>
      <c r="P828" s="19"/>
      <c r="Q828" s="19"/>
      <c r="R828" s="19"/>
      <c r="S828" s="19"/>
      <c r="T828" s="19"/>
      <c r="U828" s="19"/>
      <c r="V828" s="19"/>
      <c r="W828" s="20"/>
      <c r="X828" s="43"/>
    </row>
    <row r="829" spans="1:24" ht="15.75" hidden="1" customHeight="1" x14ac:dyDescent="0.25">
      <c r="A829" s="16"/>
      <c r="B829" s="16" t="str">
        <f t="shared" si="4"/>
        <v/>
      </c>
      <c r="C829" s="16"/>
      <c r="D829" s="40"/>
      <c r="E829" s="16"/>
      <c r="F829" s="41"/>
      <c r="G829" s="16"/>
      <c r="H829" s="16"/>
      <c r="I829" s="16"/>
      <c r="J829" s="22"/>
      <c r="K829" s="16"/>
      <c r="L829" s="50"/>
      <c r="M829" s="16"/>
      <c r="N829" s="19"/>
      <c r="O829" s="19"/>
      <c r="P829" s="19"/>
      <c r="Q829" s="19"/>
      <c r="R829" s="19"/>
      <c r="S829" s="19"/>
      <c r="T829" s="19"/>
      <c r="U829" s="19"/>
      <c r="V829" s="19"/>
      <c r="W829" s="20"/>
      <c r="X829" s="43"/>
    </row>
    <row r="830" spans="1:24" ht="15.75" hidden="1" customHeight="1" x14ac:dyDescent="0.25">
      <c r="A830" s="16"/>
      <c r="B830" s="16" t="str">
        <f t="shared" si="4"/>
        <v/>
      </c>
      <c r="C830" s="16"/>
      <c r="D830" s="40"/>
      <c r="E830" s="16"/>
      <c r="F830" s="41"/>
      <c r="G830" s="16"/>
      <c r="H830" s="16"/>
      <c r="I830" s="16"/>
      <c r="J830" s="22"/>
      <c r="K830" s="16"/>
      <c r="L830" s="50"/>
      <c r="M830" s="16"/>
      <c r="N830" s="19"/>
      <c r="O830" s="19"/>
      <c r="P830" s="19"/>
      <c r="Q830" s="19"/>
      <c r="R830" s="19"/>
      <c r="S830" s="19"/>
      <c r="T830" s="19"/>
      <c r="U830" s="19"/>
      <c r="V830" s="19"/>
      <c r="W830" s="20"/>
      <c r="X830" s="43"/>
    </row>
    <row r="831" spans="1:24" ht="15.75" hidden="1" customHeight="1" x14ac:dyDescent="0.25">
      <c r="A831" s="16"/>
      <c r="B831" s="16" t="str">
        <f t="shared" si="4"/>
        <v/>
      </c>
      <c r="C831" s="16"/>
      <c r="D831" s="40"/>
      <c r="E831" s="16"/>
      <c r="F831" s="41"/>
      <c r="G831" s="16"/>
      <c r="H831" s="16"/>
      <c r="I831" s="16"/>
      <c r="J831" s="22"/>
      <c r="K831" s="16"/>
      <c r="L831" s="50"/>
      <c r="M831" s="16"/>
      <c r="N831" s="19"/>
      <c r="O831" s="19"/>
      <c r="P831" s="19"/>
      <c r="Q831" s="19"/>
      <c r="R831" s="19"/>
      <c r="S831" s="19"/>
      <c r="T831" s="19"/>
      <c r="U831" s="19"/>
      <c r="V831" s="19"/>
      <c r="W831" s="20"/>
      <c r="X831" s="43"/>
    </row>
    <row r="832" spans="1:24" ht="15.75" hidden="1" customHeight="1" x14ac:dyDescent="0.25">
      <c r="A832" s="16"/>
      <c r="B832" s="16" t="str">
        <f t="shared" si="4"/>
        <v/>
      </c>
      <c r="C832" s="16"/>
      <c r="D832" s="40"/>
      <c r="E832" s="16"/>
      <c r="F832" s="41"/>
      <c r="G832" s="16"/>
      <c r="H832" s="16"/>
      <c r="I832" s="16"/>
      <c r="J832" s="22"/>
      <c r="K832" s="16"/>
      <c r="L832" s="50"/>
      <c r="M832" s="16"/>
      <c r="N832" s="19"/>
      <c r="O832" s="19"/>
      <c r="P832" s="19"/>
      <c r="Q832" s="19"/>
      <c r="R832" s="19"/>
      <c r="S832" s="19"/>
      <c r="T832" s="19"/>
      <c r="U832" s="19"/>
      <c r="V832" s="19"/>
      <c r="W832" s="20"/>
      <c r="X832" s="43"/>
    </row>
    <row r="833" spans="1:24" ht="15.75" hidden="1" customHeight="1" x14ac:dyDescent="0.25">
      <c r="A833" s="16"/>
      <c r="B833" s="16" t="str">
        <f t="shared" si="4"/>
        <v/>
      </c>
      <c r="C833" s="16"/>
      <c r="D833" s="40"/>
      <c r="E833" s="16"/>
      <c r="F833" s="41"/>
      <c r="G833" s="16"/>
      <c r="H833" s="16"/>
      <c r="I833" s="16"/>
      <c r="J833" s="22"/>
      <c r="K833" s="16"/>
      <c r="L833" s="50"/>
      <c r="M833" s="16"/>
      <c r="N833" s="19"/>
      <c r="O833" s="19"/>
      <c r="P833" s="19"/>
      <c r="Q833" s="19"/>
      <c r="R833" s="19"/>
      <c r="S833" s="19"/>
      <c r="T833" s="19"/>
      <c r="U833" s="19"/>
      <c r="V833" s="19"/>
      <c r="W833" s="20"/>
      <c r="X833" s="43"/>
    </row>
    <row r="834" spans="1:24" ht="15.75" hidden="1" customHeight="1" x14ac:dyDescent="0.25">
      <c r="A834" s="16"/>
      <c r="B834" s="16" t="str">
        <f t="shared" si="4"/>
        <v/>
      </c>
      <c r="C834" s="16"/>
      <c r="D834" s="40"/>
      <c r="E834" s="16"/>
      <c r="F834" s="41"/>
      <c r="G834" s="16"/>
      <c r="H834" s="16"/>
      <c r="I834" s="16"/>
      <c r="J834" s="22"/>
      <c r="K834" s="16"/>
      <c r="L834" s="50"/>
      <c r="M834" s="16"/>
      <c r="N834" s="19"/>
      <c r="O834" s="19"/>
      <c r="P834" s="19"/>
      <c r="Q834" s="19"/>
      <c r="R834" s="19"/>
      <c r="S834" s="19"/>
      <c r="T834" s="19"/>
      <c r="U834" s="19"/>
      <c r="V834" s="19"/>
      <c r="W834" s="20"/>
      <c r="X834" s="43"/>
    </row>
    <row r="835" spans="1:24" ht="15.75" hidden="1" customHeight="1" x14ac:dyDescent="0.25">
      <c r="A835" s="16"/>
      <c r="B835" s="16" t="str">
        <f t="shared" si="4"/>
        <v/>
      </c>
      <c r="C835" s="16"/>
      <c r="D835" s="40"/>
      <c r="E835" s="16"/>
      <c r="F835" s="41"/>
      <c r="G835" s="16"/>
      <c r="H835" s="16"/>
      <c r="I835" s="16"/>
      <c r="J835" s="22"/>
      <c r="K835" s="16"/>
      <c r="L835" s="50"/>
      <c r="M835" s="16"/>
      <c r="N835" s="19"/>
      <c r="O835" s="19"/>
      <c r="P835" s="19"/>
      <c r="Q835" s="19"/>
      <c r="R835" s="19"/>
      <c r="S835" s="19"/>
      <c r="T835" s="19"/>
      <c r="U835" s="19"/>
      <c r="V835" s="19"/>
      <c r="W835" s="20"/>
      <c r="X835" s="43"/>
    </row>
    <row r="836" spans="1:24" ht="15.75" hidden="1" customHeight="1" x14ac:dyDescent="0.25">
      <c r="A836" s="16"/>
      <c r="B836" s="16" t="str">
        <f t="shared" si="4"/>
        <v/>
      </c>
      <c r="C836" s="16"/>
      <c r="D836" s="40"/>
      <c r="E836" s="16"/>
      <c r="F836" s="41"/>
      <c r="G836" s="16"/>
      <c r="H836" s="16"/>
      <c r="I836" s="16"/>
      <c r="J836" s="22"/>
      <c r="K836" s="16"/>
      <c r="L836" s="50"/>
      <c r="M836" s="16"/>
      <c r="N836" s="19"/>
      <c r="O836" s="19"/>
      <c r="P836" s="19"/>
      <c r="Q836" s="19"/>
      <c r="R836" s="19"/>
      <c r="S836" s="19"/>
      <c r="T836" s="19"/>
      <c r="U836" s="19"/>
      <c r="V836" s="19"/>
      <c r="W836" s="20"/>
      <c r="X836" s="43"/>
    </row>
    <row r="837" spans="1:24" ht="15.75" hidden="1" customHeight="1" x14ac:dyDescent="0.25">
      <c r="A837" s="16"/>
      <c r="B837" s="16" t="str">
        <f t="shared" si="4"/>
        <v/>
      </c>
      <c r="C837" s="16"/>
      <c r="D837" s="40"/>
      <c r="E837" s="16"/>
      <c r="F837" s="41"/>
      <c r="G837" s="16"/>
      <c r="H837" s="16"/>
      <c r="I837" s="16"/>
      <c r="J837" s="22"/>
      <c r="K837" s="16"/>
      <c r="L837" s="50"/>
      <c r="M837" s="16"/>
      <c r="N837" s="19"/>
      <c r="O837" s="19"/>
      <c r="P837" s="19"/>
      <c r="Q837" s="19"/>
      <c r="R837" s="19"/>
      <c r="S837" s="19"/>
      <c r="T837" s="19"/>
      <c r="U837" s="19"/>
      <c r="V837" s="19"/>
      <c r="W837" s="20"/>
      <c r="X837" s="43"/>
    </row>
    <row r="838" spans="1:24" ht="15.75" hidden="1" customHeight="1" x14ac:dyDescent="0.25">
      <c r="A838" s="16"/>
      <c r="B838" s="16" t="str">
        <f t="shared" si="4"/>
        <v/>
      </c>
      <c r="C838" s="16"/>
      <c r="D838" s="40"/>
      <c r="E838" s="16"/>
      <c r="F838" s="41"/>
      <c r="G838" s="16"/>
      <c r="H838" s="16"/>
      <c r="I838" s="16"/>
      <c r="J838" s="22"/>
      <c r="K838" s="16"/>
      <c r="L838" s="50"/>
      <c r="M838" s="16"/>
      <c r="N838" s="19"/>
      <c r="O838" s="19"/>
      <c r="P838" s="19"/>
      <c r="Q838" s="19"/>
      <c r="R838" s="19"/>
      <c r="S838" s="19"/>
      <c r="T838" s="19"/>
      <c r="U838" s="19"/>
      <c r="V838" s="19"/>
      <c r="W838" s="20"/>
      <c r="X838" s="43"/>
    </row>
    <row r="839" spans="1:24" ht="15.75" hidden="1" customHeight="1" x14ac:dyDescent="0.25">
      <c r="A839" s="16"/>
      <c r="B839" s="16" t="str">
        <f t="shared" si="4"/>
        <v/>
      </c>
      <c r="C839" s="16"/>
      <c r="D839" s="40"/>
      <c r="E839" s="16"/>
      <c r="F839" s="41"/>
      <c r="G839" s="16"/>
      <c r="H839" s="16"/>
      <c r="I839" s="16"/>
      <c r="J839" s="22"/>
      <c r="K839" s="16"/>
      <c r="L839" s="50"/>
      <c r="M839" s="16"/>
      <c r="N839" s="19"/>
      <c r="O839" s="19"/>
      <c r="P839" s="19"/>
      <c r="Q839" s="19"/>
      <c r="R839" s="19"/>
      <c r="S839" s="19"/>
      <c r="T839" s="19"/>
      <c r="U839" s="19"/>
      <c r="V839" s="19"/>
      <c r="W839" s="20"/>
      <c r="X839" s="43"/>
    </row>
    <row r="840" spans="1:24" ht="15.75" hidden="1" customHeight="1" x14ac:dyDescent="0.25">
      <c r="A840" s="16"/>
      <c r="B840" s="16" t="str">
        <f t="shared" si="4"/>
        <v/>
      </c>
      <c r="C840" s="16"/>
      <c r="D840" s="40"/>
      <c r="E840" s="16"/>
      <c r="F840" s="41"/>
      <c r="G840" s="16"/>
      <c r="H840" s="16"/>
      <c r="I840" s="16"/>
      <c r="J840" s="22"/>
      <c r="K840" s="16"/>
      <c r="L840" s="50"/>
      <c r="M840" s="16"/>
      <c r="N840" s="19"/>
      <c r="O840" s="19"/>
      <c r="P840" s="19"/>
      <c r="Q840" s="19"/>
      <c r="R840" s="19"/>
      <c r="S840" s="19"/>
      <c r="T840" s="19"/>
      <c r="U840" s="19"/>
      <c r="V840" s="19"/>
      <c r="W840" s="20"/>
      <c r="X840" s="43"/>
    </row>
    <row r="841" spans="1:24" ht="15.75" hidden="1" customHeight="1" x14ac:dyDescent="0.25">
      <c r="A841" s="16"/>
      <c r="B841" s="16" t="str">
        <f t="shared" si="4"/>
        <v/>
      </c>
      <c r="C841" s="16"/>
      <c r="D841" s="40"/>
      <c r="E841" s="16"/>
      <c r="F841" s="41"/>
      <c r="G841" s="16"/>
      <c r="H841" s="16"/>
      <c r="I841" s="16"/>
      <c r="J841" s="22"/>
      <c r="K841" s="16"/>
      <c r="L841" s="50"/>
      <c r="M841" s="16"/>
      <c r="N841" s="19"/>
      <c r="O841" s="19"/>
      <c r="P841" s="19"/>
      <c r="Q841" s="19"/>
      <c r="R841" s="19"/>
      <c r="S841" s="19"/>
      <c r="T841" s="19"/>
      <c r="U841" s="19"/>
      <c r="V841" s="19"/>
      <c r="W841" s="20"/>
      <c r="X841" s="43"/>
    </row>
    <row r="842" spans="1:24" ht="15.75" hidden="1" customHeight="1" x14ac:dyDescent="0.25">
      <c r="A842" s="16"/>
      <c r="B842" s="16" t="str">
        <f t="shared" si="4"/>
        <v/>
      </c>
      <c r="C842" s="16"/>
      <c r="D842" s="40"/>
      <c r="E842" s="16"/>
      <c r="F842" s="41"/>
      <c r="G842" s="16"/>
      <c r="H842" s="16"/>
      <c r="I842" s="16"/>
      <c r="J842" s="22"/>
      <c r="K842" s="16"/>
      <c r="L842" s="50"/>
      <c r="M842" s="16"/>
      <c r="N842" s="19"/>
      <c r="O842" s="19"/>
      <c r="P842" s="19"/>
      <c r="Q842" s="19"/>
      <c r="R842" s="19"/>
      <c r="S842" s="19"/>
      <c r="T842" s="19"/>
      <c r="U842" s="19"/>
      <c r="V842" s="19"/>
      <c r="W842" s="20"/>
      <c r="X842" s="43"/>
    </row>
    <row r="843" spans="1:24" ht="15.75" hidden="1" customHeight="1" x14ac:dyDescent="0.25">
      <c r="A843" s="16"/>
      <c r="B843" s="16" t="str">
        <f t="shared" si="4"/>
        <v/>
      </c>
      <c r="C843" s="16"/>
      <c r="D843" s="40"/>
      <c r="E843" s="16"/>
      <c r="F843" s="41"/>
      <c r="G843" s="16"/>
      <c r="H843" s="16"/>
      <c r="I843" s="16"/>
      <c r="J843" s="22"/>
      <c r="K843" s="16"/>
      <c r="L843" s="50"/>
      <c r="M843" s="16"/>
      <c r="N843" s="19"/>
      <c r="O843" s="19"/>
      <c r="P843" s="19"/>
      <c r="Q843" s="19"/>
      <c r="R843" s="19"/>
      <c r="S843" s="19"/>
      <c r="T843" s="19"/>
      <c r="U843" s="19"/>
      <c r="V843" s="19"/>
      <c r="W843" s="20"/>
      <c r="X843" s="43"/>
    </row>
    <row r="844" spans="1:24" ht="15.75" hidden="1" customHeight="1" x14ac:dyDescent="0.25">
      <c r="A844" s="16"/>
      <c r="B844" s="16" t="str">
        <f t="shared" si="4"/>
        <v/>
      </c>
      <c r="C844" s="16"/>
      <c r="D844" s="40"/>
      <c r="E844" s="16"/>
      <c r="F844" s="41"/>
      <c r="G844" s="16"/>
      <c r="H844" s="16"/>
      <c r="I844" s="16"/>
      <c r="J844" s="22"/>
      <c r="K844" s="16"/>
      <c r="L844" s="50"/>
      <c r="M844" s="16"/>
      <c r="N844" s="19"/>
      <c r="O844" s="19"/>
      <c r="P844" s="19"/>
      <c r="Q844" s="19"/>
      <c r="R844" s="19"/>
      <c r="S844" s="19"/>
      <c r="T844" s="19"/>
      <c r="U844" s="19"/>
      <c r="V844" s="19"/>
      <c r="W844" s="20"/>
      <c r="X844" s="43"/>
    </row>
    <row r="845" spans="1:24" ht="15.75" hidden="1" customHeight="1" x14ac:dyDescent="0.25">
      <c r="A845" s="16"/>
      <c r="B845" s="16" t="str">
        <f t="shared" si="4"/>
        <v/>
      </c>
      <c r="C845" s="16"/>
      <c r="D845" s="40"/>
      <c r="E845" s="16"/>
      <c r="F845" s="41"/>
      <c r="G845" s="16"/>
      <c r="H845" s="16"/>
      <c r="I845" s="16"/>
      <c r="J845" s="22"/>
      <c r="K845" s="16"/>
      <c r="L845" s="50"/>
      <c r="M845" s="16"/>
      <c r="N845" s="19"/>
      <c r="O845" s="19"/>
      <c r="P845" s="19"/>
      <c r="Q845" s="19"/>
      <c r="R845" s="19"/>
      <c r="S845" s="19"/>
      <c r="T845" s="19"/>
      <c r="U845" s="19"/>
      <c r="V845" s="19"/>
      <c r="W845" s="20"/>
      <c r="X845" s="43"/>
    </row>
    <row r="846" spans="1:24" ht="15.75" hidden="1" customHeight="1" x14ac:dyDescent="0.25">
      <c r="A846" s="16"/>
      <c r="B846" s="16" t="str">
        <f t="shared" si="4"/>
        <v/>
      </c>
      <c r="C846" s="16"/>
      <c r="D846" s="40"/>
      <c r="E846" s="16"/>
      <c r="F846" s="41"/>
      <c r="G846" s="16"/>
      <c r="H846" s="16"/>
      <c r="I846" s="16"/>
      <c r="J846" s="22"/>
      <c r="K846" s="16"/>
      <c r="L846" s="50"/>
      <c r="M846" s="16"/>
      <c r="N846" s="19"/>
      <c r="O846" s="19"/>
      <c r="P846" s="19"/>
      <c r="Q846" s="19"/>
      <c r="R846" s="19"/>
      <c r="S846" s="19"/>
      <c r="T846" s="19"/>
      <c r="U846" s="19"/>
      <c r="V846" s="19"/>
      <c r="W846" s="20"/>
      <c r="X846" s="43"/>
    </row>
    <row r="847" spans="1:24" ht="15.75" hidden="1" customHeight="1" x14ac:dyDescent="0.25">
      <c r="A847" s="16"/>
      <c r="B847" s="16" t="str">
        <f t="shared" si="4"/>
        <v/>
      </c>
      <c r="C847" s="16"/>
      <c r="D847" s="40"/>
      <c r="E847" s="16"/>
      <c r="F847" s="41"/>
      <c r="G847" s="16"/>
      <c r="H847" s="16"/>
      <c r="I847" s="16"/>
      <c r="J847" s="22"/>
      <c r="K847" s="16"/>
      <c r="L847" s="50"/>
      <c r="M847" s="16"/>
      <c r="N847" s="19"/>
      <c r="O847" s="19"/>
      <c r="P847" s="19"/>
      <c r="Q847" s="19"/>
      <c r="R847" s="19"/>
      <c r="S847" s="19"/>
      <c r="T847" s="19"/>
      <c r="U847" s="19"/>
      <c r="V847" s="19"/>
      <c r="W847" s="20"/>
      <c r="X847" s="43"/>
    </row>
    <row r="848" spans="1:24" ht="15.75" hidden="1" customHeight="1" x14ac:dyDescent="0.25">
      <c r="A848" s="16"/>
      <c r="B848" s="16" t="str">
        <f t="shared" si="4"/>
        <v/>
      </c>
      <c r="C848" s="16"/>
      <c r="D848" s="40"/>
      <c r="E848" s="16"/>
      <c r="F848" s="41"/>
      <c r="G848" s="16"/>
      <c r="H848" s="16"/>
      <c r="I848" s="16"/>
      <c r="J848" s="22"/>
      <c r="K848" s="16"/>
      <c r="L848" s="50"/>
      <c r="M848" s="16"/>
      <c r="N848" s="19"/>
      <c r="O848" s="19"/>
      <c r="P848" s="19"/>
      <c r="Q848" s="19"/>
      <c r="R848" s="19"/>
      <c r="S848" s="19"/>
      <c r="T848" s="19"/>
      <c r="U848" s="19"/>
      <c r="V848" s="19"/>
      <c r="W848" s="20"/>
      <c r="X848" s="43"/>
    </row>
    <row r="849" spans="1:24" ht="15.75" hidden="1" customHeight="1" x14ac:dyDescent="0.25">
      <c r="A849" s="16"/>
      <c r="B849" s="16" t="str">
        <f t="shared" si="4"/>
        <v/>
      </c>
      <c r="C849" s="16"/>
      <c r="D849" s="40"/>
      <c r="E849" s="16"/>
      <c r="F849" s="41"/>
      <c r="G849" s="16"/>
      <c r="H849" s="16"/>
      <c r="I849" s="16"/>
      <c r="J849" s="22"/>
      <c r="K849" s="16"/>
      <c r="L849" s="50"/>
      <c r="M849" s="16"/>
      <c r="N849" s="19"/>
      <c r="O849" s="19"/>
      <c r="P849" s="19"/>
      <c r="Q849" s="19"/>
      <c r="R849" s="19"/>
      <c r="S849" s="19"/>
      <c r="T849" s="19"/>
      <c r="U849" s="19"/>
      <c r="V849" s="19"/>
      <c r="W849" s="20"/>
      <c r="X849" s="43"/>
    </row>
    <row r="850" spans="1:24" ht="15.75" hidden="1" customHeight="1" x14ac:dyDescent="0.25">
      <c r="A850" s="16"/>
      <c r="B850" s="16" t="str">
        <f t="shared" si="4"/>
        <v/>
      </c>
      <c r="C850" s="16"/>
      <c r="D850" s="40"/>
      <c r="E850" s="16"/>
      <c r="F850" s="41"/>
      <c r="G850" s="16"/>
      <c r="H850" s="16"/>
      <c r="I850" s="16"/>
      <c r="J850" s="22"/>
      <c r="K850" s="16"/>
      <c r="L850" s="50"/>
      <c r="M850" s="16"/>
      <c r="N850" s="19"/>
      <c r="O850" s="19"/>
      <c r="P850" s="19"/>
      <c r="Q850" s="19"/>
      <c r="R850" s="19"/>
      <c r="S850" s="19"/>
      <c r="T850" s="19"/>
      <c r="U850" s="19"/>
      <c r="V850" s="19"/>
      <c r="W850" s="20"/>
      <c r="X850" s="43"/>
    </row>
    <row r="851" spans="1:24" ht="15.75" hidden="1" customHeight="1" x14ac:dyDescent="0.25">
      <c r="A851" s="16"/>
      <c r="B851" s="16" t="str">
        <f t="shared" si="4"/>
        <v/>
      </c>
      <c r="C851" s="16"/>
      <c r="D851" s="40"/>
      <c r="E851" s="16"/>
      <c r="F851" s="41"/>
      <c r="G851" s="16"/>
      <c r="H851" s="16"/>
      <c r="I851" s="16"/>
      <c r="J851" s="22"/>
      <c r="K851" s="16"/>
      <c r="L851" s="50"/>
      <c r="M851" s="16"/>
      <c r="N851" s="19"/>
      <c r="O851" s="19"/>
      <c r="P851" s="19"/>
      <c r="Q851" s="19"/>
      <c r="R851" s="19"/>
      <c r="S851" s="19"/>
      <c r="T851" s="19"/>
      <c r="U851" s="19"/>
      <c r="V851" s="19"/>
      <c r="W851" s="20"/>
      <c r="X851" s="43"/>
    </row>
    <row r="852" spans="1:24" ht="15.75" hidden="1" customHeight="1" x14ac:dyDescent="0.25">
      <c r="A852" s="16"/>
      <c r="B852" s="16" t="str">
        <f t="shared" si="4"/>
        <v/>
      </c>
      <c r="C852" s="16"/>
      <c r="D852" s="40"/>
      <c r="E852" s="16"/>
      <c r="F852" s="41"/>
      <c r="G852" s="16"/>
      <c r="H852" s="16"/>
      <c r="I852" s="16"/>
      <c r="J852" s="22"/>
      <c r="K852" s="16"/>
      <c r="L852" s="50"/>
      <c r="M852" s="16"/>
      <c r="N852" s="19"/>
      <c r="O852" s="19"/>
      <c r="P852" s="19"/>
      <c r="Q852" s="19"/>
      <c r="R852" s="19"/>
      <c r="S852" s="19"/>
      <c r="T852" s="19"/>
      <c r="U852" s="19"/>
      <c r="V852" s="19"/>
      <c r="W852" s="20"/>
      <c r="X852" s="43"/>
    </row>
    <row r="853" spans="1:24" ht="15.75" hidden="1" customHeight="1" x14ac:dyDescent="0.25">
      <c r="A853" s="16"/>
      <c r="B853" s="16" t="str">
        <f t="shared" si="4"/>
        <v/>
      </c>
      <c r="C853" s="16"/>
      <c r="D853" s="40"/>
      <c r="E853" s="16"/>
      <c r="F853" s="41"/>
      <c r="G853" s="16"/>
      <c r="H853" s="16"/>
      <c r="I853" s="16"/>
      <c r="J853" s="22"/>
      <c r="K853" s="16"/>
      <c r="L853" s="50"/>
      <c r="M853" s="16"/>
      <c r="N853" s="19"/>
      <c r="O853" s="19"/>
      <c r="P853" s="19"/>
      <c r="Q853" s="19"/>
      <c r="R853" s="19"/>
      <c r="S853" s="19"/>
      <c r="T853" s="19"/>
      <c r="U853" s="19"/>
      <c r="V853" s="19"/>
      <c r="W853" s="20"/>
      <c r="X853" s="43"/>
    </row>
    <row r="854" spans="1:24" ht="15.75" hidden="1" customHeight="1" x14ac:dyDescent="0.25">
      <c r="A854" s="16"/>
      <c r="B854" s="16" t="str">
        <f t="shared" si="4"/>
        <v/>
      </c>
      <c r="C854" s="16"/>
      <c r="D854" s="40"/>
      <c r="E854" s="16"/>
      <c r="F854" s="41"/>
      <c r="G854" s="16"/>
      <c r="H854" s="16"/>
      <c r="I854" s="16"/>
      <c r="J854" s="22"/>
      <c r="K854" s="16"/>
      <c r="L854" s="50"/>
      <c r="M854" s="16"/>
      <c r="N854" s="19"/>
      <c r="O854" s="19"/>
      <c r="P854" s="19"/>
      <c r="Q854" s="19"/>
      <c r="R854" s="19"/>
      <c r="S854" s="19"/>
      <c r="T854" s="19"/>
      <c r="U854" s="19"/>
      <c r="V854" s="19"/>
      <c r="W854" s="20"/>
      <c r="X854" s="43"/>
    </row>
    <row r="855" spans="1:24" ht="15.75" hidden="1" customHeight="1" x14ac:dyDescent="0.25">
      <c r="A855" s="16"/>
      <c r="B855" s="16" t="str">
        <f t="shared" si="4"/>
        <v/>
      </c>
      <c r="C855" s="16"/>
      <c r="D855" s="40"/>
      <c r="E855" s="16"/>
      <c r="F855" s="41"/>
      <c r="G855" s="16"/>
      <c r="H855" s="16"/>
      <c r="I855" s="16"/>
      <c r="J855" s="22"/>
      <c r="K855" s="16"/>
      <c r="L855" s="50"/>
      <c r="M855" s="16"/>
      <c r="N855" s="19"/>
      <c r="O855" s="19"/>
      <c r="P855" s="19"/>
      <c r="Q855" s="19"/>
      <c r="R855" s="19"/>
      <c r="S855" s="19"/>
      <c r="T855" s="19"/>
      <c r="U855" s="19"/>
      <c r="V855" s="19"/>
      <c r="W855" s="20"/>
      <c r="X855" s="43"/>
    </row>
    <row r="856" spans="1:24" ht="15.75" hidden="1" customHeight="1" x14ac:dyDescent="0.25">
      <c r="A856" s="16"/>
      <c r="B856" s="16" t="str">
        <f t="shared" si="4"/>
        <v/>
      </c>
      <c r="C856" s="16"/>
      <c r="D856" s="40"/>
      <c r="E856" s="16"/>
      <c r="F856" s="41"/>
      <c r="G856" s="16"/>
      <c r="H856" s="16"/>
      <c r="I856" s="16"/>
      <c r="J856" s="22"/>
      <c r="K856" s="16"/>
      <c r="L856" s="50"/>
      <c r="M856" s="16"/>
      <c r="N856" s="19"/>
      <c r="O856" s="19"/>
      <c r="P856" s="19"/>
      <c r="Q856" s="19"/>
      <c r="R856" s="19"/>
      <c r="S856" s="19"/>
      <c r="T856" s="19"/>
      <c r="U856" s="19"/>
      <c r="V856" s="19"/>
      <c r="W856" s="20"/>
      <c r="X856" s="43"/>
    </row>
    <row r="857" spans="1:24" ht="15.75" hidden="1" customHeight="1" x14ac:dyDescent="0.25">
      <c r="A857" s="16"/>
      <c r="B857" s="16" t="str">
        <f t="shared" si="4"/>
        <v/>
      </c>
      <c r="C857" s="16"/>
      <c r="D857" s="40"/>
      <c r="E857" s="16"/>
      <c r="F857" s="41"/>
      <c r="G857" s="16"/>
      <c r="H857" s="16"/>
      <c r="I857" s="16"/>
      <c r="J857" s="22"/>
      <c r="K857" s="16"/>
      <c r="L857" s="50"/>
      <c r="M857" s="16"/>
      <c r="N857" s="19"/>
      <c r="O857" s="19"/>
      <c r="P857" s="19"/>
      <c r="Q857" s="19"/>
      <c r="R857" s="19"/>
      <c r="S857" s="19"/>
      <c r="T857" s="19"/>
      <c r="U857" s="19"/>
      <c r="V857" s="19"/>
      <c r="W857" s="20"/>
      <c r="X857" s="43"/>
    </row>
    <row r="858" spans="1:24" ht="15.75" hidden="1" customHeight="1" x14ac:dyDescent="0.25">
      <c r="A858" s="16"/>
      <c r="B858" s="16" t="str">
        <f t="shared" si="4"/>
        <v/>
      </c>
      <c r="C858" s="16"/>
      <c r="D858" s="40"/>
      <c r="E858" s="16"/>
      <c r="F858" s="41"/>
      <c r="G858" s="16"/>
      <c r="H858" s="16"/>
      <c r="I858" s="16"/>
      <c r="J858" s="22"/>
      <c r="K858" s="16"/>
      <c r="L858" s="50"/>
      <c r="M858" s="16"/>
      <c r="N858" s="19"/>
      <c r="O858" s="19"/>
      <c r="P858" s="19"/>
      <c r="Q858" s="19"/>
      <c r="R858" s="19"/>
      <c r="S858" s="19"/>
      <c r="T858" s="19"/>
      <c r="U858" s="19"/>
      <c r="V858" s="19"/>
      <c r="W858" s="20"/>
      <c r="X858" s="43"/>
    </row>
    <row r="859" spans="1:24" ht="15.75" hidden="1" customHeight="1" x14ac:dyDescent="0.25">
      <c r="A859" s="16"/>
      <c r="B859" s="16" t="str">
        <f t="shared" si="4"/>
        <v/>
      </c>
      <c r="C859" s="16"/>
      <c r="D859" s="40"/>
      <c r="E859" s="16"/>
      <c r="F859" s="41"/>
      <c r="G859" s="16"/>
      <c r="H859" s="16"/>
      <c r="I859" s="16"/>
      <c r="J859" s="22"/>
      <c r="K859" s="16"/>
      <c r="L859" s="50"/>
      <c r="M859" s="16"/>
      <c r="N859" s="19"/>
      <c r="O859" s="19"/>
      <c r="P859" s="19"/>
      <c r="Q859" s="19"/>
      <c r="R859" s="19"/>
      <c r="S859" s="19"/>
      <c r="T859" s="19"/>
      <c r="U859" s="19"/>
      <c r="V859" s="19"/>
      <c r="W859" s="20"/>
      <c r="X859" s="43"/>
    </row>
    <row r="860" spans="1:24" ht="15.75" hidden="1" customHeight="1" x14ac:dyDescent="0.25">
      <c r="A860" s="16"/>
      <c r="B860" s="16" t="str">
        <f t="shared" si="4"/>
        <v/>
      </c>
      <c r="C860" s="16"/>
      <c r="D860" s="40"/>
      <c r="E860" s="16"/>
      <c r="F860" s="41"/>
      <c r="G860" s="16"/>
      <c r="H860" s="16"/>
      <c r="I860" s="16"/>
      <c r="J860" s="22"/>
      <c r="K860" s="16"/>
      <c r="L860" s="50"/>
      <c r="M860" s="16"/>
      <c r="N860" s="19"/>
      <c r="O860" s="19"/>
      <c r="P860" s="19"/>
      <c r="Q860" s="19"/>
      <c r="R860" s="19"/>
      <c r="S860" s="19"/>
      <c r="T860" s="19"/>
      <c r="U860" s="19"/>
      <c r="V860" s="19"/>
      <c r="W860" s="20"/>
      <c r="X860" s="43"/>
    </row>
    <row r="861" spans="1:24" ht="15.75" hidden="1" customHeight="1" x14ac:dyDescent="0.25">
      <c r="A861" s="16"/>
      <c r="B861" s="16" t="str">
        <f t="shared" si="4"/>
        <v/>
      </c>
      <c r="C861" s="16"/>
      <c r="D861" s="40"/>
      <c r="E861" s="16"/>
      <c r="F861" s="41"/>
      <c r="G861" s="16"/>
      <c r="H861" s="16"/>
      <c r="I861" s="16"/>
      <c r="J861" s="22"/>
      <c r="K861" s="16"/>
      <c r="L861" s="50"/>
      <c r="M861" s="16"/>
      <c r="N861" s="19"/>
      <c r="O861" s="19"/>
      <c r="P861" s="19"/>
      <c r="Q861" s="19"/>
      <c r="R861" s="19"/>
      <c r="S861" s="19"/>
      <c r="T861" s="19"/>
      <c r="U861" s="19"/>
      <c r="V861" s="19"/>
      <c r="W861" s="20"/>
      <c r="X861" s="43"/>
    </row>
    <row r="862" spans="1:24" ht="15.75" hidden="1" customHeight="1" x14ac:dyDescent="0.25">
      <c r="A862" s="16"/>
      <c r="B862" s="16" t="str">
        <f t="shared" si="4"/>
        <v/>
      </c>
      <c r="C862" s="16"/>
      <c r="D862" s="40"/>
      <c r="E862" s="16"/>
      <c r="F862" s="41"/>
      <c r="G862" s="16"/>
      <c r="H862" s="16"/>
      <c r="I862" s="16"/>
      <c r="J862" s="22"/>
      <c r="K862" s="16"/>
      <c r="L862" s="50"/>
      <c r="M862" s="16"/>
      <c r="N862" s="19"/>
      <c r="O862" s="19"/>
      <c r="P862" s="19"/>
      <c r="Q862" s="19"/>
      <c r="R862" s="19"/>
      <c r="S862" s="19"/>
      <c r="T862" s="19"/>
      <c r="U862" s="19"/>
      <c r="V862" s="19"/>
      <c r="W862" s="20"/>
      <c r="X862" s="43"/>
    </row>
    <row r="863" spans="1:24" ht="15.75" hidden="1" customHeight="1" x14ac:dyDescent="0.25">
      <c r="A863" s="16"/>
      <c r="B863" s="16" t="str">
        <f t="shared" si="4"/>
        <v/>
      </c>
      <c r="C863" s="16"/>
      <c r="D863" s="40"/>
      <c r="E863" s="16"/>
      <c r="F863" s="41"/>
      <c r="G863" s="16"/>
      <c r="H863" s="16"/>
      <c r="I863" s="16"/>
      <c r="J863" s="22"/>
      <c r="K863" s="16"/>
      <c r="L863" s="50"/>
      <c r="M863" s="16"/>
      <c r="N863" s="19"/>
      <c r="O863" s="19"/>
      <c r="P863" s="19"/>
      <c r="Q863" s="19"/>
      <c r="R863" s="19"/>
      <c r="S863" s="19"/>
      <c r="T863" s="19"/>
      <c r="U863" s="19"/>
      <c r="V863" s="19"/>
      <c r="W863" s="20"/>
      <c r="X863" s="43"/>
    </row>
    <row r="864" spans="1:24" ht="15.75" hidden="1" customHeight="1" x14ac:dyDescent="0.25">
      <c r="A864" s="16"/>
      <c r="B864" s="16" t="str">
        <f t="shared" si="4"/>
        <v/>
      </c>
      <c r="C864" s="16"/>
      <c r="D864" s="40"/>
      <c r="E864" s="16"/>
      <c r="F864" s="41"/>
      <c r="G864" s="16"/>
      <c r="H864" s="16"/>
      <c r="I864" s="16"/>
      <c r="J864" s="22"/>
      <c r="K864" s="16"/>
      <c r="L864" s="50"/>
      <c r="M864" s="16"/>
      <c r="N864" s="19"/>
      <c r="O864" s="19"/>
      <c r="P864" s="19"/>
      <c r="Q864" s="19"/>
      <c r="R864" s="19"/>
      <c r="S864" s="19"/>
      <c r="T864" s="19"/>
      <c r="U864" s="19"/>
      <c r="V864" s="19"/>
      <c r="W864" s="20"/>
      <c r="X864" s="43"/>
    </row>
    <row r="865" spans="1:24" ht="15.75" hidden="1" customHeight="1" x14ac:dyDescent="0.25">
      <c r="A865" s="16"/>
      <c r="B865" s="16" t="str">
        <f t="shared" si="4"/>
        <v/>
      </c>
      <c r="C865" s="16"/>
      <c r="D865" s="40"/>
      <c r="E865" s="16"/>
      <c r="F865" s="41"/>
      <c r="G865" s="16"/>
      <c r="H865" s="16"/>
      <c r="I865" s="16"/>
      <c r="J865" s="22"/>
      <c r="K865" s="16"/>
      <c r="L865" s="50"/>
      <c r="M865" s="16"/>
      <c r="N865" s="19"/>
      <c r="O865" s="19"/>
      <c r="P865" s="19"/>
      <c r="Q865" s="19"/>
      <c r="R865" s="19"/>
      <c r="S865" s="19"/>
      <c r="T865" s="19"/>
      <c r="U865" s="19"/>
      <c r="V865" s="19"/>
      <c r="W865" s="20"/>
      <c r="X865" s="43"/>
    </row>
    <row r="866" spans="1:24" ht="15.75" hidden="1" customHeight="1" x14ac:dyDescent="0.25">
      <c r="A866" s="16"/>
      <c r="B866" s="16" t="str">
        <f t="shared" si="4"/>
        <v/>
      </c>
      <c r="C866" s="16"/>
      <c r="D866" s="40"/>
      <c r="E866" s="16"/>
      <c r="F866" s="41"/>
      <c r="G866" s="16"/>
      <c r="H866" s="16"/>
      <c r="I866" s="16"/>
      <c r="J866" s="22"/>
      <c r="K866" s="16"/>
      <c r="L866" s="50"/>
      <c r="M866" s="16"/>
      <c r="N866" s="19"/>
      <c r="O866" s="19"/>
      <c r="P866" s="19"/>
      <c r="Q866" s="19"/>
      <c r="R866" s="19"/>
      <c r="S866" s="19"/>
      <c r="T866" s="19"/>
      <c r="U866" s="19"/>
      <c r="V866" s="19"/>
      <c r="W866" s="20"/>
      <c r="X866" s="43"/>
    </row>
    <row r="867" spans="1:24" ht="15.75" hidden="1" customHeight="1" x14ac:dyDescent="0.25">
      <c r="A867" s="16"/>
      <c r="B867" s="16" t="str">
        <f t="shared" si="4"/>
        <v/>
      </c>
      <c r="C867" s="16"/>
      <c r="D867" s="40"/>
      <c r="E867" s="16"/>
      <c r="F867" s="41"/>
      <c r="G867" s="16"/>
      <c r="H867" s="16"/>
      <c r="I867" s="16"/>
      <c r="J867" s="22"/>
      <c r="K867" s="16"/>
      <c r="L867" s="50"/>
      <c r="M867" s="16"/>
      <c r="N867" s="19"/>
      <c r="O867" s="19"/>
      <c r="P867" s="19"/>
      <c r="Q867" s="19"/>
      <c r="R867" s="19"/>
      <c r="S867" s="19"/>
      <c r="T867" s="19"/>
      <c r="U867" s="19"/>
      <c r="V867" s="19"/>
      <c r="W867" s="20"/>
      <c r="X867" s="43"/>
    </row>
    <row r="868" spans="1:24" ht="15.75" hidden="1" customHeight="1" x14ac:dyDescent="0.25">
      <c r="A868" s="16"/>
      <c r="B868" s="16" t="str">
        <f t="shared" si="4"/>
        <v/>
      </c>
      <c r="C868" s="16"/>
      <c r="D868" s="40"/>
      <c r="E868" s="16"/>
      <c r="F868" s="41"/>
      <c r="G868" s="16"/>
      <c r="H868" s="16"/>
      <c r="I868" s="16"/>
      <c r="J868" s="22"/>
      <c r="K868" s="16"/>
      <c r="L868" s="50"/>
      <c r="M868" s="16"/>
      <c r="N868" s="19"/>
      <c r="O868" s="19"/>
      <c r="P868" s="19"/>
      <c r="Q868" s="19"/>
      <c r="R868" s="19"/>
      <c r="S868" s="19"/>
      <c r="T868" s="19"/>
      <c r="U868" s="19"/>
      <c r="V868" s="19"/>
      <c r="W868" s="20"/>
      <c r="X868" s="43"/>
    </row>
    <row r="869" spans="1:24" ht="15.75" hidden="1" customHeight="1" x14ac:dyDescent="0.25">
      <c r="A869" s="16"/>
      <c r="B869" s="16" t="str">
        <f t="shared" si="4"/>
        <v/>
      </c>
      <c r="C869" s="16"/>
      <c r="D869" s="40"/>
      <c r="E869" s="16"/>
      <c r="F869" s="41"/>
      <c r="G869" s="16"/>
      <c r="H869" s="16"/>
      <c r="I869" s="16"/>
      <c r="J869" s="22"/>
      <c r="K869" s="16"/>
      <c r="L869" s="50"/>
      <c r="M869" s="16"/>
      <c r="N869" s="19"/>
      <c r="O869" s="19"/>
      <c r="P869" s="19"/>
      <c r="Q869" s="19"/>
      <c r="R869" s="19"/>
      <c r="S869" s="19"/>
      <c r="T869" s="19"/>
      <c r="U869" s="19"/>
      <c r="V869" s="19"/>
      <c r="W869" s="20"/>
      <c r="X869" s="43"/>
    </row>
    <row r="870" spans="1:24" ht="15.75" hidden="1" customHeight="1" x14ac:dyDescent="0.25">
      <c r="A870" s="16"/>
      <c r="B870" s="16" t="str">
        <f t="shared" si="4"/>
        <v/>
      </c>
      <c r="C870" s="16"/>
      <c r="D870" s="40"/>
      <c r="E870" s="16"/>
      <c r="F870" s="41"/>
      <c r="G870" s="16"/>
      <c r="H870" s="16"/>
      <c r="I870" s="16"/>
      <c r="J870" s="22"/>
      <c r="K870" s="16"/>
      <c r="L870" s="50"/>
      <c r="M870" s="16"/>
      <c r="N870" s="19"/>
      <c r="O870" s="19"/>
      <c r="P870" s="19"/>
      <c r="Q870" s="19"/>
      <c r="R870" s="19"/>
      <c r="S870" s="19"/>
      <c r="T870" s="19"/>
      <c r="U870" s="19"/>
      <c r="V870" s="19"/>
      <c r="W870" s="20"/>
      <c r="X870" s="43"/>
    </row>
    <row r="871" spans="1:24" ht="15.75" hidden="1" customHeight="1" x14ac:dyDescent="0.25">
      <c r="A871" s="16"/>
      <c r="B871" s="16" t="str">
        <f t="shared" si="4"/>
        <v/>
      </c>
      <c r="C871" s="16"/>
      <c r="D871" s="40"/>
      <c r="E871" s="16"/>
      <c r="F871" s="41"/>
      <c r="G871" s="16"/>
      <c r="H871" s="16"/>
      <c r="I871" s="16"/>
      <c r="J871" s="22"/>
      <c r="K871" s="16"/>
      <c r="L871" s="50"/>
      <c r="M871" s="16"/>
      <c r="N871" s="19"/>
      <c r="O871" s="19"/>
      <c r="P871" s="19"/>
      <c r="Q871" s="19"/>
      <c r="R871" s="19"/>
      <c r="S871" s="19"/>
      <c r="T871" s="19"/>
      <c r="U871" s="19"/>
      <c r="V871" s="19"/>
      <c r="W871" s="20"/>
      <c r="X871" s="43"/>
    </row>
    <row r="872" spans="1:24" ht="15.75" hidden="1" customHeight="1" x14ac:dyDescent="0.25">
      <c r="A872" s="16"/>
      <c r="B872" s="16" t="str">
        <f t="shared" si="4"/>
        <v/>
      </c>
      <c r="C872" s="16"/>
      <c r="D872" s="40"/>
      <c r="E872" s="16"/>
      <c r="F872" s="41"/>
      <c r="G872" s="16"/>
      <c r="H872" s="16"/>
      <c r="I872" s="16"/>
      <c r="J872" s="22"/>
      <c r="K872" s="16"/>
      <c r="L872" s="50"/>
      <c r="M872" s="16"/>
      <c r="N872" s="19"/>
      <c r="O872" s="19"/>
      <c r="P872" s="19"/>
      <c r="Q872" s="19"/>
      <c r="R872" s="19"/>
      <c r="S872" s="19"/>
      <c r="T872" s="19"/>
      <c r="U872" s="19"/>
      <c r="V872" s="19"/>
      <c r="W872" s="20"/>
      <c r="X872" s="43"/>
    </row>
    <row r="873" spans="1:24" ht="15.75" hidden="1" customHeight="1" x14ac:dyDescent="0.25">
      <c r="A873" s="16"/>
      <c r="B873" s="16" t="str">
        <f t="shared" si="4"/>
        <v/>
      </c>
      <c r="C873" s="16"/>
      <c r="D873" s="40"/>
      <c r="E873" s="16"/>
      <c r="F873" s="41"/>
      <c r="G873" s="16"/>
      <c r="H873" s="16"/>
      <c r="I873" s="16"/>
      <c r="J873" s="22"/>
      <c r="K873" s="16"/>
      <c r="L873" s="50"/>
      <c r="M873" s="16"/>
      <c r="N873" s="19"/>
      <c r="O873" s="19"/>
      <c r="P873" s="19"/>
      <c r="Q873" s="19"/>
      <c r="R873" s="19"/>
      <c r="S873" s="19"/>
      <c r="T873" s="19"/>
      <c r="U873" s="19"/>
      <c r="V873" s="19"/>
      <c r="W873" s="20"/>
      <c r="X873" s="43"/>
    </row>
    <row r="874" spans="1:24" ht="15.75" hidden="1" customHeight="1" x14ac:dyDescent="0.25">
      <c r="A874" s="16"/>
      <c r="B874" s="16" t="str">
        <f t="shared" si="4"/>
        <v/>
      </c>
      <c r="C874" s="16"/>
      <c r="D874" s="40"/>
      <c r="E874" s="16"/>
      <c r="F874" s="41"/>
      <c r="G874" s="16"/>
      <c r="H874" s="16"/>
      <c r="I874" s="16"/>
      <c r="J874" s="22"/>
      <c r="K874" s="16"/>
      <c r="L874" s="50"/>
      <c r="M874" s="16"/>
      <c r="N874" s="19"/>
      <c r="O874" s="19"/>
      <c r="P874" s="19"/>
      <c r="Q874" s="19"/>
      <c r="R874" s="19"/>
      <c r="S874" s="19"/>
      <c r="T874" s="19"/>
      <c r="U874" s="19"/>
      <c r="V874" s="19"/>
      <c r="W874" s="20"/>
      <c r="X874" s="43"/>
    </row>
    <row r="875" spans="1:24" ht="15.75" hidden="1" customHeight="1" x14ac:dyDescent="0.25">
      <c r="A875" s="16"/>
      <c r="B875" s="16" t="str">
        <f t="shared" si="4"/>
        <v/>
      </c>
      <c r="C875" s="16"/>
      <c r="D875" s="40"/>
      <c r="E875" s="16"/>
      <c r="F875" s="41"/>
      <c r="G875" s="16"/>
      <c r="H875" s="16"/>
      <c r="I875" s="16"/>
      <c r="J875" s="22"/>
      <c r="K875" s="16"/>
      <c r="L875" s="50"/>
      <c r="M875" s="16"/>
      <c r="N875" s="19"/>
      <c r="O875" s="19"/>
      <c r="P875" s="19"/>
      <c r="Q875" s="19"/>
      <c r="R875" s="19"/>
      <c r="S875" s="19"/>
      <c r="T875" s="19"/>
      <c r="U875" s="19"/>
      <c r="V875" s="19"/>
      <c r="W875" s="20"/>
      <c r="X875" s="43"/>
    </row>
    <row r="876" spans="1:24" ht="15.75" hidden="1" customHeight="1" x14ac:dyDescent="0.25">
      <c r="A876" s="16"/>
      <c r="B876" s="16" t="str">
        <f t="shared" si="4"/>
        <v/>
      </c>
      <c r="C876" s="16"/>
      <c r="D876" s="40"/>
      <c r="E876" s="16"/>
      <c r="F876" s="41"/>
      <c r="G876" s="16"/>
      <c r="H876" s="16"/>
      <c r="I876" s="16"/>
      <c r="J876" s="22"/>
      <c r="K876" s="16"/>
      <c r="L876" s="50"/>
      <c r="M876" s="16"/>
      <c r="N876" s="19"/>
      <c r="O876" s="19"/>
      <c r="P876" s="19"/>
      <c r="Q876" s="19"/>
      <c r="R876" s="19"/>
      <c r="S876" s="19"/>
      <c r="T876" s="19"/>
      <c r="U876" s="19"/>
      <c r="V876" s="19"/>
      <c r="W876" s="20"/>
      <c r="X876" s="43"/>
    </row>
    <row r="877" spans="1:24" ht="15.75" hidden="1" customHeight="1" x14ac:dyDescent="0.25">
      <c r="A877" s="16"/>
      <c r="B877" s="16" t="str">
        <f t="shared" si="4"/>
        <v/>
      </c>
      <c r="C877" s="16"/>
      <c r="D877" s="40"/>
      <c r="E877" s="16"/>
      <c r="F877" s="41"/>
      <c r="G877" s="16"/>
      <c r="H877" s="16"/>
      <c r="I877" s="16"/>
      <c r="J877" s="22"/>
      <c r="K877" s="16"/>
      <c r="L877" s="50"/>
      <c r="M877" s="16"/>
      <c r="N877" s="19"/>
      <c r="O877" s="19"/>
      <c r="P877" s="19"/>
      <c r="Q877" s="19"/>
      <c r="R877" s="19"/>
      <c r="S877" s="19"/>
      <c r="T877" s="19"/>
      <c r="U877" s="19"/>
      <c r="V877" s="19"/>
      <c r="W877" s="20"/>
      <c r="X877" s="43"/>
    </row>
    <row r="878" spans="1:24" ht="15.75" hidden="1" customHeight="1" x14ac:dyDescent="0.25">
      <c r="A878" s="16"/>
      <c r="B878" s="16" t="str">
        <f t="shared" si="4"/>
        <v/>
      </c>
      <c r="C878" s="16"/>
      <c r="D878" s="40"/>
      <c r="E878" s="16"/>
      <c r="F878" s="41"/>
      <c r="G878" s="16"/>
      <c r="H878" s="16"/>
      <c r="I878" s="16"/>
      <c r="J878" s="22"/>
      <c r="K878" s="16"/>
      <c r="L878" s="50"/>
      <c r="M878" s="16"/>
      <c r="N878" s="19"/>
      <c r="O878" s="19"/>
      <c r="P878" s="19"/>
      <c r="Q878" s="19"/>
      <c r="R878" s="19"/>
      <c r="S878" s="19"/>
      <c r="T878" s="19"/>
      <c r="U878" s="19"/>
      <c r="V878" s="19"/>
      <c r="W878" s="20"/>
      <c r="X878" s="43"/>
    </row>
    <row r="879" spans="1:24" ht="15.75" hidden="1" customHeight="1" x14ac:dyDescent="0.25">
      <c r="A879" s="16"/>
      <c r="B879" s="16" t="str">
        <f t="shared" si="4"/>
        <v/>
      </c>
      <c r="C879" s="16"/>
      <c r="D879" s="40"/>
      <c r="E879" s="16"/>
      <c r="F879" s="41"/>
      <c r="G879" s="16"/>
      <c r="H879" s="16"/>
      <c r="I879" s="16"/>
      <c r="J879" s="22"/>
      <c r="K879" s="16"/>
      <c r="L879" s="50"/>
      <c r="M879" s="16"/>
      <c r="N879" s="19"/>
      <c r="O879" s="19"/>
      <c r="P879" s="19"/>
      <c r="Q879" s="19"/>
      <c r="R879" s="19"/>
      <c r="S879" s="19"/>
      <c r="T879" s="19"/>
      <c r="U879" s="19"/>
      <c r="V879" s="19"/>
      <c r="W879" s="20"/>
      <c r="X879" s="43"/>
    </row>
    <row r="880" spans="1:24" ht="15.75" hidden="1" customHeight="1" x14ac:dyDescent="0.25">
      <c r="A880" s="16"/>
      <c r="B880" s="16" t="str">
        <f t="shared" si="4"/>
        <v/>
      </c>
      <c r="C880" s="16"/>
      <c r="D880" s="40"/>
      <c r="E880" s="16"/>
      <c r="F880" s="41"/>
      <c r="G880" s="16"/>
      <c r="H880" s="16"/>
      <c r="I880" s="16"/>
      <c r="J880" s="22"/>
      <c r="K880" s="16"/>
      <c r="L880" s="50"/>
      <c r="M880" s="16"/>
      <c r="N880" s="19"/>
      <c r="O880" s="19"/>
      <c r="P880" s="19"/>
      <c r="Q880" s="19"/>
      <c r="R880" s="19"/>
      <c r="S880" s="19"/>
      <c r="T880" s="19"/>
      <c r="U880" s="19"/>
      <c r="V880" s="19"/>
      <c r="W880" s="20"/>
      <c r="X880" s="43"/>
    </row>
    <row r="881" spans="1:24" ht="15.75" hidden="1" customHeight="1" x14ac:dyDescent="0.25">
      <c r="A881" s="16"/>
      <c r="B881" s="16" t="str">
        <f t="shared" si="4"/>
        <v/>
      </c>
      <c r="C881" s="16"/>
      <c r="D881" s="40"/>
      <c r="E881" s="16"/>
      <c r="F881" s="41"/>
      <c r="G881" s="16"/>
      <c r="H881" s="16"/>
      <c r="I881" s="16"/>
      <c r="J881" s="22"/>
      <c r="K881" s="16"/>
      <c r="L881" s="50"/>
      <c r="M881" s="16"/>
      <c r="N881" s="19"/>
      <c r="O881" s="19"/>
      <c r="P881" s="19"/>
      <c r="Q881" s="19"/>
      <c r="R881" s="19"/>
      <c r="S881" s="19"/>
      <c r="T881" s="19"/>
      <c r="U881" s="19"/>
      <c r="V881" s="19"/>
      <c r="W881" s="20"/>
      <c r="X881" s="43"/>
    </row>
    <row r="882" spans="1:24" ht="15.75" hidden="1" customHeight="1" x14ac:dyDescent="0.25">
      <c r="A882" s="16"/>
      <c r="B882" s="16" t="str">
        <f t="shared" si="4"/>
        <v/>
      </c>
      <c r="C882" s="16"/>
      <c r="D882" s="40"/>
      <c r="E882" s="16"/>
      <c r="F882" s="41"/>
      <c r="G882" s="16"/>
      <c r="H882" s="16"/>
      <c r="I882" s="16"/>
      <c r="J882" s="22"/>
      <c r="K882" s="16"/>
      <c r="L882" s="50"/>
      <c r="M882" s="16"/>
      <c r="N882" s="19"/>
      <c r="O882" s="19"/>
      <c r="P882" s="19"/>
      <c r="Q882" s="19"/>
      <c r="R882" s="19"/>
      <c r="S882" s="19"/>
      <c r="T882" s="19"/>
      <c r="U882" s="19"/>
      <c r="V882" s="19"/>
      <c r="W882" s="20"/>
      <c r="X882" s="43"/>
    </row>
    <row r="883" spans="1:24" ht="15.75" hidden="1" customHeight="1" x14ac:dyDescent="0.25">
      <c r="A883" s="16"/>
      <c r="B883" s="16" t="str">
        <f t="shared" si="4"/>
        <v/>
      </c>
      <c r="C883" s="16"/>
      <c r="D883" s="40"/>
      <c r="E883" s="16"/>
      <c r="F883" s="41"/>
      <c r="G883" s="16"/>
      <c r="H883" s="16"/>
      <c r="I883" s="16"/>
      <c r="J883" s="22"/>
      <c r="K883" s="16"/>
      <c r="L883" s="50"/>
      <c r="M883" s="16"/>
      <c r="N883" s="19"/>
      <c r="O883" s="19"/>
      <c r="P883" s="19"/>
      <c r="Q883" s="19"/>
      <c r="R883" s="19"/>
      <c r="S883" s="19"/>
      <c r="T883" s="19"/>
      <c r="U883" s="19"/>
      <c r="V883" s="19"/>
      <c r="W883" s="20"/>
      <c r="X883" s="43"/>
    </row>
    <row r="884" spans="1:24" ht="15.75" hidden="1" customHeight="1" x14ac:dyDescent="0.25">
      <c r="A884" s="16"/>
      <c r="B884" s="16" t="str">
        <f t="shared" si="4"/>
        <v/>
      </c>
      <c r="C884" s="16"/>
      <c r="D884" s="40"/>
      <c r="E884" s="16"/>
      <c r="F884" s="41"/>
      <c r="G884" s="16"/>
      <c r="H884" s="16"/>
      <c r="I884" s="16"/>
      <c r="J884" s="22"/>
      <c r="K884" s="16"/>
      <c r="L884" s="50"/>
      <c r="M884" s="16"/>
      <c r="N884" s="19"/>
      <c r="O884" s="19"/>
      <c r="P884" s="19"/>
      <c r="Q884" s="19"/>
      <c r="R884" s="19"/>
      <c r="S884" s="19"/>
      <c r="T884" s="19"/>
      <c r="U884" s="19"/>
      <c r="V884" s="19"/>
      <c r="W884" s="20"/>
      <c r="X884" s="43"/>
    </row>
    <row r="885" spans="1:24" ht="15.75" hidden="1" customHeight="1" x14ac:dyDescent="0.25">
      <c r="A885" s="16"/>
      <c r="B885" s="16" t="str">
        <f t="shared" si="4"/>
        <v/>
      </c>
      <c r="C885" s="16"/>
      <c r="D885" s="40"/>
      <c r="E885" s="16"/>
      <c r="F885" s="41"/>
      <c r="G885" s="16"/>
      <c r="H885" s="16"/>
      <c r="I885" s="16"/>
      <c r="J885" s="22"/>
      <c r="K885" s="16"/>
      <c r="L885" s="50"/>
      <c r="M885" s="16"/>
      <c r="N885" s="19"/>
      <c r="O885" s="19"/>
      <c r="P885" s="19"/>
      <c r="Q885" s="19"/>
      <c r="R885" s="19"/>
      <c r="S885" s="19"/>
      <c r="T885" s="19"/>
      <c r="U885" s="19"/>
      <c r="V885" s="19"/>
      <c r="W885" s="20"/>
      <c r="X885" s="43"/>
    </row>
    <row r="886" spans="1:24" ht="15.75" hidden="1" customHeight="1" x14ac:dyDescent="0.25">
      <c r="A886" s="16"/>
      <c r="B886" s="16" t="str">
        <f t="shared" si="4"/>
        <v/>
      </c>
      <c r="C886" s="16"/>
      <c r="D886" s="40"/>
      <c r="E886" s="16"/>
      <c r="F886" s="41"/>
      <c r="G886" s="16"/>
      <c r="H886" s="16"/>
      <c r="I886" s="16"/>
      <c r="J886" s="22"/>
      <c r="K886" s="16"/>
      <c r="L886" s="50"/>
      <c r="M886" s="16"/>
      <c r="N886" s="19"/>
      <c r="O886" s="19"/>
      <c r="P886" s="19"/>
      <c r="Q886" s="19"/>
      <c r="R886" s="19"/>
      <c r="S886" s="19"/>
      <c r="T886" s="19"/>
      <c r="U886" s="19"/>
      <c r="V886" s="19"/>
      <c r="W886" s="20"/>
      <c r="X886" s="43"/>
    </row>
    <row r="887" spans="1:24" ht="15.75" hidden="1" customHeight="1" x14ac:dyDescent="0.25">
      <c r="A887" s="16"/>
      <c r="B887" s="16" t="str">
        <f t="shared" si="4"/>
        <v/>
      </c>
      <c r="C887" s="16"/>
      <c r="D887" s="40"/>
      <c r="E887" s="16"/>
      <c r="F887" s="41"/>
      <c r="G887" s="16"/>
      <c r="H887" s="16"/>
      <c r="I887" s="16"/>
      <c r="J887" s="22"/>
      <c r="K887" s="16"/>
      <c r="L887" s="50"/>
      <c r="M887" s="16"/>
      <c r="N887" s="19"/>
      <c r="O887" s="19"/>
      <c r="P887" s="19"/>
      <c r="Q887" s="19"/>
      <c r="R887" s="19"/>
      <c r="S887" s="19"/>
      <c r="T887" s="19"/>
      <c r="U887" s="19"/>
      <c r="V887" s="19"/>
      <c r="W887" s="20"/>
      <c r="X887" s="43"/>
    </row>
    <row r="888" spans="1:24" ht="15.75" hidden="1" customHeight="1" x14ac:dyDescent="0.25">
      <c r="A888" s="16"/>
      <c r="B888" s="16" t="str">
        <f t="shared" si="4"/>
        <v/>
      </c>
      <c r="C888" s="16"/>
      <c r="D888" s="40"/>
      <c r="E888" s="16"/>
      <c r="F888" s="41"/>
      <c r="G888" s="16"/>
      <c r="H888" s="16"/>
      <c r="I888" s="16"/>
      <c r="J888" s="22"/>
      <c r="K888" s="16"/>
      <c r="L888" s="50"/>
      <c r="M888" s="16"/>
      <c r="N888" s="19"/>
      <c r="O888" s="19"/>
      <c r="P888" s="19"/>
      <c r="Q888" s="19"/>
      <c r="R888" s="19"/>
      <c r="S888" s="19"/>
      <c r="T888" s="19"/>
      <c r="U888" s="19"/>
      <c r="V888" s="19"/>
      <c r="W888" s="20"/>
      <c r="X888" s="43"/>
    </row>
    <row r="889" spans="1:24" ht="15.75" hidden="1" customHeight="1" x14ac:dyDescent="0.25">
      <c r="A889" s="16"/>
      <c r="B889" s="16" t="str">
        <f t="shared" si="4"/>
        <v/>
      </c>
      <c r="C889" s="16"/>
      <c r="D889" s="40"/>
      <c r="E889" s="16"/>
      <c r="F889" s="41"/>
      <c r="G889" s="16"/>
      <c r="H889" s="16"/>
      <c r="I889" s="16"/>
      <c r="J889" s="22"/>
      <c r="K889" s="16"/>
      <c r="L889" s="50"/>
      <c r="M889" s="16"/>
      <c r="N889" s="19"/>
      <c r="O889" s="19"/>
      <c r="P889" s="19"/>
      <c r="Q889" s="19"/>
      <c r="R889" s="19"/>
      <c r="S889" s="19"/>
      <c r="T889" s="19"/>
      <c r="U889" s="19"/>
      <c r="V889" s="19"/>
      <c r="W889" s="20"/>
      <c r="X889" s="43"/>
    </row>
    <row r="890" spans="1:24" ht="15.75" hidden="1" customHeight="1" x14ac:dyDescent="0.25">
      <c r="A890" s="16"/>
      <c r="B890" s="16" t="str">
        <f t="shared" si="4"/>
        <v/>
      </c>
      <c r="C890" s="16"/>
      <c r="D890" s="40"/>
      <c r="E890" s="16"/>
      <c r="F890" s="41"/>
      <c r="G890" s="16"/>
      <c r="H890" s="16"/>
      <c r="I890" s="16"/>
      <c r="J890" s="22"/>
      <c r="K890" s="16"/>
      <c r="L890" s="50"/>
      <c r="M890" s="16"/>
      <c r="N890" s="19"/>
      <c r="O890" s="19"/>
      <c r="P890" s="19"/>
      <c r="Q890" s="19"/>
      <c r="R890" s="19"/>
      <c r="S890" s="19"/>
      <c r="T890" s="19"/>
      <c r="U890" s="19"/>
      <c r="V890" s="19"/>
      <c r="W890" s="20"/>
      <c r="X890" s="43"/>
    </row>
    <row r="891" spans="1:24" ht="15.75" hidden="1" customHeight="1" x14ac:dyDescent="0.25">
      <c r="A891" s="16"/>
      <c r="B891" s="16" t="str">
        <f t="shared" si="4"/>
        <v/>
      </c>
      <c r="C891" s="16"/>
      <c r="D891" s="40"/>
      <c r="E891" s="16"/>
      <c r="F891" s="41"/>
      <c r="G891" s="16"/>
      <c r="H891" s="16"/>
      <c r="I891" s="16"/>
      <c r="J891" s="22"/>
      <c r="K891" s="16"/>
      <c r="L891" s="50"/>
      <c r="M891" s="16"/>
      <c r="N891" s="19"/>
      <c r="O891" s="19"/>
      <c r="P891" s="19"/>
      <c r="Q891" s="19"/>
      <c r="R891" s="19"/>
      <c r="S891" s="19"/>
      <c r="T891" s="19"/>
      <c r="U891" s="19"/>
      <c r="V891" s="19"/>
      <c r="W891" s="20"/>
      <c r="X891" s="43"/>
    </row>
    <row r="892" spans="1:24" ht="15.75" hidden="1" customHeight="1" x14ac:dyDescent="0.25">
      <c r="A892" s="16"/>
      <c r="B892" s="16" t="str">
        <f t="shared" si="4"/>
        <v/>
      </c>
      <c r="C892" s="16"/>
      <c r="D892" s="40"/>
      <c r="E892" s="16"/>
      <c r="F892" s="41"/>
      <c r="G892" s="16"/>
      <c r="H892" s="16"/>
      <c r="I892" s="16"/>
      <c r="J892" s="22"/>
      <c r="K892" s="16"/>
      <c r="L892" s="50"/>
      <c r="M892" s="16"/>
      <c r="N892" s="19"/>
      <c r="O892" s="19"/>
      <c r="P892" s="19"/>
      <c r="Q892" s="19"/>
      <c r="R892" s="19"/>
      <c r="S892" s="19"/>
      <c r="T892" s="19"/>
      <c r="U892" s="19"/>
      <c r="V892" s="19"/>
      <c r="W892" s="20"/>
      <c r="X892" s="43"/>
    </row>
    <row r="893" spans="1:24" ht="15.75" hidden="1" customHeight="1" x14ac:dyDescent="0.25">
      <c r="A893" s="16"/>
      <c r="B893" s="16" t="str">
        <f t="shared" si="4"/>
        <v/>
      </c>
      <c r="C893" s="16"/>
      <c r="D893" s="40"/>
      <c r="E893" s="16"/>
      <c r="F893" s="41"/>
      <c r="G893" s="16"/>
      <c r="H893" s="16"/>
      <c r="I893" s="16"/>
      <c r="J893" s="22"/>
      <c r="K893" s="16"/>
      <c r="L893" s="50"/>
      <c r="M893" s="16"/>
      <c r="N893" s="19"/>
      <c r="O893" s="19"/>
      <c r="P893" s="19"/>
      <c r="Q893" s="19"/>
      <c r="R893" s="19"/>
      <c r="S893" s="19"/>
      <c r="T893" s="19"/>
      <c r="U893" s="19"/>
      <c r="V893" s="19"/>
      <c r="W893" s="20"/>
      <c r="X893" s="43"/>
    </row>
    <row r="894" spans="1:24" ht="15.75" hidden="1" customHeight="1" x14ac:dyDescent="0.25">
      <c r="A894" s="16"/>
      <c r="B894" s="16" t="str">
        <f t="shared" si="4"/>
        <v/>
      </c>
      <c r="C894" s="16"/>
      <c r="D894" s="40"/>
      <c r="E894" s="16"/>
      <c r="F894" s="41"/>
      <c r="G894" s="16"/>
      <c r="H894" s="16"/>
      <c r="I894" s="16"/>
      <c r="J894" s="22"/>
      <c r="K894" s="16"/>
      <c r="L894" s="50"/>
      <c r="M894" s="16"/>
      <c r="N894" s="19"/>
      <c r="O894" s="19"/>
      <c r="P894" s="19"/>
      <c r="Q894" s="19"/>
      <c r="R894" s="19"/>
      <c r="S894" s="19"/>
      <c r="T894" s="19"/>
      <c r="U894" s="19"/>
      <c r="V894" s="19"/>
      <c r="W894" s="20"/>
      <c r="X894" s="43"/>
    </row>
    <row r="895" spans="1:24" ht="15.75" hidden="1" customHeight="1" x14ac:dyDescent="0.25">
      <c r="A895" s="16"/>
      <c r="B895" s="16" t="str">
        <f t="shared" si="4"/>
        <v/>
      </c>
      <c r="C895" s="16"/>
      <c r="D895" s="40"/>
      <c r="E895" s="16"/>
      <c r="F895" s="41"/>
      <c r="G895" s="16"/>
      <c r="H895" s="16"/>
      <c r="I895" s="16"/>
      <c r="J895" s="22"/>
      <c r="K895" s="16"/>
      <c r="L895" s="50"/>
      <c r="M895" s="16"/>
      <c r="N895" s="19"/>
      <c r="O895" s="19"/>
      <c r="P895" s="19"/>
      <c r="Q895" s="19"/>
      <c r="R895" s="19"/>
      <c r="S895" s="19"/>
      <c r="T895" s="19"/>
      <c r="U895" s="19"/>
      <c r="V895" s="19"/>
      <c r="W895" s="20"/>
      <c r="X895" s="43"/>
    </row>
    <row r="896" spans="1:24" ht="15.75" hidden="1" customHeight="1" x14ac:dyDescent="0.25">
      <c r="A896" s="16"/>
      <c r="B896" s="16" t="str">
        <f t="shared" si="4"/>
        <v/>
      </c>
      <c r="C896" s="16"/>
      <c r="D896" s="40"/>
      <c r="E896" s="16"/>
      <c r="F896" s="41"/>
      <c r="G896" s="16"/>
      <c r="H896" s="16"/>
      <c r="I896" s="16"/>
      <c r="J896" s="22"/>
      <c r="K896" s="16"/>
      <c r="L896" s="50"/>
      <c r="M896" s="16"/>
      <c r="N896" s="19"/>
      <c r="O896" s="19"/>
      <c r="P896" s="19"/>
      <c r="Q896" s="19"/>
      <c r="R896" s="19"/>
      <c r="S896" s="19"/>
      <c r="T896" s="19"/>
      <c r="U896" s="19"/>
      <c r="V896" s="19"/>
      <c r="W896" s="20"/>
      <c r="X896" s="43"/>
    </row>
    <row r="897" spans="1:24" ht="15.75" hidden="1" customHeight="1" x14ac:dyDescent="0.25">
      <c r="A897" s="16"/>
      <c r="B897" s="16" t="str">
        <f t="shared" si="4"/>
        <v/>
      </c>
      <c r="C897" s="16"/>
      <c r="D897" s="40"/>
      <c r="E897" s="16"/>
      <c r="F897" s="41"/>
      <c r="G897" s="16"/>
      <c r="H897" s="16"/>
      <c r="I897" s="16"/>
      <c r="J897" s="22"/>
      <c r="K897" s="16"/>
      <c r="L897" s="50"/>
      <c r="M897" s="16"/>
      <c r="N897" s="19"/>
      <c r="O897" s="19"/>
      <c r="P897" s="19"/>
      <c r="Q897" s="19"/>
      <c r="R897" s="19"/>
      <c r="S897" s="19"/>
      <c r="T897" s="19"/>
      <c r="U897" s="19"/>
      <c r="V897" s="19"/>
      <c r="W897" s="20"/>
      <c r="X897" s="43"/>
    </row>
    <row r="898" spans="1:24" ht="15.75" hidden="1" customHeight="1" x14ac:dyDescent="0.25">
      <c r="A898" s="16"/>
      <c r="B898" s="16" t="str">
        <f t="shared" si="4"/>
        <v/>
      </c>
      <c r="C898" s="16"/>
      <c r="D898" s="40"/>
      <c r="E898" s="16"/>
      <c r="F898" s="41"/>
      <c r="G898" s="16"/>
      <c r="H898" s="16"/>
      <c r="I898" s="16"/>
      <c r="J898" s="22"/>
      <c r="K898" s="16"/>
      <c r="L898" s="50"/>
      <c r="M898" s="16"/>
      <c r="N898" s="19"/>
      <c r="O898" s="19"/>
      <c r="P898" s="19"/>
      <c r="Q898" s="19"/>
      <c r="R898" s="19"/>
      <c r="S898" s="19"/>
      <c r="T898" s="19"/>
      <c r="U898" s="19"/>
      <c r="V898" s="19"/>
      <c r="W898" s="20"/>
      <c r="X898" s="43"/>
    </row>
    <row r="899" spans="1:24" ht="15.75" hidden="1" customHeight="1" x14ac:dyDescent="0.25">
      <c r="A899" s="16"/>
      <c r="B899" s="16" t="str">
        <f t="shared" si="4"/>
        <v/>
      </c>
      <c r="C899" s="16"/>
      <c r="D899" s="40"/>
      <c r="E899" s="16"/>
      <c r="F899" s="41"/>
      <c r="G899" s="16"/>
      <c r="H899" s="16"/>
      <c r="I899" s="16"/>
      <c r="J899" s="22"/>
      <c r="K899" s="16"/>
      <c r="L899" s="50"/>
      <c r="M899" s="16"/>
      <c r="N899" s="19"/>
      <c r="O899" s="19"/>
      <c r="P899" s="19"/>
      <c r="Q899" s="19"/>
      <c r="R899" s="19"/>
      <c r="S899" s="19"/>
      <c r="T899" s="19"/>
      <c r="U899" s="19"/>
      <c r="V899" s="19"/>
      <c r="W899" s="20"/>
      <c r="X899" s="43"/>
    </row>
    <row r="900" spans="1:24" ht="15.75" hidden="1" customHeight="1" x14ac:dyDescent="0.25">
      <c r="A900" s="16"/>
      <c r="B900" s="16" t="str">
        <f t="shared" si="4"/>
        <v/>
      </c>
      <c r="C900" s="16"/>
      <c r="D900" s="40"/>
      <c r="E900" s="16"/>
      <c r="F900" s="41"/>
      <c r="G900" s="16"/>
      <c r="H900" s="16"/>
      <c r="I900" s="16"/>
      <c r="J900" s="22"/>
      <c r="K900" s="16"/>
      <c r="L900" s="50"/>
      <c r="M900" s="16"/>
      <c r="N900" s="19"/>
      <c r="O900" s="19"/>
      <c r="P900" s="19"/>
      <c r="Q900" s="19"/>
      <c r="R900" s="19"/>
      <c r="S900" s="19"/>
      <c r="T900" s="19"/>
      <c r="U900" s="19"/>
      <c r="V900" s="19"/>
      <c r="W900" s="20"/>
      <c r="X900" s="43"/>
    </row>
    <row r="901" spans="1:24" ht="15.75" hidden="1" customHeight="1" x14ac:dyDescent="0.25">
      <c r="A901" s="16"/>
      <c r="B901" s="16" t="str">
        <f t="shared" si="4"/>
        <v/>
      </c>
      <c r="C901" s="16"/>
      <c r="D901" s="40"/>
      <c r="E901" s="16"/>
      <c r="F901" s="41"/>
      <c r="G901" s="16"/>
      <c r="H901" s="16"/>
      <c r="I901" s="16"/>
      <c r="J901" s="22"/>
      <c r="K901" s="16"/>
      <c r="L901" s="50"/>
      <c r="M901" s="16"/>
      <c r="N901" s="19"/>
      <c r="O901" s="19"/>
      <c r="P901" s="19"/>
      <c r="Q901" s="19"/>
      <c r="R901" s="19"/>
      <c r="S901" s="19"/>
      <c r="T901" s="19"/>
      <c r="U901" s="19"/>
      <c r="V901" s="19"/>
      <c r="W901" s="20"/>
      <c r="X901" s="43"/>
    </row>
    <row r="902" spans="1:24" ht="15.75" hidden="1" customHeight="1" x14ac:dyDescent="0.25">
      <c r="A902" s="16"/>
      <c r="B902" s="16" t="str">
        <f t="shared" si="4"/>
        <v/>
      </c>
      <c r="C902" s="16"/>
      <c r="D902" s="40"/>
      <c r="E902" s="16"/>
      <c r="F902" s="41"/>
      <c r="G902" s="16"/>
      <c r="H902" s="16"/>
      <c r="I902" s="16"/>
      <c r="J902" s="22"/>
      <c r="K902" s="16"/>
      <c r="L902" s="50"/>
      <c r="M902" s="16"/>
      <c r="N902" s="19"/>
      <c r="O902" s="19"/>
      <c r="P902" s="19"/>
      <c r="Q902" s="19"/>
      <c r="R902" s="19"/>
      <c r="S902" s="19"/>
      <c r="T902" s="19"/>
      <c r="U902" s="19"/>
      <c r="V902" s="19"/>
      <c r="W902" s="20"/>
      <c r="X902" s="43"/>
    </row>
    <row r="903" spans="1:24" ht="15.75" hidden="1" customHeight="1" x14ac:dyDescent="0.25">
      <c r="A903" s="16"/>
      <c r="B903" s="16" t="str">
        <f t="shared" si="4"/>
        <v/>
      </c>
      <c r="C903" s="16"/>
      <c r="D903" s="40"/>
      <c r="E903" s="16"/>
      <c r="F903" s="41"/>
      <c r="G903" s="16"/>
      <c r="H903" s="16"/>
      <c r="I903" s="16"/>
      <c r="J903" s="22"/>
      <c r="K903" s="16"/>
      <c r="L903" s="50"/>
      <c r="M903" s="16"/>
      <c r="N903" s="19"/>
      <c r="O903" s="19"/>
      <c r="P903" s="19"/>
      <c r="Q903" s="19"/>
      <c r="R903" s="19"/>
      <c r="S903" s="19"/>
      <c r="T903" s="19"/>
      <c r="U903" s="19"/>
      <c r="V903" s="19"/>
      <c r="W903" s="20"/>
      <c r="X903" s="43"/>
    </row>
    <row r="904" spans="1:24" ht="15.75" hidden="1" customHeight="1" x14ac:dyDescent="0.25">
      <c r="A904" s="16"/>
      <c r="B904" s="16" t="str">
        <f t="shared" si="4"/>
        <v/>
      </c>
      <c r="C904" s="16"/>
      <c r="D904" s="40"/>
      <c r="E904" s="16"/>
      <c r="F904" s="41"/>
      <c r="G904" s="16"/>
      <c r="H904" s="16"/>
      <c r="I904" s="16"/>
      <c r="J904" s="22"/>
      <c r="K904" s="16"/>
      <c r="L904" s="50"/>
      <c r="M904" s="16"/>
      <c r="N904" s="19"/>
      <c r="O904" s="19"/>
      <c r="P904" s="19"/>
      <c r="Q904" s="19"/>
      <c r="R904" s="19"/>
      <c r="S904" s="19"/>
      <c r="T904" s="19"/>
      <c r="U904" s="19"/>
      <c r="V904" s="19"/>
      <c r="W904" s="20"/>
      <c r="X904" s="43"/>
    </row>
    <row r="905" spans="1:24" ht="15.75" hidden="1" customHeight="1" x14ac:dyDescent="0.25">
      <c r="A905" s="16"/>
      <c r="B905" s="16" t="str">
        <f t="shared" si="4"/>
        <v/>
      </c>
      <c r="C905" s="16"/>
      <c r="D905" s="40"/>
      <c r="E905" s="16"/>
      <c r="F905" s="41"/>
      <c r="G905" s="16"/>
      <c r="H905" s="16"/>
      <c r="I905" s="16"/>
      <c r="J905" s="22"/>
      <c r="K905" s="16"/>
      <c r="L905" s="50"/>
      <c r="M905" s="16"/>
      <c r="N905" s="19"/>
      <c r="O905" s="19"/>
      <c r="P905" s="19"/>
      <c r="Q905" s="19"/>
      <c r="R905" s="19"/>
      <c r="S905" s="19"/>
      <c r="T905" s="19"/>
      <c r="U905" s="19"/>
      <c r="V905" s="19"/>
      <c r="W905" s="20"/>
      <c r="X905" s="43"/>
    </row>
    <row r="906" spans="1:24" ht="15.75" hidden="1" customHeight="1" x14ac:dyDescent="0.25">
      <c r="A906" s="16"/>
      <c r="B906" s="16" t="str">
        <f t="shared" si="4"/>
        <v/>
      </c>
      <c r="C906" s="16"/>
      <c r="D906" s="40"/>
      <c r="E906" s="16"/>
      <c r="F906" s="41"/>
      <c r="G906" s="16"/>
      <c r="H906" s="16"/>
      <c r="I906" s="16"/>
      <c r="J906" s="22"/>
      <c r="K906" s="16"/>
      <c r="L906" s="50"/>
      <c r="M906" s="16"/>
      <c r="N906" s="19"/>
      <c r="O906" s="19"/>
      <c r="P906" s="19"/>
      <c r="Q906" s="19"/>
      <c r="R906" s="19"/>
      <c r="S906" s="19"/>
      <c r="T906" s="19"/>
      <c r="U906" s="19"/>
      <c r="V906" s="19"/>
      <c r="W906" s="20"/>
      <c r="X906" s="43"/>
    </row>
    <row r="907" spans="1:24" ht="15.75" hidden="1" customHeight="1" x14ac:dyDescent="0.25">
      <c r="A907" s="16"/>
      <c r="B907" s="16" t="str">
        <f t="shared" si="4"/>
        <v/>
      </c>
      <c r="C907" s="16"/>
      <c r="D907" s="40"/>
      <c r="E907" s="16"/>
      <c r="F907" s="41"/>
      <c r="G907" s="16"/>
      <c r="H907" s="16"/>
      <c r="I907" s="16"/>
      <c r="J907" s="22"/>
      <c r="K907" s="16"/>
      <c r="L907" s="50"/>
      <c r="M907" s="16"/>
      <c r="N907" s="19"/>
      <c r="O907" s="19"/>
      <c r="P907" s="19"/>
      <c r="Q907" s="19"/>
      <c r="R907" s="19"/>
      <c r="S907" s="19"/>
      <c r="T907" s="19"/>
      <c r="U907" s="19"/>
      <c r="V907" s="19"/>
      <c r="W907" s="20"/>
      <c r="X907" s="43"/>
    </row>
    <row r="908" spans="1:24" ht="15.75" hidden="1" customHeight="1" x14ac:dyDescent="0.25">
      <c r="A908" s="16"/>
      <c r="B908" s="16" t="str">
        <f t="shared" si="4"/>
        <v/>
      </c>
      <c r="C908" s="16"/>
      <c r="D908" s="40"/>
      <c r="E908" s="16"/>
      <c r="F908" s="41"/>
      <c r="G908" s="16"/>
      <c r="H908" s="16"/>
      <c r="I908" s="16"/>
      <c r="J908" s="22"/>
      <c r="K908" s="16"/>
      <c r="L908" s="50"/>
      <c r="M908" s="16"/>
      <c r="N908" s="19"/>
      <c r="O908" s="19"/>
      <c r="P908" s="19"/>
      <c r="Q908" s="19"/>
      <c r="R908" s="19"/>
      <c r="S908" s="19"/>
      <c r="T908" s="19"/>
      <c r="U908" s="19"/>
      <c r="V908" s="19"/>
      <c r="W908" s="20"/>
      <c r="X908" s="43"/>
    </row>
    <row r="909" spans="1:24" ht="15.75" hidden="1" customHeight="1" x14ac:dyDescent="0.25">
      <c r="A909" s="16"/>
      <c r="B909" s="16" t="str">
        <f t="shared" si="4"/>
        <v/>
      </c>
      <c r="C909" s="16"/>
      <c r="D909" s="40"/>
      <c r="E909" s="16"/>
      <c r="F909" s="41"/>
      <c r="G909" s="16"/>
      <c r="H909" s="16"/>
      <c r="I909" s="16"/>
      <c r="J909" s="22"/>
      <c r="K909" s="16"/>
      <c r="L909" s="50"/>
      <c r="M909" s="16"/>
      <c r="N909" s="19"/>
      <c r="O909" s="19"/>
      <c r="P909" s="19"/>
      <c r="Q909" s="19"/>
      <c r="R909" s="19"/>
      <c r="S909" s="19"/>
      <c r="T909" s="19"/>
      <c r="U909" s="19"/>
      <c r="V909" s="19"/>
      <c r="W909" s="20"/>
      <c r="X909" s="43"/>
    </row>
    <row r="910" spans="1:24" ht="15.75" hidden="1" customHeight="1" x14ac:dyDescent="0.25">
      <c r="A910" s="16"/>
      <c r="B910" s="16" t="str">
        <f t="shared" si="4"/>
        <v/>
      </c>
      <c r="C910" s="16"/>
      <c r="D910" s="40"/>
      <c r="E910" s="16"/>
      <c r="F910" s="41"/>
      <c r="G910" s="16"/>
      <c r="H910" s="16"/>
      <c r="I910" s="16"/>
      <c r="J910" s="22"/>
      <c r="K910" s="16"/>
      <c r="L910" s="50"/>
      <c r="M910" s="16"/>
      <c r="N910" s="19"/>
      <c r="O910" s="19"/>
      <c r="P910" s="19"/>
      <c r="Q910" s="19"/>
      <c r="R910" s="19"/>
      <c r="S910" s="19"/>
      <c r="T910" s="19"/>
      <c r="U910" s="19"/>
      <c r="V910" s="19"/>
      <c r="W910" s="20"/>
      <c r="X910" s="43"/>
    </row>
    <row r="911" spans="1:24" ht="15.75" hidden="1" customHeight="1" x14ac:dyDescent="0.25">
      <c r="A911" s="16"/>
      <c r="B911" s="16" t="str">
        <f t="shared" si="4"/>
        <v/>
      </c>
      <c r="C911" s="16"/>
      <c r="D911" s="40"/>
      <c r="E911" s="16"/>
      <c r="F911" s="41"/>
      <c r="G911" s="16"/>
      <c r="H911" s="16"/>
      <c r="I911" s="16"/>
      <c r="J911" s="22"/>
      <c r="K911" s="16"/>
      <c r="L911" s="50"/>
      <c r="M911" s="16"/>
      <c r="N911" s="19"/>
      <c r="O911" s="19"/>
      <c r="P911" s="19"/>
      <c r="Q911" s="19"/>
      <c r="R911" s="19"/>
      <c r="S911" s="19"/>
      <c r="T911" s="19"/>
      <c r="U911" s="19"/>
      <c r="V911" s="19"/>
      <c r="W911" s="20"/>
      <c r="X911" s="43"/>
    </row>
    <row r="912" spans="1:24" ht="15.75" hidden="1" customHeight="1" x14ac:dyDescent="0.25">
      <c r="A912" s="16"/>
      <c r="B912" s="16" t="str">
        <f t="shared" si="4"/>
        <v/>
      </c>
      <c r="C912" s="16"/>
      <c r="D912" s="40"/>
      <c r="E912" s="16"/>
      <c r="F912" s="41"/>
      <c r="G912" s="16"/>
      <c r="H912" s="16"/>
      <c r="I912" s="16"/>
      <c r="J912" s="22"/>
      <c r="K912" s="16"/>
      <c r="L912" s="50"/>
      <c r="M912" s="16"/>
      <c r="N912" s="19"/>
      <c r="O912" s="19"/>
      <c r="P912" s="19"/>
      <c r="Q912" s="19"/>
      <c r="R912" s="19"/>
      <c r="S912" s="19"/>
      <c r="T912" s="19"/>
      <c r="U912" s="19"/>
      <c r="V912" s="19"/>
      <c r="W912" s="20"/>
      <c r="X912" s="43"/>
    </row>
    <row r="913" spans="1:24" ht="15.75" hidden="1" customHeight="1" x14ac:dyDescent="0.25">
      <c r="A913" s="16"/>
      <c r="B913" s="16" t="str">
        <f t="shared" si="4"/>
        <v/>
      </c>
      <c r="C913" s="16"/>
      <c r="D913" s="40"/>
      <c r="E913" s="16"/>
      <c r="F913" s="41"/>
      <c r="G913" s="16"/>
      <c r="H913" s="16"/>
      <c r="I913" s="16"/>
      <c r="J913" s="22"/>
      <c r="K913" s="16"/>
      <c r="L913" s="50"/>
      <c r="M913" s="16"/>
      <c r="N913" s="19"/>
      <c r="O913" s="19"/>
      <c r="P913" s="19"/>
      <c r="Q913" s="19"/>
      <c r="R913" s="19"/>
      <c r="S913" s="19"/>
      <c r="T913" s="19"/>
      <c r="U913" s="19"/>
      <c r="V913" s="19"/>
      <c r="W913" s="20"/>
      <c r="X913" s="43"/>
    </row>
    <row r="914" spans="1:24" ht="15.75" hidden="1" customHeight="1" x14ac:dyDescent="0.25">
      <c r="A914" s="16"/>
      <c r="B914" s="16" t="str">
        <f t="shared" si="4"/>
        <v/>
      </c>
      <c r="C914" s="16"/>
      <c r="D914" s="40"/>
      <c r="E914" s="16"/>
      <c r="F914" s="41"/>
      <c r="G914" s="16"/>
      <c r="H914" s="16"/>
      <c r="I914" s="16"/>
      <c r="J914" s="22"/>
      <c r="K914" s="16"/>
      <c r="L914" s="50"/>
      <c r="M914" s="16"/>
      <c r="N914" s="19"/>
      <c r="O914" s="19"/>
      <c r="P914" s="19"/>
      <c r="Q914" s="19"/>
      <c r="R914" s="19"/>
      <c r="S914" s="19"/>
      <c r="T914" s="19"/>
      <c r="U914" s="19"/>
      <c r="V914" s="19"/>
      <c r="W914" s="20"/>
      <c r="X914" s="43"/>
    </row>
    <row r="915" spans="1:24" ht="15.75" hidden="1" customHeight="1" x14ac:dyDescent="0.25">
      <c r="A915" s="16"/>
      <c r="B915" s="16" t="str">
        <f t="shared" si="4"/>
        <v/>
      </c>
      <c r="C915" s="16"/>
      <c r="D915" s="40"/>
      <c r="E915" s="16"/>
      <c r="F915" s="41"/>
      <c r="G915" s="16"/>
      <c r="H915" s="16"/>
      <c r="I915" s="16"/>
      <c r="J915" s="22"/>
      <c r="K915" s="16"/>
      <c r="L915" s="50"/>
      <c r="M915" s="16"/>
      <c r="N915" s="19"/>
      <c r="O915" s="19"/>
      <c r="P915" s="19"/>
      <c r="Q915" s="19"/>
      <c r="R915" s="19"/>
      <c r="S915" s="19"/>
      <c r="T915" s="19"/>
      <c r="U915" s="19"/>
      <c r="V915" s="19"/>
      <c r="W915" s="20"/>
      <c r="X915" s="43"/>
    </row>
    <row r="916" spans="1:24" ht="15.75" hidden="1" customHeight="1" x14ac:dyDescent="0.25">
      <c r="A916" s="16"/>
      <c r="B916" s="16" t="str">
        <f t="shared" si="4"/>
        <v/>
      </c>
      <c r="C916" s="16"/>
      <c r="D916" s="40"/>
      <c r="E916" s="16"/>
      <c r="F916" s="41"/>
      <c r="G916" s="16"/>
      <c r="H916" s="16"/>
      <c r="I916" s="16"/>
      <c r="J916" s="22"/>
      <c r="K916" s="16"/>
      <c r="L916" s="50"/>
      <c r="M916" s="16"/>
      <c r="N916" s="19"/>
      <c r="O916" s="19"/>
      <c r="P916" s="19"/>
      <c r="Q916" s="19"/>
      <c r="R916" s="19"/>
      <c r="S916" s="19"/>
      <c r="T916" s="19"/>
      <c r="U916" s="19"/>
      <c r="V916" s="19"/>
      <c r="W916" s="20"/>
      <c r="X916" s="43"/>
    </row>
    <row r="917" spans="1:24" ht="15.75" hidden="1" customHeight="1" x14ac:dyDescent="0.25">
      <c r="A917" s="16"/>
      <c r="B917" s="16" t="str">
        <f t="shared" si="4"/>
        <v/>
      </c>
      <c r="C917" s="16"/>
      <c r="D917" s="40"/>
      <c r="E917" s="16"/>
      <c r="F917" s="41"/>
      <c r="G917" s="16"/>
      <c r="H917" s="16"/>
      <c r="I917" s="16"/>
      <c r="J917" s="22"/>
      <c r="K917" s="16"/>
      <c r="L917" s="50"/>
      <c r="M917" s="16"/>
      <c r="N917" s="19"/>
      <c r="O917" s="19"/>
      <c r="P917" s="19"/>
      <c r="Q917" s="19"/>
      <c r="R917" s="19"/>
      <c r="S917" s="19"/>
      <c r="T917" s="19"/>
      <c r="U917" s="19"/>
      <c r="V917" s="19"/>
      <c r="W917" s="20"/>
      <c r="X917" s="43"/>
    </row>
    <row r="918" spans="1:24" ht="15.75" hidden="1" customHeight="1" x14ac:dyDescent="0.25">
      <c r="A918" s="16"/>
      <c r="B918" s="16" t="str">
        <f t="shared" si="4"/>
        <v/>
      </c>
      <c r="C918" s="16"/>
      <c r="D918" s="40"/>
      <c r="E918" s="16"/>
      <c r="F918" s="41"/>
      <c r="G918" s="16"/>
      <c r="H918" s="16"/>
      <c r="I918" s="16"/>
      <c r="J918" s="22"/>
      <c r="K918" s="16"/>
      <c r="L918" s="50"/>
      <c r="M918" s="16"/>
      <c r="N918" s="19"/>
      <c r="O918" s="19"/>
      <c r="P918" s="19"/>
      <c r="Q918" s="19"/>
      <c r="R918" s="19"/>
      <c r="S918" s="19"/>
      <c r="T918" s="19"/>
      <c r="U918" s="19"/>
      <c r="V918" s="19"/>
      <c r="W918" s="20"/>
      <c r="X918" s="43"/>
    </row>
    <row r="919" spans="1:24" ht="15.75" hidden="1" customHeight="1" x14ac:dyDescent="0.25">
      <c r="A919" s="16"/>
      <c r="B919" s="16" t="str">
        <f t="shared" si="4"/>
        <v/>
      </c>
      <c r="C919" s="16"/>
      <c r="D919" s="40"/>
      <c r="E919" s="16"/>
      <c r="F919" s="41"/>
      <c r="G919" s="16"/>
      <c r="H919" s="16"/>
      <c r="I919" s="16"/>
      <c r="J919" s="22"/>
      <c r="K919" s="16"/>
      <c r="L919" s="50"/>
      <c r="M919" s="16"/>
      <c r="N919" s="19"/>
      <c r="O919" s="19"/>
      <c r="P919" s="19"/>
      <c r="Q919" s="19"/>
      <c r="R919" s="19"/>
      <c r="S919" s="19"/>
      <c r="T919" s="19"/>
      <c r="U919" s="19"/>
      <c r="V919" s="19"/>
      <c r="W919" s="20"/>
      <c r="X919" s="43"/>
    </row>
    <row r="920" spans="1:24" ht="15.75" hidden="1" customHeight="1" x14ac:dyDescent="0.25">
      <c r="A920" s="16"/>
      <c r="B920" s="16" t="str">
        <f t="shared" si="4"/>
        <v/>
      </c>
      <c r="C920" s="16"/>
      <c r="D920" s="40"/>
      <c r="E920" s="16"/>
      <c r="F920" s="41"/>
      <c r="G920" s="16"/>
      <c r="H920" s="16"/>
      <c r="I920" s="16"/>
      <c r="J920" s="22"/>
      <c r="K920" s="16"/>
      <c r="L920" s="50"/>
      <c r="M920" s="16"/>
      <c r="N920" s="19"/>
      <c r="O920" s="19"/>
      <c r="P920" s="19"/>
      <c r="Q920" s="19"/>
      <c r="R920" s="19"/>
      <c r="S920" s="19"/>
      <c r="T920" s="19"/>
      <c r="U920" s="19"/>
      <c r="V920" s="19"/>
      <c r="W920" s="20"/>
      <c r="X920" s="43"/>
    </row>
    <row r="921" spans="1:24" ht="15.75" hidden="1" customHeight="1" x14ac:dyDescent="0.25">
      <c r="A921" s="16"/>
      <c r="B921" s="16" t="str">
        <f t="shared" si="4"/>
        <v/>
      </c>
      <c r="C921" s="16"/>
      <c r="D921" s="40"/>
      <c r="E921" s="16"/>
      <c r="F921" s="41"/>
      <c r="G921" s="16"/>
      <c r="H921" s="16"/>
      <c r="I921" s="16"/>
      <c r="J921" s="22"/>
      <c r="K921" s="16"/>
      <c r="L921" s="50"/>
      <c r="M921" s="16"/>
      <c r="N921" s="19"/>
      <c r="O921" s="19"/>
      <c r="P921" s="19"/>
      <c r="Q921" s="19"/>
      <c r="R921" s="19"/>
      <c r="S921" s="19"/>
      <c r="T921" s="19"/>
      <c r="U921" s="19"/>
      <c r="V921" s="19"/>
      <c r="W921" s="20"/>
      <c r="X921" s="43"/>
    </row>
    <row r="922" spans="1:24" ht="15.75" hidden="1" customHeight="1" x14ac:dyDescent="0.25">
      <c r="A922" s="16"/>
      <c r="B922" s="16" t="str">
        <f t="shared" si="4"/>
        <v/>
      </c>
      <c r="C922" s="16"/>
      <c r="D922" s="40"/>
      <c r="E922" s="16"/>
      <c r="F922" s="41"/>
      <c r="G922" s="16"/>
      <c r="H922" s="16"/>
      <c r="I922" s="16"/>
      <c r="J922" s="22"/>
      <c r="K922" s="16"/>
      <c r="L922" s="50"/>
      <c r="M922" s="16"/>
      <c r="N922" s="19"/>
      <c r="O922" s="19"/>
      <c r="P922" s="19"/>
      <c r="Q922" s="19"/>
      <c r="R922" s="19"/>
      <c r="S922" s="19"/>
      <c r="T922" s="19"/>
      <c r="U922" s="19"/>
      <c r="V922" s="19"/>
      <c r="W922" s="20"/>
      <c r="X922" s="43"/>
    </row>
    <row r="923" spans="1:24" ht="15.75" hidden="1" customHeight="1" x14ac:dyDescent="0.25">
      <c r="A923" s="16"/>
      <c r="B923" s="16" t="str">
        <f t="shared" si="4"/>
        <v/>
      </c>
      <c r="C923" s="16"/>
      <c r="D923" s="40"/>
      <c r="E923" s="16"/>
      <c r="F923" s="41"/>
      <c r="G923" s="16"/>
      <c r="H923" s="16"/>
      <c r="I923" s="16"/>
      <c r="J923" s="22"/>
      <c r="K923" s="16"/>
      <c r="L923" s="50"/>
      <c r="M923" s="16"/>
      <c r="N923" s="19"/>
      <c r="O923" s="19"/>
      <c r="P923" s="19"/>
      <c r="Q923" s="19"/>
      <c r="R923" s="19"/>
      <c r="S923" s="19"/>
      <c r="T923" s="19"/>
      <c r="U923" s="19"/>
      <c r="V923" s="19"/>
      <c r="W923" s="20"/>
      <c r="X923" s="43"/>
    </row>
    <row r="924" spans="1:24" ht="15.75" hidden="1" customHeight="1" x14ac:dyDescent="0.25">
      <c r="A924" s="16"/>
      <c r="B924" s="16" t="str">
        <f t="shared" si="4"/>
        <v/>
      </c>
      <c r="C924" s="16"/>
      <c r="D924" s="40"/>
      <c r="E924" s="16"/>
      <c r="F924" s="41"/>
      <c r="G924" s="16"/>
      <c r="H924" s="16"/>
      <c r="I924" s="16"/>
      <c r="J924" s="22"/>
      <c r="K924" s="16"/>
      <c r="L924" s="50"/>
      <c r="M924" s="16"/>
      <c r="N924" s="19"/>
      <c r="O924" s="19"/>
      <c r="P924" s="19"/>
      <c r="Q924" s="19"/>
      <c r="R924" s="19"/>
      <c r="S924" s="19"/>
      <c r="T924" s="19"/>
      <c r="U924" s="19"/>
      <c r="V924" s="19"/>
      <c r="W924" s="20"/>
      <c r="X924" s="43"/>
    </row>
    <row r="925" spans="1:24" ht="15.75" hidden="1" customHeight="1" x14ac:dyDescent="0.25">
      <c r="A925" s="16"/>
      <c r="B925" s="16" t="str">
        <f t="shared" si="4"/>
        <v/>
      </c>
      <c r="C925" s="16"/>
      <c r="D925" s="40"/>
      <c r="E925" s="16"/>
      <c r="F925" s="41"/>
      <c r="G925" s="16"/>
      <c r="H925" s="16"/>
      <c r="I925" s="16"/>
      <c r="J925" s="22"/>
      <c r="K925" s="16"/>
      <c r="L925" s="50"/>
      <c r="M925" s="16"/>
      <c r="N925" s="19"/>
      <c r="O925" s="19"/>
      <c r="P925" s="19"/>
      <c r="Q925" s="19"/>
      <c r="R925" s="19"/>
      <c r="S925" s="19"/>
      <c r="T925" s="19"/>
      <c r="U925" s="19"/>
      <c r="V925" s="19"/>
      <c r="W925" s="20"/>
      <c r="X925" s="43"/>
    </row>
    <row r="926" spans="1:24" ht="15.75" hidden="1" customHeight="1" x14ac:dyDescent="0.25">
      <c r="A926" s="16"/>
      <c r="B926" s="16" t="str">
        <f t="shared" si="4"/>
        <v/>
      </c>
      <c r="C926" s="16"/>
      <c r="D926" s="40"/>
      <c r="E926" s="16"/>
      <c r="F926" s="41"/>
      <c r="G926" s="16"/>
      <c r="H926" s="16"/>
      <c r="I926" s="16"/>
      <c r="J926" s="22"/>
      <c r="K926" s="16"/>
      <c r="L926" s="50"/>
      <c r="M926" s="16"/>
      <c r="N926" s="19"/>
      <c r="O926" s="19"/>
      <c r="P926" s="19"/>
      <c r="Q926" s="19"/>
      <c r="R926" s="19"/>
      <c r="S926" s="19"/>
      <c r="T926" s="19"/>
      <c r="U926" s="19"/>
      <c r="V926" s="19"/>
      <c r="W926" s="20"/>
      <c r="X926" s="43"/>
    </row>
    <row r="927" spans="1:24" ht="15.75" hidden="1" customHeight="1" x14ac:dyDescent="0.25">
      <c r="A927" s="16"/>
      <c r="B927" s="16" t="str">
        <f t="shared" si="4"/>
        <v/>
      </c>
      <c r="C927" s="16"/>
      <c r="D927" s="40"/>
      <c r="E927" s="16"/>
      <c r="F927" s="41"/>
      <c r="G927" s="16"/>
      <c r="H927" s="16"/>
      <c r="I927" s="16"/>
      <c r="J927" s="22"/>
      <c r="K927" s="16"/>
      <c r="L927" s="50"/>
      <c r="M927" s="16"/>
      <c r="N927" s="19"/>
      <c r="O927" s="19"/>
      <c r="P927" s="19"/>
      <c r="Q927" s="19"/>
      <c r="R927" s="19"/>
      <c r="S927" s="19"/>
      <c r="T927" s="19"/>
      <c r="U927" s="19"/>
      <c r="V927" s="19"/>
      <c r="W927" s="20"/>
      <c r="X927" s="43"/>
    </row>
    <row r="928" spans="1:24" ht="15.75" hidden="1" customHeight="1" x14ac:dyDescent="0.25">
      <c r="A928" s="16"/>
      <c r="B928" s="16" t="str">
        <f t="shared" si="4"/>
        <v/>
      </c>
      <c r="C928" s="16"/>
      <c r="D928" s="40"/>
      <c r="E928" s="16"/>
      <c r="F928" s="41"/>
      <c r="G928" s="16"/>
      <c r="H928" s="16"/>
      <c r="I928" s="16"/>
      <c r="J928" s="22"/>
      <c r="K928" s="16"/>
      <c r="L928" s="50"/>
      <c r="M928" s="16"/>
      <c r="N928" s="19"/>
      <c r="O928" s="19"/>
      <c r="P928" s="19"/>
      <c r="Q928" s="19"/>
      <c r="R928" s="19"/>
      <c r="S928" s="19"/>
      <c r="T928" s="19"/>
      <c r="U928" s="19"/>
      <c r="V928" s="19"/>
      <c r="W928" s="20"/>
      <c r="X928" s="43"/>
    </row>
    <row r="929" spans="1:24" ht="15.75" hidden="1" customHeight="1" x14ac:dyDescent="0.25">
      <c r="A929" s="16"/>
      <c r="B929" s="16" t="str">
        <f t="shared" si="4"/>
        <v/>
      </c>
      <c r="C929" s="16"/>
      <c r="D929" s="40"/>
      <c r="E929" s="16"/>
      <c r="F929" s="41"/>
      <c r="G929" s="16"/>
      <c r="H929" s="16"/>
      <c r="I929" s="16"/>
      <c r="J929" s="22"/>
      <c r="K929" s="16"/>
      <c r="L929" s="50"/>
      <c r="M929" s="16"/>
      <c r="N929" s="19"/>
      <c r="O929" s="19"/>
      <c r="P929" s="19"/>
      <c r="Q929" s="19"/>
      <c r="R929" s="19"/>
      <c r="S929" s="19"/>
      <c r="T929" s="19"/>
      <c r="U929" s="19"/>
      <c r="V929" s="19"/>
      <c r="W929" s="20"/>
      <c r="X929" s="43"/>
    </row>
    <row r="930" spans="1:24" ht="15.75" hidden="1" customHeight="1" x14ac:dyDescent="0.25">
      <c r="A930" s="16"/>
      <c r="B930" s="16" t="str">
        <f t="shared" si="4"/>
        <v/>
      </c>
      <c r="C930" s="16"/>
      <c r="D930" s="40"/>
      <c r="E930" s="16"/>
      <c r="F930" s="41"/>
      <c r="G930" s="16"/>
      <c r="H930" s="16"/>
      <c r="I930" s="16"/>
      <c r="J930" s="22"/>
      <c r="K930" s="16"/>
      <c r="L930" s="50"/>
      <c r="M930" s="16"/>
      <c r="N930" s="19"/>
      <c r="O930" s="19"/>
      <c r="P930" s="19"/>
      <c r="Q930" s="19"/>
      <c r="R930" s="19"/>
      <c r="S930" s="19"/>
      <c r="T930" s="19"/>
      <c r="U930" s="19"/>
      <c r="V930" s="19"/>
      <c r="W930" s="20"/>
      <c r="X930" s="43"/>
    </row>
    <row r="931" spans="1:24" ht="15.75" hidden="1" customHeight="1" x14ac:dyDescent="0.25">
      <c r="A931" s="16"/>
      <c r="B931" s="16" t="str">
        <f t="shared" si="4"/>
        <v/>
      </c>
      <c r="C931" s="16"/>
      <c r="D931" s="40"/>
      <c r="E931" s="16"/>
      <c r="F931" s="41"/>
      <c r="G931" s="16"/>
      <c r="H931" s="16"/>
      <c r="I931" s="16"/>
      <c r="J931" s="22"/>
      <c r="K931" s="16"/>
      <c r="L931" s="50"/>
      <c r="M931" s="16"/>
      <c r="N931" s="19"/>
      <c r="O931" s="19"/>
      <c r="P931" s="19"/>
      <c r="Q931" s="19"/>
      <c r="R931" s="19"/>
      <c r="S931" s="19"/>
      <c r="T931" s="19"/>
      <c r="U931" s="19"/>
      <c r="V931" s="19"/>
      <c r="W931" s="20"/>
      <c r="X931" s="43"/>
    </row>
    <row r="932" spans="1:24" ht="15.75" hidden="1" customHeight="1" x14ac:dyDescent="0.25">
      <c r="A932" s="16"/>
      <c r="B932" s="16" t="str">
        <f t="shared" si="4"/>
        <v/>
      </c>
      <c r="C932" s="16"/>
      <c r="D932" s="40"/>
      <c r="E932" s="16"/>
      <c r="F932" s="41"/>
      <c r="G932" s="16"/>
      <c r="H932" s="16"/>
      <c r="I932" s="16"/>
      <c r="J932" s="22"/>
      <c r="K932" s="16"/>
      <c r="L932" s="50"/>
      <c r="M932" s="16"/>
      <c r="N932" s="19"/>
      <c r="O932" s="19"/>
      <c r="P932" s="19"/>
      <c r="Q932" s="19"/>
      <c r="R932" s="19"/>
      <c r="S932" s="19"/>
      <c r="T932" s="19"/>
      <c r="U932" s="19"/>
      <c r="V932" s="19"/>
      <c r="W932" s="20"/>
      <c r="X932" s="43"/>
    </row>
    <row r="933" spans="1:24" ht="15.75" hidden="1" customHeight="1" x14ac:dyDescent="0.25">
      <c r="A933" s="16"/>
      <c r="B933" s="16" t="str">
        <f t="shared" si="4"/>
        <v/>
      </c>
      <c r="C933" s="16"/>
      <c r="D933" s="40"/>
      <c r="E933" s="16"/>
      <c r="F933" s="41"/>
      <c r="G933" s="16"/>
      <c r="H933" s="16"/>
      <c r="I933" s="16"/>
      <c r="J933" s="22"/>
      <c r="K933" s="16"/>
      <c r="L933" s="50"/>
      <c r="M933" s="16"/>
      <c r="N933" s="19"/>
      <c r="O933" s="19"/>
      <c r="P933" s="19"/>
      <c r="Q933" s="19"/>
      <c r="R933" s="19"/>
      <c r="S933" s="19"/>
      <c r="T933" s="19"/>
      <c r="U933" s="19"/>
      <c r="V933" s="19"/>
      <c r="W933" s="20"/>
      <c r="X933" s="43"/>
    </row>
    <row r="934" spans="1:24" ht="15.75" hidden="1" customHeight="1" x14ac:dyDescent="0.25">
      <c r="A934" s="16"/>
      <c r="B934" s="16" t="str">
        <f t="shared" si="4"/>
        <v/>
      </c>
      <c r="C934" s="16"/>
      <c r="D934" s="40"/>
      <c r="E934" s="16"/>
      <c r="F934" s="41"/>
      <c r="G934" s="16"/>
      <c r="H934" s="16"/>
      <c r="I934" s="16"/>
      <c r="J934" s="22"/>
      <c r="K934" s="16"/>
      <c r="L934" s="50"/>
      <c r="M934" s="16"/>
      <c r="N934" s="19"/>
      <c r="O934" s="19"/>
      <c r="P934" s="19"/>
      <c r="Q934" s="19"/>
      <c r="R934" s="19"/>
      <c r="S934" s="19"/>
      <c r="T934" s="19"/>
      <c r="U934" s="19"/>
      <c r="V934" s="19"/>
      <c r="W934" s="20"/>
      <c r="X934" s="43"/>
    </row>
    <row r="935" spans="1:24" ht="15.75" hidden="1" customHeight="1" x14ac:dyDescent="0.25">
      <c r="A935" s="16"/>
      <c r="B935" s="16" t="str">
        <f t="shared" si="4"/>
        <v/>
      </c>
      <c r="C935" s="16"/>
      <c r="D935" s="40"/>
      <c r="E935" s="16"/>
      <c r="F935" s="41"/>
      <c r="G935" s="16"/>
      <c r="H935" s="16"/>
      <c r="I935" s="16"/>
      <c r="J935" s="22"/>
      <c r="K935" s="16"/>
      <c r="L935" s="50"/>
      <c r="M935" s="16"/>
      <c r="N935" s="19"/>
      <c r="O935" s="19"/>
      <c r="P935" s="19"/>
      <c r="Q935" s="19"/>
      <c r="R935" s="19"/>
      <c r="S935" s="19"/>
      <c r="T935" s="19"/>
      <c r="U935" s="19"/>
      <c r="V935" s="19"/>
      <c r="W935" s="20"/>
      <c r="X935" s="43"/>
    </row>
    <row r="936" spans="1:24" ht="15.75" hidden="1" customHeight="1" x14ac:dyDescent="0.25">
      <c r="A936" s="16"/>
      <c r="B936" s="16" t="str">
        <f t="shared" si="4"/>
        <v/>
      </c>
      <c r="C936" s="16"/>
      <c r="D936" s="40"/>
      <c r="E936" s="16"/>
      <c r="F936" s="41"/>
      <c r="G936" s="16"/>
      <c r="H936" s="16"/>
      <c r="I936" s="16"/>
      <c r="J936" s="22"/>
      <c r="K936" s="16"/>
      <c r="L936" s="50"/>
      <c r="M936" s="16"/>
      <c r="N936" s="19"/>
      <c r="O936" s="19"/>
      <c r="P936" s="19"/>
      <c r="Q936" s="19"/>
      <c r="R936" s="19"/>
      <c r="S936" s="19"/>
      <c r="T936" s="19"/>
      <c r="U936" s="19"/>
      <c r="V936" s="19"/>
      <c r="W936" s="20"/>
      <c r="X936" s="43"/>
    </row>
    <row r="937" spans="1:24" ht="15.75" hidden="1" customHeight="1" x14ac:dyDescent="0.25">
      <c r="A937" s="16"/>
      <c r="B937" s="16" t="str">
        <f t="shared" si="4"/>
        <v/>
      </c>
      <c r="C937" s="16"/>
      <c r="D937" s="40"/>
      <c r="E937" s="16"/>
      <c r="F937" s="41"/>
      <c r="G937" s="16"/>
      <c r="H937" s="16"/>
      <c r="I937" s="16"/>
      <c r="J937" s="22"/>
      <c r="K937" s="16"/>
      <c r="L937" s="50"/>
      <c r="M937" s="16"/>
      <c r="N937" s="19"/>
      <c r="O937" s="19"/>
      <c r="P937" s="19"/>
      <c r="Q937" s="19"/>
      <c r="R937" s="19"/>
      <c r="S937" s="19"/>
      <c r="T937" s="19"/>
      <c r="U937" s="19"/>
      <c r="V937" s="19"/>
      <c r="W937" s="20"/>
      <c r="X937" s="43"/>
    </row>
    <row r="938" spans="1:24" ht="15.75" hidden="1" customHeight="1" x14ac:dyDescent="0.25">
      <c r="A938" s="16"/>
      <c r="B938" s="16" t="str">
        <f t="shared" si="4"/>
        <v/>
      </c>
      <c r="C938" s="16"/>
      <c r="D938" s="40"/>
      <c r="E938" s="16"/>
      <c r="F938" s="41"/>
      <c r="G938" s="16"/>
      <c r="H938" s="16"/>
      <c r="I938" s="16"/>
      <c r="J938" s="22"/>
      <c r="K938" s="16"/>
      <c r="L938" s="50"/>
      <c r="M938" s="16"/>
      <c r="N938" s="19"/>
      <c r="O938" s="19"/>
      <c r="P938" s="19"/>
      <c r="Q938" s="19"/>
      <c r="R938" s="19"/>
      <c r="S938" s="19"/>
      <c r="T938" s="19"/>
      <c r="U938" s="19"/>
      <c r="V938" s="19"/>
      <c r="W938" s="20"/>
      <c r="X938" s="43"/>
    </row>
    <row r="939" spans="1:24" ht="15.75" hidden="1" customHeight="1" x14ac:dyDescent="0.25">
      <c r="A939" s="16"/>
      <c r="B939" s="16" t="str">
        <f t="shared" si="4"/>
        <v/>
      </c>
      <c r="C939" s="16"/>
      <c r="D939" s="40"/>
      <c r="E939" s="16"/>
      <c r="F939" s="41"/>
      <c r="G939" s="16"/>
      <c r="H939" s="16"/>
      <c r="I939" s="16"/>
      <c r="J939" s="22"/>
      <c r="K939" s="16"/>
      <c r="L939" s="50"/>
      <c r="M939" s="16"/>
      <c r="N939" s="19"/>
      <c r="O939" s="19"/>
      <c r="P939" s="19"/>
      <c r="Q939" s="19"/>
      <c r="R939" s="19"/>
      <c r="S939" s="19"/>
      <c r="T939" s="19"/>
      <c r="U939" s="19"/>
      <c r="V939" s="19"/>
      <c r="W939" s="20"/>
      <c r="X939" s="43"/>
    </row>
    <row r="940" spans="1:24" ht="15.75" hidden="1" customHeight="1" x14ac:dyDescent="0.25">
      <c r="A940" s="16"/>
      <c r="B940" s="16" t="str">
        <f t="shared" si="4"/>
        <v/>
      </c>
      <c r="C940" s="16"/>
      <c r="D940" s="40"/>
      <c r="E940" s="16"/>
      <c r="F940" s="41"/>
      <c r="G940" s="16"/>
      <c r="H940" s="16"/>
      <c r="I940" s="16"/>
      <c r="J940" s="22"/>
      <c r="K940" s="16"/>
      <c r="L940" s="50"/>
      <c r="M940" s="16"/>
      <c r="N940" s="19"/>
      <c r="O940" s="19"/>
      <c r="P940" s="19"/>
      <c r="Q940" s="19"/>
      <c r="R940" s="19"/>
      <c r="S940" s="19"/>
      <c r="T940" s="19"/>
      <c r="U940" s="19"/>
      <c r="V940" s="19"/>
      <c r="W940" s="20"/>
      <c r="X940" s="43"/>
    </row>
    <row r="941" spans="1:24" ht="15.75" hidden="1" customHeight="1" x14ac:dyDescent="0.25">
      <c r="A941" s="16"/>
      <c r="B941" s="16" t="str">
        <f t="shared" si="4"/>
        <v/>
      </c>
      <c r="C941" s="16"/>
      <c r="D941" s="40"/>
      <c r="E941" s="16"/>
      <c r="F941" s="41"/>
      <c r="G941" s="16"/>
      <c r="H941" s="16"/>
      <c r="I941" s="16"/>
      <c r="J941" s="22"/>
      <c r="K941" s="16"/>
      <c r="L941" s="50"/>
      <c r="M941" s="16"/>
      <c r="N941" s="19"/>
      <c r="O941" s="19"/>
      <c r="P941" s="19"/>
      <c r="Q941" s="19"/>
      <c r="R941" s="19"/>
      <c r="S941" s="19"/>
      <c r="T941" s="19"/>
      <c r="U941" s="19"/>
      <c r="V941" s="19"/>
      <c r="W941" s="20"/>
      <c r="X941" s="43"/>
    </row>
    <row r="942" spans="1:24" ht="15.75" hidden="1" customHeight="1" x14ac:dyDescent="0.25">
      <c r="A942" s="16"/>
      <c r="B942" s="16" t="str">
        <f t="shared" si="4"/>
        <v/>
      </c>
      <c r="C942" s="16"/>
      <c r="D942" s="40"/>
      <c r="E942" s="16"/>
      <c r="F942" s="41"/>
      <c r="G942" s="16"/>
      <c r="H942" s="16"/>
      <c r="I942" s="16"/>
      <c r="J942" s="22"/>
      <c r="K942" s="16"/>
      <c r="L942" s="50"/>
      <c r="M942" s="16"/>
      <c r="N942" s="19"/>
      <c r="O942" s="19"/>
      <c r="P942" s="19"/>
      <c r="Q942" s="19"/>
      <c r="R942" s="19"/>
      <c r="S942" s="19"/>
      <c r="T942" s="19"/>
      <c r="U942" s="19"/>
      <c r="V942" s="19"/>
      <c r="W942" s="20"/>
      <c r="X942" s="43"/>
    </row>
    <row r="943" spans="1:24" ht="15.75" hidden="1" customHeight="1" x14ac:dyDescent="0.25">
      <c r="A943" s="16"/>
      <c r="B943" s="16" t="str">
        <f t="shared" si="4"/>
        <v/>
      </c>
      <c r="C943" s="16"/>
      <c r="D943" s="40"/>
      <c r="E943" s="16"/>
      <c r="F943" s="41"/>
      <c r="G943" s="16"/>
      <c r="H943" s="16"/>
      <c r="I943" s="16"/>
      <c r="J943" s="22"/>
      <c r="K943" s="16"/>
      <c r="L943" s="50"/>
      <c r="M943" s="16"/>
      <c r="N943" s="19"/>
      <c r="O943" s="19"/>
      <c r="P943" s="19"/>
      <c r="Q943" s="19"/>
      <c r="R943" s="19"/>
      <c r="S943" s="19"/>
      <c r="T943" s="19"/>
      <c r="U943" s="19"/>
      <c r="V943" s="19"/>
      <c r="W943" s="20"/>
      <c r="X943" s="43"/>
    </row>
    <row r="944" spans="1:24" ht="15.75" hidden="1" customHeight="1" x14ac:dyDescent="0.25">
      <c r="A944" s="16"/>
      <c r="B944" s="16" t="str">
        <f t="shared" si="4"/>
        <v/>
      </c>
      <c r="C944" s="16"/>
      <c r="D944" s="40"/>
      <c r="E944" s="16"/>
      <c r="F944" s="41"/>
      <c r="G944" s="16"/>
      <c r="H944" s="16"/>
      <c r="I944" s="16"/>
      <c r="J944" s="22"/>
      <c r="K944" s="16"/>
      <c r="L944" s="50"/>
      <c r="M944" s="16"/>
      <c r="N944" s="19"/>
      <c r="O944" s="19"/>
      <c r="P944" s="19"/>
      <c r="Q944" s="19"/>
      <c r="R944" s="19"/>
      <c r="S944" s="19"/>
      <c r="T944" s="19"/>
      <c r="U944" s="19"/>
      <c r="V944" s="19"/>
      <c r="W944" s="20"/>
      <c r="X944" s="43"/>
    </row>
    <row r="945" spans="1:24" ht="15.75" hidden="1" customHeight="1" x14ac:dyDescent="0.25">
      <c r="A945" s="16"/>
      <c r="B945" s="16" t="str">
        <f t="shared" si="4"/>
        <v/>
      </c>
      <c r="C945" s="16"/>
      <c r="D945" s="40"/>
      <c r="E945" s="16"/>
      <c r="F945" s="41"/>
      <c r="G945" s="16"/>
      <c r="H945" s="16"/>
      <c r="I945" s="16"/>
      <c r="J945" s="22"/>
      <c r="K945" s="16"/>
      <c r="L945" s="50"/>
      <c r="M945" s="16"/>
      <c r="N945" s="19"/>
      <c r="O945" s="19"/>
      <c r="P945" s="19"/>
      <c r="Q945" s="19"/>
      <c r="R945" s="19"/>
      <c r="S945" s="19"/>
      <c r="T945" s="19"/>
      <c r="U945" s="19"/>
      <c r="V945" s="19"/>
      <c r="W945" s="20"/>
      <c r="X945" s="43"/>
    </row>
    <row r="946" spans="1:24" ht="15.75" hidden="1" customHeight="1" x14ac:dyDescent="0.25">
      <c r="A946" s="16"/>
      <c r="B946" s="16" t="str">
        <f t="shared" si="4"/>
        <v/>
      </c>
      <c r="C946" s="16"/>
      <c r="D946" s="40"/>
      <c r="E946" s="16"/>
      <c r="F946" s="41"/>
      <c r="G946" s="16"/>
      <c r="H946" s="16"/>
      <c r="I946" s="16"/>
      <c r="J946" s="22"/>
      <c r="K946" s="16"/>
      <c r="L946" s="50"/>
      <c r="M946" s="16"/>
      <c r="N946" s="19"/>
      <c r="O946" s="19"/>
      <c r="P946" s="19"/>
      <c r="Q946" s="19"/>
      <c r="R946" s="19"/>
      <c r="S946" s="19"/>
      <c r="T946" s="19"/>
      <c r="U946" s="19"/>
      <c r="V946" s="19"/>
      <c r="W946" s="20"/>
      <c r="X946" s="43"/>
    </row>
    <row r="947" spans="1:24" ht="15.75" hidden="1" customHeight="1" x14ac:dyDescent="0.25">
      <c r="A947" s="16"/>
      <c r="B947" s="16" t="str">
        <f t="shared" si="4"/>
        <v/>
      </c>
      <c r="C947" s="16"/>
      <c r="D947" s="40"/>
      <c r="E947" s="16"/>
      <c r="F947" s="41"/>
      <c r="G947" s="16"/>
      <c r="H947" s="16"/>
      <c r="I947" s="16"/>
      <c r="J947" s="22"/>
      <c r="K947" s="16"/>
      <c r="L947" s="50"/>
      <c r="M947" s="16"/>
      <c r="N947" s="19"/>
      <c r="O947" s="19"/>
      <c r="P947" s="19"/>
      <c r="Q947" s="19"/>
      <c r="R947" s="19"/>
      <c r="S947" s="19"/>
      <c r="T947" s="19"/>
      <c r="U947" s="19"/>
      <c r="V947" s="19"/>
      <c r="W947" s="20"/>
      <c r="X947" s="43"/>
    </row>
    <row r="948" spans="1:24" ht="15.75" hidden="1" customHeight="1" x14ac:dyDescent="0.25">
      <c r="A948" s="16"/>
      <c r="B948" s="16" t="str">
        <f t="shared" si="4"/>
        <v/>
      </c>
      <c r="C948" s="16"/>
      <c r="D948" s="40"/>
      <c r="E948" s="16"/>
      <c r="F948" s="41"/>
      <c r="G948" s="16"/>
      <c r="H948" s="16"/>
      <c r="I948" s="16"/>
      <c r="J948" s="22"/>
      <c r="K948" s="16"/>
      <c r="L948" s="50"/>
      <c r="M948" s="16"/>
      <c r="N948" s="19"/>
      <c r="O948" s="19"/>
      <c r="P948" s="19"/>
      <c r="Q948" s="19"/>
      <c r="R948" s="19"/>
      <c r="S948" s="19"/>
      <c r="T948" s="19"/>
      <c r="U948" s="19"/>
      <c r="V948" s="19"/>
      <c r="W948" s="20"/>
      <c r="X948" s="43"/>
    </row>
    <row r="949" spans="1:24" ht="15.75" hidden="1" customHeight="1" x14ac:dyDescent="0.25">
      <c r="A949" s="16"/>
      <c r="B949" s="16" t="str">
        <f t="shared" si="4"/>
        <v/>
      </c>
      <c r="C949" s="16"/>
      <c r="D949" s="40"/>
      <c r="E949" s="16"/>
      <c r="F949" s="41"/>
      <c r="G949" s="16"/>
      <c r="H949" s="16"/>
      <c r="I949" s="16"/>
      <c r="J949" s="22"/>
      <c r="K949" s="16"/>
      <c r="L949" s="50"/>
      <c r="M949" s="16"/>
      <c r="N949" s="19"/>
      <c r="O949" s="19"/>
      <c r="P949" s="19"/>
      <c r="Q949" s="19"/>
      <c r="R949" s="19"/>
      <c r="S949" s="19"/>
      <c r="T949" s="19"/>
      <c r="U949" s="19"/>
      <c r="V949" s="19"/>
      <c r="W949" s="20"/>
      <c r="X949" s="43"/>
    </row>
    <row r="950" spans="1:24" ht="15.75" hidden="1" customHeight="1" x14ac:dyDescent="0.25">
      <c r="A950" s="16"/>
      <c r="B950" s="16" t="str">
        <f t="shared" si="4"/>
        <v/>
      </c>
      <c r="C950" s="16"/>
      <c r="D950" s="40"/>
      <c r="E950" s="16"/>
      <c r="F950" s="41"/>
      <c r="G950" s="16"/>
      <c r="H950" s="16"/>
      <c r="I950" s="16"/>
      <c r="J950" s="22"/>
      <c r="K950" s="16"/>
      <c r="L950" s="50"/>
      <c r="M950" s="16"/>
      <c r="N950" s="19"/>
      <c r="O950" s="19"/>
      <c r="P950" s="19"/>
      <c r="Q950" s="19"/>
      <c r="R950" s="19"/>
      <c r="S950" s="19"/>
      <c r="T950" s="19"/>
      <c r="U950" s="19"/>
      <c r="V950" s="19"/>
      <c r="W950" s="20"/>
      <c r="X950" s="43"/>
    </row>
    <row r="951" spans="1:24" ht="15.75" hidden="1" customHeight="1" x14ac:dyDescent="0.25">
      <c r="A951" s="16"/>
      <c r="B951" s="16" t="str">
        <f t="shared" si="4"/>
        <v/>
      </c>
      <c r="C951" s="16"/>
      <c r="D951" s="40"/>
      <c r="E951" s="16"/>
      <c r="F951" s="41"/>
      <c r="G951" s="16"/>
      <c r="H951" s="16"/>
      <c r="I951" s="16"/>
      <c r="J951" s="22"/>
      <c r="K951" s="16"/>
      <c r="L951" s="50"/>
      <c r="M951" s="16"/>
      <c r="N951" s="19"/>
      <c r="O951" s="19"/>
      <c r="P951" s="19"/>
      <c r="Q951" s="19"/>
      <c r="R951" s="19"/>
      <c r="S951" s="19"/>
      <c r="T951" s="19"/>
      <c r="U951" s="19"/>
      <c r="V951" s="19"/>
      <c r="W951" s="20"/>
      <c r="X951" s="43"/>
    </row>
    <row r="952" spans="1:24" ht="15.75" hidden="1" customHeight="1" x14ac:dyDescent="0.25">
      <c r="A952" s="16"/>
      <c r="B952" s="16" t="str">
        <f t="shared" si="4"/>
        <v/>
      </c>
      <c r="C952" s="16"/>
      <c r="D952" s="40"/>
      <c r="E952" s="16"/>
      <c r="F952" s="41"/>
      <c r="G952" s="16"/>
      <c r="H952" s="16"/>
      <c r="I952" s="16"/>
      <c r="J952" s="22"/>
      <c r="K952" s="16"/>
      <c r="L952" s="50"/>
      <c r="M952" s="16"/>
      <c r="N952" s="19"/>
      <c r="O952" s="19"/>
      <c r="P952" s="19"/>
      <c r="Q952" s="19"/>
      <c r="R952" s="19"/>
      <c r="S952" s="19"/>
      <c r="T952" s="19"/>
      <c r="U952" s="19"/>
      <c r="V952" s="19"/>
      <c r="W952" s="20"/>
      <c r="X952" s="43"/>
    </row>
    <row r="953" spans="1:24" ht="15.75" hidden="1" customHeight="1" x14ac:dyDescent="0.25">
      <c r="A953" s="16"/>
      <c r="B953" s="16" t="str">
        <f t="shared" si="4"/>
        <v/>
      </c>
      <c r="C953" s="16"/>
      <c r="D953" s="40"/>
      <c r="E953" s="16"/>
      <c r="F953" s="41"/>
      <c r="G953" s="16"/>
      <c r="H953" s="16"/>
      <c r="I953" s="16"/>
      <c r="J953" s="22"/>
      <c r="K953" s="16"/>
      <c r="L953" s="50"/>
      <c r="M953" s="16"/>
      <c r="N953" s="19"/>
      <c r="O953" s="19"/>
      <c r="P953" s="19"/>
      <c r="Q953" s="19"/>
      <c r="R953" s="19"/>
      <c r="S953" s="19"/>
      <c r="T953" s="19"/>
      <c r="U953" s="19"/>
      <c r="V953" s="19"/>
      <c r="W953" s="20"/>
      <c r="X953" s="43"/>
    </row>
    <row r="954" spans="1:24" ht="15.75" hidden="1" customHeight="1" x14ac:dyDescent="0.25">
      <c r="A954" s="16"/>
      <c r="B954" s="16" t="str">
        <f t="shared" si="4"/>
        <v/>
      </c>
      <c r="C954" s="16"/>
      <c r="D954" s="40"/>
      <c r="E954" s="16"/>
      <c r="F954" s="41"/>
      <c r="G954" s="16"/>
      <c r="H954" s="16"/>
      <c r="I954" s="16"/>
      <c r="J954" s="22"/>
      <c r="K954" s="16"/>
      <c r="L954" s="50"/>
      <c r="M954" s="16"/>
      <c r="N954" s="19"/>
      <c r="O954" s="19"/>
      <c r="P954" s="19"/>
      <c r="Q954" s="19"/>
      <c r="R954" s="19"/>
      <c r="S954" s="19"/>
      <c r="T954" s="19"/>
      <c r="U954" s="19"/>
      <c r="V954" s="19"/>
      <c r="W954" s="20"/>
      <c r="X954" s="43"/>
    </row>
    <row r="955" spans="1:24" ht="15.75" hidden="1" customHeight="1" x14ac:dyDescent="0.25">
      <c r="A955" s="16"/>
      <c r="B955" s="16" t="str">
        <f t="shared" si="4"/>
        <v/>
      </c>
      <c r="C955" s="16"/>
      <c r="D955" s="40"/>
      <c r="E955" s="16"/>
      <c r="F955" s="41"/>
      <c r="G955" s="16"/>
      <c r="H955" s="16"/>
      <c r="I955" s="16"/>
      <c r="J955" s="22"/>
      <c r="K955" s="16"/>
      <c r="L955" s="50"/>
      <c r="M955" s="16"/>
      <c r="N955" s="19"/>
      <c r="O955" s="19"/>
      <c r="P955" s="19"/>
      <c r="Q955" s="19"/>
      <c r="R955" s="19"/>
      <c r="S955" s="19"/>
      <c r="T955" s="19"/>
      <c r="U955" s="19"/>
      <c r="V955" s="19"/>
      <c r="W955" s="20"/>
      <c r="X955" s="43"/>
    </row>
    <row r="956" spans="1:24" ht="15.75" hidden="1" customHeight="1" x14ac:dyDescent="0.25">
      <c r="A956" s="16"/>
      <c r="B956" s="16" t="str">
        <f t="shared" si="4"/>
        <v/>
      </c>
      <c r="C956" s="16"/>
      <c r="D956" s="40"/>
      <c r="E956" s="16"/>
      <c r="F956" s="41"/>
      <c r="G956" s="16"/>
      <c r="H956" s="16"/>
      <c r="I956" s="16"/>
      <c r="J956" s="22"/>
      <c r="K956" s="16"/>
      <c r="L956" s="50"/>
      <c r="M956" s="16"/>
      <c r="N956" s="19"/>
      <c r="O956" s="19"/>
      <c r="P956" s="19"/>
      <c r="Q956" s="19"/>
      <c r="R956" s="19"/>
      <c r="S956" s="19"/>
      <c r="T956" s="19"/>
      <c r="U956" s="19"/>
      <c r="V956" s="19"/>
      <c r="W956" s="20"/>
      <c r="X956" s="43"/>
    </row>
    <row r="957" spans="1:24" ht="15.75" hidden="1" customHeight="1" x14ac:dyDescent="0.25">
      <c r="A957" s="16"/>
      <c r="B957" s="16" t="str">
        <f t="shared" si="4"/>
        <v/>
      </c>
      <c r="C957" s="16"/>
      <c r="D957" s="40"/>
      <c r="E957" s="16"/>
      <c r="F957" s="41"/>
      <c r="G957" s="16"/>
      <c r="H957" s="16"/>
      <c r="I957" s="16"/>
      <c r="J957" s="22"/>
      <c r="K957" s="16"/>
      <c r="L957" s="50"/>
      <c r="M957" s="16"/>
      <c r="N957" s="19"/>
      <c r="O957" s="19"/>
      <c r="P957" s="19"/>
      <c r="Q957" s="19"/>
      <c r="R957" s="19"/>
      <c r="S957" s="19"/>
      <c r="T957" s="19"/>
      <c r="U957" s="19"/>
      <c r="V957" s="19"/>
      <c r="W957" s="20"/>
      <c r="X957" s="43"/>
    </row>
    <row r="958" spans="1:24" ht="15.75" hidden="1" customHeight="1" x14ac:dyDescent="0.25">
      <c r="A958" s="16"/>
      <c r="B958" s="16" t="str">
        <f t="shared" si="4"/>
        <v/>
      </c>
      <c r="C958" s="16"/>
      <c r="D958" s="40"/>
      <c r="E958" s="16"/>
      <c r="F958" s="41"/>
      <c r="G958" s="16"/>
      <c r="H958" s="16"/>
      <c r="I958" s="16"/>
      <c r="J958" s="22"/>
      <c r="K958" s="16"/>
      <c r="L958" s="50"/>
      <c r="M958" s="16"/>
      <c r="N958" s="19"/>
      <c r="O958" s="19"/>
      <c r="P958" s="19"/>
      <c r="Q958" s="19"/>
      <c r="R958" s="19"/>
      <c r="S958" s="19"/>
      <c r="T958" s="19"/>
      <c r="U958" s="19"/>
      <c r="V958" s="19"/>
      <c r="W958" s="20"/>
      <c r="X958" s="43"/>
    </row>
    <row r="959" spans="1:24" ht="15.75" hidden="1" customHeight="1" x14ac:dyDescent="0.25">
      <c r="A959" s="16"/>
      <c r="B959" s="16" t="str">
        <f t="shared" si="4"/>
        <v/>
      </c>
      <c r="C959" s="16"/>
      <c r="D959" s="40"/>
      <c r="E959" s="16"/>
      <c r="F959" s="41"/>
      <c r="G959" s="16"/>
      <c r="H959" s="16"/>
      <c r="I959" s="16"/>
      <c r="J959" s="22"/>
      <c r="K959" s="16"/>
      <c r="L959" s="50"/>
      <c r="M959" s="16"/>
      <c r="N959" s="19"/>
      <c r="O959" s="19"/>
      <c r="P959" s="19"/>
      <c r="Q959" s="19"/>
      <c r="R959" s="19"/>
      <c r="S959" s="19"/>
      <c r="T959" s="19"/>
      <c r="U959" s="19"/>
      <c r="V959" s="19"/>
      <c r="W959" s="20"/>
      <c r="X959" s="43"/>
    </row>
    <row r="960" spans="1:24" ht="15.75" hidden="1" customHeight="1" x14ac:dyDescent="0.25">
      <c r="A960" s="16"/>
      <c r="B960" s="16" t="str">
        <f t="shared" si="4"/>
        <v/>
      </c>
      <c r="C960" s="16"/>
      <c r="D960" s="40"/>
      <c r="E960" s="16"/>
      <c r="F960" s="41"/>
      <c r="G960" s="16"/>
      <c r="H960" s="16"/>
      <c r="I960" s="16"/>
      <c r="J960" s="22"/>
      <c r="K960" s="16"/>
      <c r="L960" s="50"/>
      <c r="M960" s="16"/>
      <c r="N960" s="19"/>
      <c r="O960" s="19"/>
      <c r="P960" s="19"/>
      <c r="Q960" s="19"/>
      <c r="R960" s="19"/>
      <c r="S960" s="19"/>
      <c r="T960" s="19"/>
      <c r="U960" s="19"/>
      <c r="V960" s="19"/>
      <c r="W960" s="20"/>
      <c r="X960" s="43"/>
    </row>
    <row r="961" spans="1:24" ht="15.75" hidden="1" customHeight="1" x14ac:dyDescent="0.25">
      <c r="A961" s="16"/>
      <c r="B961" s="16" t="str">
        <f t="shared" si="4"/>
        <v/>
      </c>
      <c r="C961" s="16"/>
      <c r="D961" s="40"/>
      <c r="E961" s="16"/>
      <c r="F961" s="41"/>
      <c r="G961" s="16"/>
      <c r="H961" s="16"/>
      <c r="I961" s="16"/>
      <c r="J961" s="22"/>
      <c r="K961" s="16"/>
      <c r="L961" s="50"/>
      <c r="M961" s="16"/>
      <c r="N961" s="19"/>
      <c r="O961" s="19"/>
      <c r="P961" s="19"/>
      <c r="Q961" s="19"/>
      <c r="R961" s="19"/>
      <c r="S961" s="19"/>
      <c r="T961" s="19"/>
      <c r="U961" s="19"/>
      <c r="V961" s="19"/>
      <c r="W961" s="20"/>
      <c r="X961" s="43"/>
    </row>
    <row r="962" spans="1:24" ht="15.75" hidden="1" customHeight="1" x14ac:dyDescent="0.25">
      <c r="A962" s="16"/>
      <c r="B962" s="16" t="str">
        <f t="shared" si="4"/>
        <v/>
      </c>
      <c r="C962" s="16"/>
      <c r="D962" s="40"/>
      <c r="E962" s="16"/>
      <c r="F962" s="41"/>
      <c r="G962" s="16"/>
      <c r="H962" s="16"/>
      <c r="I962" s="16"/>
      <c r="J962" s="22"/>
      <c r="K962" s="16"/>
      <c r="L962" s="50"/>
      <c r="M962" s="16"/>
      <c r="N962" s="19"/>
      <c r="O962" s="19"/>
      <c r="P962" s="19"/>
      <c r="Q962" s="19"/>
      <c r="R962" s="19"/>
      <c r="S962" s="19"/>
      <c r="T962" s="19"/>
      <c r="U962" s="19"/>
      <c r="V962" s="19"/>
      <c r="W962" s="20"/>
      <c r="X962" s="43"/>
    </row>
    <row r="963" spans="1:24" ht="15.75" hidden="1" customHeight="1" x14ac:dyDescent="0.25">
      <c r="A963" s="16"/>
      <c r="B963" s="16" t="str">
        <f t="shared" si="4"/>
        <v/>
      </c>
      <c r="C963" s="16"/>
      <c r="D963" s="40"/>
      <c r="E963" s="16"/>
      <c r="F963" s="41"/>
      <c r="G963" s="16"/>
      <c r="H963" s="16"/>
      <c r="I963" s="16"/>
      <c r="J963" s="22"/>
      <c r="K963" s="16"/>
      <c r="L963" s="50"/>
      <c r="M963" s="16"/>
      <c r="N963" s="19"/>
      <c r="O963" s="19"/>
      <c r="P963" s="19"/>
      <c r="Q963" s="19"/>
      <c r="R963" s="19"/>
      <c r="S963" s="19"/>
      <c r="T963" s="19"/>
      <c r="U963" s="19"/>
      <c r="V963" s="19"/>
      <c r="W963" s="20"/>
      <c r="X963" s="43"/>
    </row>
    <row r="964" spans="1:24" ht="15.75" hidden="1" customHeight="1" x14ac:dyDescent="0.25">
      <c r="A964" s="16"/>
      <c r="B964" s="16" t="str">
        <f t="shared" si="4"/>
        <v/>
      </c>
      <c r="C964" s="16"/>
      <c r="D964" s="40"/>
      <c r="E964" s="16"/>
      <c r="F964" s="41"/>
      <c r="G964" s="16"/>
      <c r="H964" s="16"/>
      <c r="I964" s="16"/>
      <c r="J964" s="22"/>
      <c r="K964" s="16"/>
      <c r="L964" s="50"/>
      <c r="M964" s="16"/>
      <c r="N964" s="19"/>
      <c r="O964" s="19"/>
      <c r="P964" s="19"/>
      <c r="Q964" s="19"/>
      <c r="R964" s="19"/>
      <c r="S964" s="19"/>
      <c r="T964" s="19"/>
      <c r="U964" s="19"/>
      <c r="V964" s="19"/>
      <c r="W964" s="20"/>
      <c r="X964" s="43"/>
    </row>
    <row r="965" spans="1:24" ht="15.75" hidden="1" customHeight="1" x14ac:dyDescent="0.25">
      <c r="A965" s="16"/>
      <c r="B965" s="16" t="str">
        <f t="shared" si="4"/>
        <v/>
      </c>
      <c r="C965" s="16"/>
      <c r="D965" s="40"/>
      <c r="E965" s="16"/>
      <c r="F965" s="41"/>
      <c r="G965" s="16"/>
      <c r="H965" s="16"/>
      <c r="I965" s="16"/>
      <c r="J965" s="22"/>
      <c r="K965" s="16"/>
      <c r="L965" s="50"/>
      <c r="M965" s="16"/>
      <c r="N965" s="19"/>
      <c r="O965" s="19"/>
      <c r="P965" s="19"/>
      <c r="Q965" s="19"/>
      <c r="R965" s="19"/>
      <c r="S965" s="19"/>
      <c r="T965" s="19"/>
      <c r="U965" s="19"/>
      <c r="V965" s="19"/>
      <c r="W965" s="20"/>
      <c r="X965" s="43"/>
    </row>
    <row r="966" spans="1:24" ht="15.75" hidden="1" customHeight="1" x14ac:dyDescent="0.25">
      <c r="A966" s="16"/>
      <c r="B966" s="16" t="str">
        <f t="shared" si="4"/>
        <v/>
      </c>
      <c r="C966" s="16"/>
      <c r="D966" s="40"/>
      <c r="E966" s="16"/>
      <c r="F966" s="41"/>
      <c r="G966" s="16"/>
      <c r="H966" s="16"/>
      <c r="I966" s="16"/>
      <c r="J966" s="22"/>
      <c r="K966" s="16"/>
      <c r="L966" s="50"/>
      <c r="M966" s="16"/>
      <c r="N966" s="19"/>
      <c r="O966" s="19"/>
      <c r="P966" s="19"/>
      <c r="Q966" s="19"/>
      <c r="R966" s="19"/>
      <c r="S966" s="19"/>
      <c r="T966" s="19"/>
      <c r="U966" s="19"/>
      <c r="V966" s="19"/>
      <c r="W966" s="20"/>
      <c r="X966" s="43"/>
    </row>
    <row r="967" spans="1:24" ht="15.75" hidden="1" customHeight="1" x14ac:dyDescent="0.25">
      <c r="A967" s="16"/>
      <c r="B967" s="16" t="str">
        <f t="shared" si="4"/>
        <v/>
      </c>
      <c r="C967" s="16"/>
      <c r="D967" s="40"/>
      <c r="E967" s="16"/>
      <c r="F967" s="41"/>
      <c r="G967" s="16"/>
      <c r="H967" s="16"/>
      <c r="I967" s="16"/>
      <c r="J967" s="22"/>
      <c r="K967" s="16"/>
      <c r="L967" s="50"/>
      <c r="M967" s="16"/>
      <c r="N967" s="19"/>
      <c r="O967" s="19"/>
      <c r="P967" s="19"/>
      <c r="Q967" s="19"/>
      <c r="R967" s="19"/>
      <c r="S967" s="19"/>
      <c r="T967" s="19"/>
      <c r="U967" s="19"/>
      <c r="V967" s="19"/>
      <c r="W967" s="20"/>
      <c r="X967" s="43"/>
    </row>
    <row r="968" spans="1:24" ht="15.75" hidden="1" customHeight="1" x14ac:dyDescent="0.25">
      <c r="A968" s="16"/>
      <c r="B968" s="16" t="str">
        <f t="shared" si="4"/>
        <v/>
      </c>
      <c r="C968" s="16"/>
      <c r="D968" s="40"/>
      <c r="E968" s="16"/>
      <c r="F968" s="41"/>
      <c r="G968" s="16"/>
      <c r="H968" s="16"/>
      <c r="I968" s="16"/>
      <c r="J968" s="22"/>
      <c r="K968" s="16"/>
      <c r="L968" s="50"/>
      <c r="M968" s="16"/>
      <c r="N968" s="19"/>
      <c r="O968" s="19"/>
      <c r="P968" s="19"/>
      <c r="Q968" s="19"/>
      <c r="R968" s="19"/>
      <c r="S968" s="19"/>
      <c r="T968" s="19"/>
      <c r="U968" s="19"/>
      <c r="V968" s="19"/>
      <c r="W968" s="20"/>
      <c r="X968" s="43"/>
    </row>
    <row r="969" spans="1:24" ht="15.75" hidden="1" customHeight="1" x14ac:dyDescent="0.25">
      <c r="A969" s="16"/>
      <c r="B969" s="16" t="str">
        <f t="shared" si="4"/>
        <v/>
      </c>
      <c r="C969" s="16"/>
      <c r="D969" s="40"/>
      <c r="E969" s="16"/>
      <c r="F969" s="41"/>
      <c r="G969" s="16"/>
      <c r="H969" s="16"/>
      <c r="I969" s="16"/>
      <c r="J969" s="22"/>
      <c r="K969" s="16"/>
      <c r="L969" s="50"/>
      <c r="M969" s="16"/>
      <c r="N969" s="19"/>
      <c r="O969" s="19"/>
      <c r="P969" s="19"/>
      <c r="Q969" s="19"/>
      <c r="R969" s="19"/>
      <c r="S969" s="19"/>
      <c r="T969" s="19"/>
      <c r="U969" s="19"/>
      <c r="V969" s="19"/>
      <c r="W969" s="20"/>
      <c r="X969" s="43"/>
    </row>
    <row r="970" spans="1:24" ht="15.75" hidden="1" customHeight="1" x14ac:dyDescent="0.25">
      <c r="A970" s="16"/>
      <c r="B970" s="16" t="str">
        <f t="shared" si="4"/>
        <v/>
      </c>
      <c r="C970" s="16"/>
      <c r="D970" s="40"/>
      <c r="E970" s="16"/>
      <c r="F970" s="41"/>
      <c r="G970" s="16"/>
      <c r="H970" s="16"/>
      <c r="I970" s="16"/>
      <c r="J970" s="22"/>
      <c r="K970" s="16"/>
      <c r="L970" s="50"/>
      <c r="M970" s="16"/>
      <c r="N970" s="19"/>
      <c r="O970" s="19"/>
      <c r="P970" s="19"/>
      <c r="Q970" s="19"/>
      <c r="R970" s="19"/>
      <c r="S970" s="19"/>
      <c r="T970" s="19"/>
      <c r="U970" s="19"/>
      <c r="V970" s="19"/>
      <c r="W970" s="20"/>
      <c r="X970" s="43"/>
    </row>
    <row r="971" spans="1:24" ht="15.75" hidden="1" customHeight="1" x14ac:dyDescent="0.25">
      <c r="A971" s="16"/>
      <c r="B971" s="16" t="str">
        <f t="shared" si="4"/>
        <v/>
      </c>
      <c r="C971" s="16"/>
      <c r="D971" s="40"/>
      <c r="E971" s="16"/>
      <c r="F971" s="41"/>
      <c r="G971" s="16"/>
      <c r="H971" s="16"/>
      <c r="I971" s="16"/>
      <c r="J971" s="22"/>
      <c r="K971" s="16"/>
      <c r="L971" s="50"/>
      <c r="M971" s="16"/>
      <c r="N971" s="19"/>
      <c r="O971" s="19"/>
      <c r="P971" s="19"/>
      <c r="Q971" s="19"/>
      <c r="R971" s="19"/>
      <c r="S971" s="19"/>
      <c r="T971" s="19"/>
      <c r="U971" s="19"/>
      <c r="V971" s="19"/>
      <c r="W971" s="20"/>
      <c r="X971" s="43"/>
    </row>
    <row r="972" spans="1:24" ht="15.75" hidden="1" customHeight="1" x14ac:dyDescent="0.25">
      <c r="A972" s="16"/>
      <c r="B972" s="16" t="str">
        <f t="shared" si="4"/>
        <v/>
      </c>
      <c r="C972" s="16"/>
      <c r="D972" s="40"/>
      <c r="E972" s="16"/>
      <c r="F972" s="41"/>
      <c r="G972" s="16"/>
      <c r="H972" s="16"/>
      <c r="I972" s="16"/>
      <c r="J972" s="22"/>
      <c r="K972" s="16"/>
      <c r="L972" s="50"/>
      <c r="M972" s="16"/>
      <c r="N972" s="19"/>
      <c r="O972" s="19"/>
      <c r="P972" s="19"/>
      <c r="Q972" s="19"/>
      <c r="R972" s="19"/>
      <c r="S972" s="19"/>
      <c r="T972" s="19"/>
      <c r="U972" s="19"/>
      <c r="V972" s="19"/>
      <c r="W972" s="20"/>
      <c r="X972" s="43"/>
    </row>
    <row r="973" spans="1:24" ht="15.75" hidden="1" customHeight="1" x14ac:dyDescent="0.25">
      <c r="A973" s="16"/>
      <c r="B973" s="16" t="str">
        <f t="shared" si="4"/>
        <v/>
      </c>
      <c r="C973" s="16"/>
      <c r="D973" s="40"/>
      <c r="E973" s="16"/>
      <c r="F973" s="41"/>
      <c r="G973" s="16"/>
      <c r="H973" s="16"/>
      <c r="I973" s="16"/>
      <c r="J973" s="22"/>
      <c r="K973" s="16"/>
      <c r="L973" s="50"/>
      <c r="M973" s="16"/>
      <c r="N973" s="19"/>
      <c r="O973" s="19"/>
      <c r="P973" s="19"/>
      <c r="Q973" s="19"/>
      <c r="R973" s="19"/>
      <c r="S973" s="19"/>
      <c r="T973" s="19"/>
      <c r="U973" s="19"/>
      <c r="V973" s="19"/>
      <c r="W973" s="20"/>
      <c r="X973" s="43"/>
    </row>
    <row r="974" spans="1:24" ht="15.75" hidden="1" customHeight="1" x14ac:dyDescent="0.25">
      <c r="A974" s="16"/>
      <c r="B974" s="16" t="str">
        <f t="shared" si="4"/>
        <v/>
      </c>
      <c r="C974" s="16"/>
      <c r="D974" s="40"/>
      <c r="E974" s="16"/>
      <c r="F974" s="41"/>
      <c r="G974" s="16"/>
      <c r="H974" s="16"/>
      <c r="I974" s="16"/>
      <c r="J974" s="22"/>
      <c r="K974" s="16"/>
      <c r="L974" s="50"/>
      <c r="M974" s="16"/>
      <c r="N974" s="19"/>
      <c r="O974" s="19"/>
      <c r="P974" s="19"/>
      <c r="Q974" s="19"/>
      <c r="R974" s="19"/>
      <c r="S974" s="19"/>
      <c r="T974" s="19"/>
      <c r="U974" s="19"/>
      <c r="V974" s="19"/>
      <c r="W974" s="20"/>
      <c r="X974" s="43"/>
    </row>
    <row r="975" spans="1:24" ht="15.75" hidden="1" customHeight="1" x14ac:dyDescent="0.25">
      <c r="A975" s="16"/>
      <c r="B975" s="16" t="str">
        <f t="shared" si="4"/>
        <v/>
      </c>
      <c r="C975" s="16"/>
      <c r="D975" s="40"/>
      <c r="E975" s="16"/>
      <c r="F975" s="41"/>
      <c r="G975" s="16"/>
      <c r="H975" s="16"/>
      <c r="I975" s="16"/>
      <c r="J975" s="22"/>
      <c r="K975" s="16"/>
      <c r="L975" s="50"/>
      <c r="M975" s="16"/>
      <c r="N975" s="19"/>
      <c r="O975" s="19"/>
      <c r="P975" s="19"/>
      <c r="Q975" s="19"/>
      <c r="R975" s="19"/>
      <c r="S975" s="19"/>
      <c r="T975" s="19"/>
      <c r="U975" s="19"/>
      <c r="V975" s="19"/>
      <c r="W975" s="20"/>
      <c r="X975" s="43"/>
    </row>
    <row r="976" spans="1:24" ht="15.75" hidden="1" customHeight="1" x14ac:dyDescent="0.25">
      <c r="A976" s="16"/>
      <c r="B976" s="16" t="str">
        <f t="shared" si="4"/>
        <v/>
      </c>
      <c r="C976" s="16"/>
      <c r="D976" s="40"/>
      <c r="E976" s="16"/>
      <c r="F976" s="41"/>
      <c r="G976" s="16"/>
      <c r="H976" s="16"/>
      <c r="I976" s="16"/>
      <c r="J976" s="22"/>
      <c r="K976" s="16"/>
      <c r="L976" s="50"/>
      <c r="M976" s="16"/>
      <c r="N976" s="19"/>
      <c r="O976" s="19"/>
      <c r="P976" s="19"/>
      <c r="Q976" s="19"/>
      <c r="R976" s="19"/>
      <c r="S976" s="19"/>
      <c r="T976" s="19"/>
      <c r="U976" s="19"/>
      <c r="V976" s="19"/>
      <c r="W976" s="20"/>
      <c r="X976" s="43"/>
    </row>
    <row r="977" spans="1:24" ht="15.75" hidden="1" customHeight="1" x14ac:dyDescent="0.25">
      <c r="A977" s="16"/>
      <c r="B977" s="16" t="str">
        <f t="shared" si="4"/>
        <v/>
      </c>
      <c r="C977" s="16"/>
      <c r="D977" s="40"/>
      <c r="E977" s="16"/>
      <c r="F977" s="41"/>
      <c r="G977" s="16"/>
      <c r="H977" s="16"/>
      <c r="I977" s="16"/>
      <c r="J977" s="22"/>
      <c r="K977" s="16"/>
      <c r="L977" s="50"/>
      <c r="M977" s="16"/>
      <c r="N977" s="19"/>
      <c r="O977" s="19"/>
      <c r="P977" s="19"/>
      <c r="Q977" s="19"/>
      <c r="R977" s="19"/>
      <c r="S977" s="19"/>
      <c r="T977" s="19"/>
      <c r="U977" s="19"/>
      <c r="V977" s="19"/>
      <c r="W977" s="20"/>
      <c r="X977" s="43"/>
    </row>
    <row r="978" spans="1:24" ht="15.75" hidden="1" customHeight="1" x14ac:dyDescent="0.25">
      <c r="A978" s="16"/>
      <c r="B978" s="16" t="str">
        <f t="shared" si="4"/>
        <v/>
      </c>
      <c r="C978" s="16"/>
      <c r="D978" s="40"/>
      <c r="E978" s="16"/>
      <c r="F978" s="41"/>
      <c r="G978" s="16"/>
      <c r="H978" s="16"/>
      <c r="I978" s="16"/>
      <c r="J978" s="22"/>
      <c r="K978" s="16"/>
      <c r="L978" s="50"/>
      <c r="M978" s="16"/>
      <c r="N978" s="19"/>
      <c r="O978" s="19"/>
      <c r="P978" s="19"/>
      <c r="Q978" s="19"/>
      <c r="R978" s="19"/>
      <c r="S978" s="19"/>
      <c r="T978" s="19"/>
      <c r="U978" s="19"/>
      <c r="V978" s="19"/>
      <c r="W978" s="20"/>
      <c r="X978" s="43"/>
    </row>
    <row r="979" spans="1:24" ht="15.75" hidden="1" customHeight="1" x14ac:dyDescent="0.25">
      <c r="A979" s="16"/>
      <c r="B979" s="16" t="str">
        <f t="shared" si="4"/>
        <v/>
      </c>
      <c r="C979" s="16"/>
      <c r="D979" s="40"/>
      <c r="E979" s="16"/>
      <c r="F979" s="41"/>
      <c r="G979" s="16"/>
      <c r="H979" s="16"/>
      <c r="I979" s="16"/>
      <c r="J979" s="22"/>
      <c r="K979" s="16"/>
      <c r="L979" s="50"/>
      <c r="M979" s="16"/>
      <c r="N979" s="19"/>
      <c r="O979" s="19"/>
      <c r="P979" s="19"/>
      <c r="Q979" s="19"/>
      <c r="R979" s="19"/>
      <c r="S979" s="19"/>
      <c r="T979" s="19"/>
      <c r="U979" s="19"/>
      <c r="V979" s="19"/>
      <c r="W979" s="20"/>
      <c r="X979" s="43"/>
    </row>
    <row r="980" spans="1:24" ht="15.75" hidden="1" customHeight="1" x14ac:dyDescent="0.25">
      <c r="A980" s="16"/>
      <c r="B980" s="16" t="str">
        <f t="shared" si="4"/>
        <v/>
      </c>
      <c r="C980" s="16"/>
      <c r="D980" s="40"/>
      <c r="E980" s="16"/>
      <c r="F980" s="41"/>
      <c r="G980" s="16"/>
      <c r="H980" s="16"/>
      <c r="I980" s="16"/>
      <c r="J980" s="22"/>
      <c r="K980" s="16"/>
      <c r="L980" s="50"/>
      <c r="M980" s="16"/>
      <c r="N980" s="19"/>
      <c r="O980" s="19"/>
      <c r="P980" s="19"/>
      <c r="Q980" s="19"/>
      <c r="R980" s="19"/>
      <c r="S980" s="19"/>
      <c r="T980" s="19"/>
      <c r="U980" s="19"/>
      <c r="V980" s="19"/>
      <c r="W980" s="20"/>
      <c r="X980" s="43"/>
    </row>
    <row r="981" spans="1:24" ht="15.75" hidden="1" customHeight="1" x14ac:dyDescent="0.25">
      <c r="A981" s="16"/>
      <c r="B981" s="16" t="str">
        <f t="shared" si="4"/>
        <v/>
      </c>
      <c r="C981" s="16"/>
      <c r="D981" s="40"/>
      <c r="E981" s="16"/>
      <c r="F981" s="41"/>
      <c r="G981" s="16"/>
      <c r="H981" s="16"/>
      <c r="I981" s="16"/>
      <c r="J981" s="22"/>
      <c r="K981" s="16"/>
      <c r="L981" s="50"/>
      <c r="M981" s="16"/>
      <c r="N981" s="19"/>
      <c r="O981" s="19"/>
      <c r="P981" s="19"/>
      <c r="Q981" s="19"/>
      <c r="R981" s="19"/>
      <c r="S981" s="19"/>
      <c r="T981" s="19"/>
      <c r="U981" s="19"/>
      <c r="V981" s="19"/>
      <c r="W981" s="20"/>
      <c r="X981" s="43"/>
    </row>
    <row r="982" spans="1:24" ht="15.75" hidden="1" customHeight="1" x14ac:dyDescent="0.25">
      <c r="A982" s="16"/>
      <c r="B982" s="16" t="str">
        <f t="shared" si="4"/>
        <v/>
      </c>
      <c r="C982" s="16"/>
      <c r="D982" s="40"/>
      <c r="E982" s="16"/>
      <c r="F982" s="41"/>
      <c r="G982" s="16"/>
      <c r="H982" s="16"/>
      <c r="I982" s="16"/>
      <c r="J982" s="22"/>
      <c r="K982" s="16"/>
      <c r="L982" s="50"/>
      <c r="M982" s="16"/>
      <c r="N982" s="19"/>
      <c r="O982" s="19"/>
      <c r="P982" s="19"/>
      <c r="Q982" s="19"/>
      <c r="R982" s="19"/>
      <c r="S982" s="19"/>
      <c r="T982" s="19"/>
      <c r="U982" s="19"/>
      <c r="V982" s="19"/>
      <c r="W982" s="20"/>
      <c r="X982" s="43"/>
    </row>
    <row r="983" spans="1:24" ht="15.75" hidden="1" customHeight="1" x14ac:dyDescent="0.25">
      <c r="A983" s="16"/>
      <c r="B983" s="16" t="str">
        <f t="shared" si="4"/>
        <v/>
      </c>
      <c r="C983" s="16"/>
      <c r="D983" s="40"/>
      <c r="E983" s="16"/>
      <c r="F983" s="41"/>
      <c r="G983" s="16"/>
      <c r="H983" s="16"/>
      <c r="I983" s="16"/>
      <c r="J983" s="22"/>
      <c r="K983" s="16"/>
      <c r="L983" s="50"/>
      <c r="M983" s="16"/>
      <c r="N983" s="19"/>
      <c r="O983" s="19"/>
      <c r="P983" s="19"/>
      <c r="Q983" s="19"/>
      <c r="R983" s="19"/>
      <c r="S983" s="19"/>
      <c r="T983" s="19"/>
      <c r="U983" s="19"/>
      <c r="V983" s="19"/>
      <c r="W983" s="20"/>
      <c r="X983" s="43"/>
    </row>
    <row r="984" spans="1:24" ht="15.75" hidden="1" customHeight="1" x14ac:dyDescent="0.25">
      <c r="A984" s="16"/>
      <c r="B984" s="16" t="str">
        <f t="shared" si="4"/>
        <v/>
      </c>
      <c r="C984" s="16"/>
      <c r="D984" s="40"/>
      <c r="E984" s="16"/>
      <c r="F984" s="41"/>
      <c r="G984" s="16"/>
      <c r="H984" s="16"/>
      <c r="I984" s="16"/>
      <c r="J984" s="22"/>
      <c r="K984" s="16"/>
      <c r="L984" s="50"/>
      <c r="M984" s="16"/>
      <c r="N984" s="19"/>
      <c r="O984" s="19"/>
      <c r="P984" s="19"/>
      <c r="Q984" s="19"/>
      <c r="R984" s="19"/>
      <c r="S984" s="19"/>
      <c r="T984" s="19"/>
      <c r="U984" s="19"/>
      <c r="V984" s="19"/>
      <c r="W984" s="20"/>
      <c r="X984" s="43"/>
    </row>
    <row r="985" spans="1:24" ht="15.75" hidden="1" customHeight="1" x14ac:dyDescent="0.25">
      <c r="A985" s="16"/>
      <c r="B985" s="16" t="str">
        <f t="shared" si="4"/>
        <v/>
      </c>
      <c r="C985" s="16"/>
      <c r="D985" s="40"/>
      <c r="E985" s="16"/>
      <c r="F985" s="41"/>
      <c r="G985" s="16"/>
      <c r="H985" s="16"/>
      <c r="I985" s="16"/>
      <c r="J985" s="22"/>
      <c r="K985" s="16"/>
      <c r="L985" s="50"/>
      <c r="M985" s="16"/>
      <c r="N985" s="19"/>
      <c r="O985" s="19"/>
      <c r="P985" s="19"/>
      <c r="Q985" s="19"/>
      <c r="R985" s="19"/>
      <c r="S985" s="19"/>
      <c r="T985" s="19"/>
      <c r="U985" s="19"/>
      <c r="V985" s="19"/>
      <c r="W985" s="20"/>
      <c r="X985" s="43"/>
    </row>
    <row r="986" spans="1:24" ht="15.75" hidden="1" customHeight="1" x14ac:dyDescent="0.25">
      <c r="A986" s="16"/>
      <c r="B986" s="16" t="str">
        <f t="shared" si="4"/>
        <v/>
      </c>
      <c r="C986" s="16"/>
      <c r="D986" s="40"/>
      <c r="E986" s="16"/>
      <c r="F986" s="41"/>
      <c r="G986" s="16"/>
      <c r="H986" s="16"/>
      <c r="I986" s="16"/>
      <c r="J986" s="22"/>
      <c r="K986" s="16"/>
      <c r="L986" s="50"/>
      <c r="M986" s="16"/>
      <c r="N986" s="19"/>
      <c r="O986" s="19"/>
      <c r="P986" s="19"/>
      <c r="Q986" s="19"/>
      <c r="R986" s="19"/>
      <c r="S986" s="19"/>
      <c r="T986" s="19"/>
      <c r="U986" s="19"/>
      <c r="V986" s="19"/>
      <c r="W986" s="20"/>
      <c r="X986" s="43"/>
    </row>
    <row r="987" spans="1:24" ht="15.75" hidden="1" customHeight="1" x14ac:dyDescent="0.25">
      <c r="A987" s="16"/>
      <c r="B987" s="16" t="str">
        <f t="shared" si="4"/>
        <v/>
      </c>
      <c r="C987" s="16"/>
      <c r="D987" s="40"/>
      <c r="E987" s="16"/>
      <c r="F987" s="41"/>
      <c r="G987" s="16"/>
      <c r="H987" s="16"/>
      <c r="I987" s="16"/>
      <c r="J987" s="22"/>
      <c r="K987" s="16"/>
      <c r="L987" s="50"/>
      <c r="M987" s="16"/>
      <c r="N987" s="19"/>
      <c r="O987" s="19"/>
      <c r="P987" s="19"/>
      <c r="Q987" s="19"/>
      <c r="R987" s="19"/>
      <c r="S987" s="19"/>
      <c r="T987" s="19"/>
      <c r="U987" s="19"/>
      <c r="V987" s="19"/>
      <c r="W987" s="20"/>
      <c r="X987" s="43"/>
    </row>
    <row r="988" spans="1:24" ht="15.75" hidden="1" customHeight="1" x14ac:dyDescent="0.25">
      <c r="A988" s="16"/>
      <c r="B988" s="16" t="str">
        <f t="shared" si="4"/>
        <v/>
      </c>
      <c r="C988" s="16"/>
      <c r="D988" s="40"/>
      <c r="E988" s="16"/>
      <c r="F988" s="41"/>
      <c r="G988" s="16"/>
      <c r="H988" s="16"/>
      <c r="I988" s="16"/>
      <c r="J988" s="22"/>
      <c r="K988" s="16"/>
      <c r="L988" s="50"/>
      <c r="M988" s="16"/>
      <c r="N988" s="19"/>
      <c r="O988" s="19"/>
      <c r="P988" s="19"/>
      <c r="Q988" s="19"/>
      <c r="R988" s="19"/>
      <c r="S988" s="19"/>
      <c r="T988" s="19"/>
      <c r="U988" s="19"/>
      <c r="V988" s="19"/>
      <c r="W988" s="20"/>
      <c r="X988" s="43"/>
    </row>
    <row r="989" spans="1:24" ht="15.75" hidden="1" customHeight="1" x14ac:dyDescent="0.25">
      <c r="A989" s="16"/>
      <c r="B989" s="16" t="str">
        <f t="shared" si="4"/>
        <v/>
      </c>
      <c r="C989" s="16"/>
      <c r="D989" s="40"/>
      <c r="E989" s="16"/>
      <c r="F989" s="41"/>
      <c r="G989" s="16"/>
      <c r="H989" s="16"/>
      <c r="I989" s="16"/>
      <c r="J989" s="22"/>
      <c r="K989" s="16"/>
      <c r="L989" s="50"/>
      <c r="M989" s="16"/>
      <c r="N989" s="19"/>
      <c r="O989" s="19"/>
      <c r="P989" s="19"/>
      <c r="Q989" s="19"/>
      <c r="R989" s="19"/>
      <c r="S989" s="19"/>
      <c r="T989" s="19"/>
      <c r="U989" s="19"/>
      <c r="V989" s="19"/>
      <c r="W989" s="20"/>
      <c r="X989" s="43"/>
    </row>
    <row r="990" spans="1:24" ht="15.75" hidden="1" customHeight="1" x14ac:dyDescent="0.25">
      <c r="A990" s="16"/>
      <c r="B990" s="16" t="str">
        <f t="shared" si="4"/>
        <v/>
      </c>
      <c r="C990" s="16"/>
      <c r="D990" s="40"/>
      <c r="E990" s="16"/>
      <c r="F990" s="41"/>
      <c r="G990" s="16"/>
      <c r="H990" s="16"/>
      <c r="I990" s="16"/>
      <c r="J990" s="22"/>
      <c r="K990" s="16"/>
      <c r="L990" s="50"/>
      <c r="M990" s="16"/>
      <c r="N990" s="19"/>
      <c r="O990" s="19"/>
      <c r="P990" s="19"/>
      <c r="Q990" s="19"/>
      <c r="R990" s="19"/>
      <c r="S990" s="19"/>
      <c r="T990" s="19"/>
      <c r="U990" s="19"/>
      <c r="V990" s="19"/>
      <c r="W990" s="20"/>
      <c r="X990" s="43"/>
    </row>
    <row r="991" spans="1:24" ht="15.75" hidden="1" customHeight="1" x14ac:dyDescent="0.25">
      <c r="A991" s="16"/>
      <c r="B991" s="16" t="str">
        <f t="shared" si="4"/>
        <v/>
      </c>
      <c r="C991" s="16"/>
      <c r="D991" s="40"/>
      <c r="E991" s="16"/>
      <c r="F991" s="41"/>
      <c r="G991" s="16"/>
      <c r="H991" s="16"/>
      <c r="I991" s="16"/>
      <c r="J991" s="22"/>
      <c r="K991" s="16"/>
      <c r="L991" s="50"/>
      <c r="M991" s="16"/>
      <c r="N991" s="19"/>
      <c r="O991" s="19"/>
      <c r="P991" s="19"/>
      <c r="Q991" s="19"/>
      <c r="R991" s="19"/>
      <c r="S991" s="19"/>
      <c r="T991" s="19"/>
      <c r="U991" s="19"/>
      <c r="V991" s="19"/>
      <c r="W991" s="20"/>
      <c r="X991" s="43"/>
    </row>
    <row r="992" spans="1:24" ht="15.75" hidden="1" customHeight="1" x14ac:dyDescent="0.25">
      <c r="A992" s="16"/>
      <c r="B992" s="16" t="str">
        <f t="shared" si="4"/>
        <v/>
      </c>
      <c r="C992" s="16"/>
      <c r="D992" s="40"/>
      <c r="E992" s="16"/>
      <c r="F992" s="41"/>
      <c r="G992" s="16"/>
      <c r="H992" s="16"/>
      <c r="I992" s="16"/>
      <c r="J992" s="22"/>
      <c r="K992" s="16"/>
      <c r="L992" s="50"/>
      <c r="M992" s="16"/>
      <c r="N992" s="19"/>
      <c r="O992" s="19"/>
      <c r="P992" s="19"/>
      <c r="Q992" s="19"/>
      <c r="R992" s="19"/>
      <c r="S992" s="19"/>
      <c r="T992" s="19"/>
      <c r="U992" s="19"/>
      <c r="V992" s="19"/>
      <c r="W992" s="20"/>
      <c r="X992" s="43"/>
    </row>
    <row r="993" spans="1:24" ht="15.75" hidden="1" customHeight="1" x14ac:dyDescent="0.25">
      <c r="A993" s="16"/>
      <c r="B993" s="16" t="str">
        <f t="shared" si="4"/>
        <v/>
      </c>
      <c r="C993" s="16"/>
      <c r="D993" s="40"/>
      <c r="E993" s="16"/>
      <c r="F993" s="41"/>
      <c r="G993" s="16"/>
      <c r="H993" s="16"/>
      <c r="I993" s="16"/>
      <c r="J993" s="22"/>
      <c r="K993" s="16"/>
      <c r="L993" s="50"/>
      <c r="M993" s="16"/>
      <c r="N993" s="19"/>
      <c r="O993" s="19"/>
      <c r="P993" s="19"/>
      <c r="Q993" s="19"/>
      <c r="R993" s="19"/>
      <c r="S993" s="19"/>
      <c r="T993" s="19"/>
      <c r="U993" s="19"/>
      <c r="V993" s="19"/>
      <c r="W993" s="20"/>
      <c r="X993" s="43"/>
    </row>
    <row r="994" spans="1:24" ht="15.75" hidden="1" customHeight="1" x14ac:dyDescent="0.25">
      <c r="A994" s="16"/>
      <c r="B994" s="16" t="str">
        <f t="shared" si="4"/>
        <v/>
      </c>
      <c r="C994" s="16"/>
      <c r="D994" s="40"/>
      <c r="E994" s="16"/>
      <c r="F994" s="41"/>
      <c r="G994" s="16"/>
      <c r="H994" s="16"/>
      <c r="I994" s="16"/>
      <c r="J994" s="22"/>
      <c r="K994" s="16"/>
      <c r="L994" s="50"/>
      <c r="M994" s="16"/>
      <c r="N994" s="19"/>
      <c r="O994" s="19"/>
      <c r="P994" s="19"/>
      <c r="Q994" s="19"/>
      <c r="R994" s="19"/>
      <c r="S994" s="19"/>
      <c r="T994" s="19"/>
      <c r="U994" s="19"/>
      <c r="V994" s="19"/>
      <c r="W994" s="20"/>
      <c r="X994" s="43"/>
    </row>
    <row r="995" spans="1:24" ht="15.75" hidden="1" customHeight="1" x14ac:dyDescent="0.25">
      <c r="A995" s="16"/>
      <c r="B995" s="16" t="str">
        <f t="shared" si="4"/>
        <v/>
      </c>
      <c r="C995" s="16"/>
      <c r="D995" s="40"/>
      <c r="E995" s="16"/>
      <c r="F995" s="41"/>
      <c r="G995" s="16"/>
      <c r="H995" s="16"/>
      <c r="I995" s="16"/>
      <c r="J995" s="22"/>
      <c r="K995" s="16"/>
      <c r="L995" s="50"/>
      <c r="M995" s="16"/>
      <c r="N995" s="19"/>
      <c r="O995" s="19"/>
      <c r="P995" s="19"/>
      <c r="Q995" s="19"/>
      <c r="R995" s="19"/>
      <c r="S995" s="19"/>
      <c r="T995" s="19"/>
      <c r="U995" s="19"/>
      <c r="V995" s="19"/>
      <c r="W995" s="20"/>
      <c r="X995" s="43"/>
    </row>
    <row r="996" spans="1:24" ht="15.75" hidden="1" customHeight="1" x14ac:dyDescent="0.25">
      <c r="A996" s="16"/>
      <c r="B996" s="16" t="str">
        <f t="shared" si="4"/>
        <v/>
      </c>
      <c r="C996" s="16"/>
      <c r="D996" s="40"/>
      <c r="E996" s="16"/>
      <c r="F996" s="41"/>
      <c r="G996" s="16"/>
      <c r="H996" s="16"/>
      <c r="I996" s="16"/>
      <c r="J996" s="22"/>
      <c r="K996" s="16"/>
      <c r="L996" s="50"/>
      <c r="M996" s="16"/>
      <c r="N996" s="19"/>
      <c r="O996" s="19"/>
      <c r="P996" s="19"/>
      <c r="Q996" s="19"/>
      <c r="R996" s="19"/>
      <c r="S996" s="19"/>
      <c r="T996" s="19"/>
      <c r="U996" s="19"/>
      <c r="V996" s="19"/>
      <c r="W996" s="20"/>
      <c r="X996" s="43"/>
    </row>
    <row r="997" spans="1:24" ht="15.75" hidden="1" customHeight="1" x14ac:dyDescent="0.25">
      <c r="A997" s="16"/>
      <c r="B997" s="16" t="str">
        <f t="shared" si="4"/>
        <v/>
      </c>
      <c r="C997" s="16"/>
      <c r="D997" s="40"/>
      <c r="E997" s="16"/>
      <c r="F997" s="41"/>
      <c r="G997" s="16"/>
      <c r="H997" s="16"/>
      <c r="I997" s="16"/>
      <c r="J997" s="22"/>
      <c r="K997" s="16"/>
      <c r="L997" s="50"/>
      <c r="M997" s="16"/>
      <c r="N997" s="19"/>
      <c r="O997" s="19"/>
      <c r="P997" s="19"/>
      <c r="Q997" s="19"/>
      <c r="R997" s="19"/>
      <c r="S997" s="19"/>
      <c r="T997" s="19"/>
      <c r="U997" s="19"/>
      <c r="V997" s="19"/>
      <c r="W997" s="20"/>
    </row>
    <row r="998" spans="1:24" ht="15.75" hidden="1" customHeight="1" x14ac:dyDescent="0.25">
      <c r="A998" s="16"/>
      <c r="B998" s="16" t="str">
        <f t="shared" si="4"/>
        <v/>
      </c>
      <c r="C998" s="16"/>
      <c r="D998" s="40"/>
      <c r="E998" s="16"/>
      <c r="F998" s="41"/>
      <c r="G998" s="16"/>
      <c r="H998" s="16"/>
      <c r="I998" s="16"/>
      <c r="J998" s="22"/>
      <c r="K998" s="16"/>
      <c r="L998" s="50"/>
      <c r="M998" s="16"/>
      <c r="N998" s="19"/>
      <c r="O998" s="19"/>
      <c r="P998" s="19"/>
      <c r="Q998" s="19"/>
      <c r="R998" s="19"/>
      <c r="S998" s="19"/>
      <c r="T998" s="19"/>
      <c r="U998" s="19"/>
      <c r="V998" s="19"/>
      <c r="W998" s="20"/>
    </row>
    <row r="999" spans="1:24" ht="15.75" hidden="1" customHeight="1" x14ac:dyDescent="0.25">
      <c r="A999" s="16"/>
      <c r="B999" s="16" t="str">
        <f t="shared" si="4"/>
        <v/>
      </c>
      <c r="C999" s="16"/>
      <c r="D999" s="40"/>
      <c r="E999" s="16"/>
      <c r="F999" s="41"/>
      <c r="G999" s="16"/>
      <c r="H999" s="16"/>
      <c r="I999" s="16"/>
      <c r="J999" s="22"/>
      <c r="K999" s="16"/>
      <c r="L999" s="50"/>
      <c r="M999" s="16"/>
      <c r="N999" s="19"/>
      <c r="O999" s="19"/>
      <c r="P999" s="19"/>
      <c r="Q999" s="19"/>
      <c r="R999" s="19"/>
      <c r="S999" s="19"/>
      <c r="T999" s="19"/>
      <c r="U999" s="19"/>
      <c r="V999" s="19"/>
      <c r="W999" s="20"/>
    </row>
    <row r="1000" spans="1:24" ht="15.75" hidden="1" customHeight="1" x14ac:dyDescent="0.25">
      <c r="A1000" s="16"/>
      <c r="B1000" s="16" t="str">
        <f t="shared" si="4"/>
        <v/>
      </c>
      <c r="C1000" s="16"/>
      <c r="D1000" s="40"/>
      <c r="E1000" s="16"/>
      <c r="F1000" s="41"/>
      <c r="G1000" s="16"/>
      <c r="H1000" s="16"/>
      <c r="I1000" s="16"/>
      <c r="J1000" s="22"/>
      <c r="K1000" s="16"/>
      <c r="L1000" s="50"/>
      <c r="M1000" s="16"/>
      <c r="N1000" s="19"/>
      <c r="O1000" s="19"/>
      <c r="P1000" s="19"/>
      <c r="Q1000" s="19"/>
      <c r="R1000" s="19"/>
      <c r="S1000" s="19"/>
      <c r="T1000" s="19"/>
      <c r="U1000" s="19"/>
      <c r="V1000" s="19"/>
      <c r="W1000" s="20"/>
    </row>
    <row r="1001" spans="1:24" ht="15.75" hidden="1" customHeight="1" x14ac:dyDescent="0.25">
      <c r="A1001" s="16"/>
      <c r="B1001" s="16" t="str">
        <f t="shared" si="4"/>
        <v/>
      </c>
      <c r="C1001" s="16"/>
      <c r="D1001" s="40"/>
      <c r="E1001" s="16"/>
      <c r="F1001" s="41"/>
      <c r="G1001" s="16"/>
      <c r="H1001" s="16"/>
      <c r="I1001" s="16"/>
      <c r="J1001" s="22"/>
      <c r="K1001" s="16"/>
      <c r="L1001" s="50"/>
      <c r="M1001" s="16"/>
      <c r="N1001" s="19"/>
      <c r="O1001" s="19"/>
      <c r="P1001" s="19"/>
      <c r="Q1001" s="19"/>
      <c r="R1001" s="19"/>
      <c r="S1001" s="19"/>
      <c r="T1001" s="19"/>
      <c r="U1001" s="19"/>
      <c r="V1001" s="19"/>
      <c r="W1001" s="20"/>
    </row>
    <row r="1002" spans="1:24" ht="15.75" hidden="1" customHeight="1" x14ac:dyDescent="0.25">
      <c r="A1002" s="16"/>
      <c r="B1002" s="16" t="str">
        <f t="shared" si="4"/>
        <v/>
      </c>
      <c r="C1002" s="16"/>
      <c r="D1002" s="40"/>
      <c r="E1002" s="16"/>
      <c r="F1002" s="41"/>
      <c r="G1002" s="16"/>
      <c r="H1002" s="16"/>
      <c r="I1002" s="16"/>
      <c r="J1002" s="22"/>
      <c r="K1002" s="16"/>
      <c r="L1002" s="50"/>
      <c r="M1002" s="16"/>
      <c r="N1002" s="19"/>
      <c r="O1002" s="19"/>
      <c r="P1002" s="19"/>
      <c r="Q1002" s="19"/>
      <c r="R1002" s="19"/>
      <c r="S1002" s="19"/>
      <c r="T1002" s="19"/>
      <c r="U1002" s="19"/>
      <c r="V1002" s="19"/>
      <c r="W1002" s="20"/>
    </row>
    <row r="1003" spans="1:24" ht="15.75" hidden="1" customHeight="1" x14ac:dyDescent="0.25">
      <c r="A1003" s="16"/>
      <c r="B1003" s="16" t="str">
        <f t="shared" si="4"/>
        <v/>
      </c>
      <c r="C1003" s="16"/>
      <c r="D1003" s="40"/>
      <c r="E1003" s="16"/>
      <c r="F1003" s="41"/>
      <c r="G1003" s="16"/>
      <c r="H1003" s="16"/>
      <c r="I1003" s="16"/>
      <c r="J1003" s="22"/>
      <c r="K1003" s="16"/>
      <c r="L1003" s="50"/>
      <c r="M1003" s="16"/>
      <c r="N1003" s="19"/>
      <c r="O1003" s="19"/>
      <c r="P1003" s="19"/>
      <c r="Q1003" s="19"/>
      <c r="R1003" s="19"/>
      <c r="S1003" s="19"/>
      <c r="T1003" s="19"/>
      <c r="U1003" s="19"/>
      <c r="V1003" s="19"/>
      <c r="W1003" s="20"/>
    </row>
    <row r="1004" spans="1:24" ht="15.75" hidden="1" customHeight="1" x14ac:dyDescent="0.25">
      <c r="A1004" s="16"/>
      <c r="B1004" s="16" t="str">
        <f t="shared" si="4"/>
        <v/>
      </c>
      <c r="C1004" s="16"/>
      <c r="D1004" s="40"/>
      <c r="E1004" s="16"/>
      <c r="F1004" s="41"/>
      <c r="G1004" s="16"/>
      <c r="H1004" s="16"/>
      <c r="I1004" s="16"/>
      <c r="J1004" s="22"/>
      <c r="K1004" s="16"/>
      <c r="L1004" s="50"/>
      <c r="M1004" s="16"/>
      <c r="N1004" s="19"/>
      <c r="O1004" s="19"/>
      <c r="P1004" s="19"/>
      <c r="Q1004" s="19"/>
      <c r="R1004" s="19"/>
      <c r="S1004" s="19"/>
      <c r="T1004" s="19"/>
      <c r="U1004" s="19"/>
      <c r="V1004" s="19"/>
      <c r="W1004" s="20"/>
    </row>
    <row r="1005" spans="1:24" ht="15.75" hidden="1" customHeight="1" x14ac:dyDescent="0.25">
      <c r="A1005" s="16"/>
      <c r="B1005" s="16" t="str">
        <f t="shared" si="4"/>
        <v/>
      </c>
      <c r="C1005" s="16"/>
      <c r="D1005" s="40"/>
      <c r="E1005" s="16"/>
      <c r="F1005" s="41"/>
      <c r="G1005" s="16"/>
      <c r="H1005" s="16"/>
      <c r="I1005" s="16"/>
      <c r="J1005" s="22"/>
      <c r="K1005" s="16"/>
      <c r="L1005" s="50"/>
      <c r="M1005" s="16"/>
      <c r="N1005" s="19"/>
      <c r="O1005" s="19"/>
      <c r="P1005" s="19"/>
      <c r="Q1005" s="19"/>
      <c r="R1005" s="19"/>
      <c r="S1005" s="19"/>
      <c r="T1005" s="19"/>
      <c r="U1005" s="19"/>
      <c r="V1005" s="19"/>
      <c r="W1005" s="20"/>
    </row>
    <row r="1006" spans="1:24" ht="15.75" hidden="1" customHeight="1" x14ac:dyDescent="0.25">
      <c r="A1006" s="16"/>
      <c r="B1006" s="16" t="str">
        <f t="shared" si="4"/>
        <v/>
      </c>
      <c r="C1006" s="16"/>
      <c r="D1006" s="40"/>
      <c r="E1006" s="16"/>
      <c r="F1006" s="41"/>
      <c r="G1006" s="16"/>
      <c r="H1006" s="16"/>
      <c r="I1006" s="16"/>
      <c r="J1006" s="22"/>
      <c r="K1006" s="16"/>
      <c r="L1006" s="50"/>
      <c r="M1006" s="16"/>
      <c r="N1006" s="19"/>
      <c r="O1006" s="19"/>
      <c r="P1006" s="19"/>
      <c r="Q1006" s="19"/>
      <c r="R1006" s="19"/>
      <c r="S1006" s="19"/>
      <c r="T1006" s="19"/>
      <c r="U1006" s="19"/>
      <c r="V1006" s="19"/>
      <c r="W1006" s="20"/>
    </row>
    <row r="1007" spans="1:24" ht="15.75" hidden="1" customHeight="1" x14ac:dyDescent="0.25">
      <c r="A1007" s="16"/>
      <c r="B1007" s="16" t="str">
        <f t="shared" si="4"/>
        <v/>
      </c>
      <c r="C1007" s="16"/>
      <c r="D1007" s="40"/>
      <c r="E1007" s="16"/>
      <c r="F1007" s="41"/>
      <c r="G1007" s="16"/>
      <c r="H1007" s="16"/>
      <c r="I1007" s="16"/>
      <c r="J1007" s="22"/>
      <c r="K1007" s="16"/>
      <c r="L1007" s="50"/>
      <c r="M1007" s="16"/>
      <c r="N1007" s="19"/>
      <c r="O1007" s="19"/>
      <c r="P1007" s="19"/>
      <c r="Q1007" s="19"/>
      <c r="R1007" s="19"/>
      <c r="S1007" s="19"/>
      <c r="T1007" s="19"/>
      <c r="U1007" s="19"/>
      <c r="V1007" s="19"/>
      <c r="W1007" s="20"/>
    </row>
    <row r="1008" spans="1:24" ht="15.75" hidden="1" customHeight="1" x14ac:dyDescent="0.25">
      <c r="A1008" s="16"/>
      <c r="B1008" s="16" t="str">
        <f t="shared" si="4"/>
        <v/>
      </c>
      <c r="C1008" s="16"/>
      <c r="D1008" s="40"/>
      <c r="E1008" s="16"/>
      <c r="F1008" s="41"/>
      <c r="G1008" s="16"/>
      <c r="H1008" s="16"/>
      <c r="I1008" s="16"/>
      <c r="J1008" s="22"/>
      <c r="K1008" s="16"/>
      <c r="L1008" s="50"/>
      <c r="M1008" s="16"/>
      <c r="N1008" s="19"/>
      <c r="O1008" s="19"/>
      <c r="P1008" s="19"/>
      <c r="Q1008" s="19"/>
      <c r="R1008" s="19"/>
      <c r="S1008" s="19"/>
      <c r="T1008" s="19"/>
      <c r="U1008" s="19"/>
      <c r="V1008" s="19"/>
      <c r="W1008" s="20"/>
    </row>
    <row r="1009" spans="1:26" ht="15.75" hidden="1" customHeight="1" x14ac:dyDescent="0.25">
      <c r="A1009" s="16"/>
      <c r="B1009" s="16" t="str">
        <f t="shared" si="4"/>
        <v/>
      </c>
      <c r="C1009" s="16"/>
      <c r="D1009" s="40"/>
      <c r="E1009" s="16"/>
      <c r="F1009" s="41"/>
      <c r="G1009" s="16"/>
      <c r="H1009" s="16"/>
      <c r="I1009" s="16"/>
      <c r="J1009" s="22"/>
      <c r="K1009" s="16"/>
      <c r="L1009" s="50"/>
      <c r="M1009" s="16"/>
      <c r="N1009" s="19"/>
      <c r="O1009" s="19"/>
      <c r="P1009" s="19"/>
      <c r="Q1009" s="19"/>
      <c r="R1009" s="19"/>
      <c r="S1009" s="19"/>
      <c r="T1009" s="19"/>
      <c r="U1009" s="19"/>
      <c r="V1009" s="19"/>
      <c r="W1009" s="20"/>
    </row>
    <row r="1010" spans="1:26" ht="15.75" hidden="1" customHeight="1" x14ac:dyDescent="0.25">
      <c r="A1010" s="16"/>
      <c r="B1010" s="16" t="str">
        <f t="shared" si="4"/>
        <v/>
      </c>
      <c r="C1010" s="16"/>
      <c r="D1010" s="40"/>
      <c r="E1010" s="16"/>
      <c r="F1010" s="41"/>
      <c r="G1010" s="16"/>
      <c r="H1010" s="16"/>
      <c r="I1010" s="16"/>
      <c r="J1010" s="22"/>
      <c r="K1010" s="16"/>
      <c r="L1010" s="50"/>
      <c r="M1010" s="16"/>
      <c r="N1010" s="19"/>
      <c r="O1010" s="19"/>
      <c r="P1010" s="19"/>
      <c r="Q1010" s="19"/>
      <c r="R1010" s="19"/>
      <c r="S1010" s="19"/>
      <c r="T1010" s="19"/>
      <c r="U1010" s="19"/>
      <c r="V1010" s="19"/>
      <c r="W1010" s="20"/>
    </row>
    <row r="1011" spans="1:26" ht="15.75" hidden="1" customHeight="1" x14ac:dyDescent="0.25">
      <c r="A1011" s="16"/>
      <c r="B1011" s="16" t="str">
        <f t="shared" si="4"/>
        <v/>
      </c>
      <c r="C1011" s="16"/>
      <c r="D1011" s="40"/>
      <c r="E1011" s="16"/>
      <c r="F1011" s="41"/>
      <c r="G1011" s="16"/>
      <c r="H1011" s="16"/>
      <c r="I1011" s="16"/>
      <c r="J1011" s="22"/>
      <c r="K1011" s="16"/>
      <c r="L1011" s="50"/>
      <c r="M1011" s="16"/>
      <c r="N1011" s="19"/>
      <c r="O1011" s="19"/>
      <c r="P1011" s="19"/>
      <c r="Q1011" s="19"/>
      <c r="R1011" s="19"/>
      <c r="S1011" s="19"/>
      <c r="T1011" s="19"/>
      <c r="U1011" s="19"/>
      <c r="V1011" s="19"/>
      <c r="W1011" s="20"/>
    </row>
    <row r="1012" spans="1:26" ht="15.75" hidden="1" customHeight="1" x14ac:dyDescent="0.25">
      <c r="A1012" s="16"/>
      <c r="B1012" s="16" t="str">
        <f t="shared" si="4"/>
        <v/>
      </c>
      <c r="C1012" s="16"/>
      <c r="D1012" s="40"/>
      <c r="E1012" s="16"/>
      <c r="F1012" s="41"/>
      <c r="G1012" s="16"/>
      <c r="H1012" s="16"/>
      <c r="I1012" s="16"/>
      <c r="J1012" s="22"/>
      <c r="K1012" s="16"/>
      <c r="L1012" s="50"/>
      <c r="M1012" s="16"/>
      <c r="N1012" s="19"/>
      <c r="O1012" s="19"/>
      <c r="P1012" s="19"/>
      <c r="Q1012" s="19"/>
      <c r="R1012" s="19"/>
      <c r="S1012" s="19"/>
      <c r="T1012" s="19"/>
      <c r="U1012" s="19"/>
      <c r="V1012" s="19"/>
      <c r="W1012" s="20"/>
    </row>
    <row r="1013" spans="1:26" ht="15.75" hidden="1" customHeight="1" x14ac:dyDescent="0.25">
      <c r="A1013" s="16"/>
      <c r="B1013" s="16" t="str">
        <f t="shared" si="4"/>
        <v/>
      </c>
      <c r="C1013" s="16"/>
      <c r="D1013" s="40"/>
      <c r="E1013" s="16"/>
      <c r="F1013" s="41"/>
      <c r="G1013" s="16"/>
      <c r="H1013" s="16"/>
      <c r="I1013" s="16"/>
      <c r="J1013" s="22"/>
      <c r="K1013" s="16"/>
      <c r="L1013" s="50"/>
      <c r="M1013" s="16"/>
      <c r="N1013" s="19"/>
      <c r="O1013" s="19"/>
      <c r="P1013" s="19"/>
      <c r="Q1013" s="19"/>
      <c r="R1013" s="19"/>
      <c r="S1013" s="19"/>
      <c r="T1013" s="19"/>
      <c r="U1013" s="19"/>
      <c r="V1013" s="19"/>
      <c r="W1013" s="20"/>
    </row>
    <row r="1014" spans="1:26" ht="15.75" hidden="1" customHeight="1" x14ac:dyDescent="0.25">
      <c r="A1014" s="16"/>
      <c r="B1014" s="16" t="str">
        <f t="shared" si="4"/>
        <v/>
      </c>
      <c r="C1014" s="16"/>
      <c r="D1014" s="40"/>
      <c r="E1014" s="16"/>
      <c r="F1014" s="41"/>
      <c r="G1014" s="16"/>
      <c r="H1014" s="16"/>
      <c r="I1014" s="16"/>
      <c r="J1014" s="22"/>
      <c r="K1014" s="16"/>
      <c r="L1014" s="50"/>
      <c r="M1014" s="16"/>
      <c r="N1014" s="19"/>
      <c r="O1014" s="19"/>
      <c r="P1014" s="19"/>
      <c r="Q1014" s="19"/>
      <c r="R1014" s="19"/>
      <c r="S1014" s="19"/>
      <c r="T1014" s="19"/>
      <c r="U1014" s="19"/>
      <c r="V1014" s="19"/>
      <c r="W1014" s="20"/>
    </row>
    <row r="1015" spans="1:26" ht="15.75" hidden="1" customHeight="1" x14ac:dyDescent="0.25">
      <c r="A1015" s="16"/>
      <c r="B1015" s="16" t="str">
        <f t="shared" si="4"/>
        <v/>
      </c>
      <c r="C1015" s="16"/>
      <c r="D1015" s="40"/>
      <c r="E1015" s="16"/>
      <c r="F1015" s="41"/>
      <c r="G1015" s="16"/>
      <c r="H1015" s="16"/>
      <c r="I1015" s="16"/>
      <c r="J1015" s="22"/>
      <c r="K1015" s="16"/>
      <c r="L1015" s="50"/>
      <c r="M1015" s="16"/>
      <c r="N1015" s="19"/>
      <c r="O1015" s="19"/>
      <c r="P1015" s="19"/>
      <c r="Q1015" s="19"/>
      <c r="R1015" s="19"/>
      <c r="S1015" s="19"/>
      <c r="T1015" s="19"/>
      <c r="U1015" s="19"/>
      <c r="V1015" s="19"/>
      <c r="W1015" s="20"/>
    </row>
    <row r="1016" spans="1:26" ht="15.75" hidden="1" customHeight="1" x14ac:dyDescent="0.25">
      <c r="A1016" s="16"/>
      <c r="B1016" s="16" t="str">
        <f t="shared" si="4"/>
        <v/>
      </c>
      <c r="C1016" s="16"/>
      <c r="D1016" s="40"/>
      <c r="E1016" s="16"/>
      <c r="F1016" s="41"/>
      <c r="G1016" s="16"/>
      <c r="H1016" s="16"/>
      <c r="I1016" s="16"/>
      <c r="J1016" s="22"/>
      <c r="K1016" s="16"/>
      <c r="L1016" s="50"/>
      <c r="M1016" s="16"/>
      <c r="N1016" s="19"/>
      <c r="O1016" s="19"/>
      <c r="P1016" s="19"/>
      <c r="Q1016" s="19"/>
      <c r="R1016" s="19"/>
      <c r="S1016" s="19"/>
      <c r="T1016" s="19"/>
      <c r="U1016" s="19"/>
      <c r="V1016" s="19"/>
      <c r="W1016" s="20"/>
    </row>
    <row r="1017" spans="1:26" ht="15.75" hidden="1" customHeight="1" x14ac:dyDescent="0.25">
      <c r="A1017" s="16"/>
      <c r="B1017" s="16" t="str">
        <f t="shared" si="4"/>
        <v/>
      </c>
      <c r="C1017" s="16"/>
      <c r="D1017" s="40"/>
      <c r="E1017" s="16"/>
      <c r="F1017" s="41"/>
      <c r="G1017" s="16"/>
      <c r="H1017" s="16"/>
      <c r="I1017" s="16"/>
      <c r="J1017" s="22"/>
      <c r="K1017" s="16"/>
      <c r="L1017" s="50"/>
      <c r="M1017" s="16"/>
      <c r="N1017" s="19"/>
      <c r="O1017" s="19"/>
      <c r="P1017" s="19"/>
      <c r="Q1017" s="19"/>
      <c r="R1017" s="19"/>
      <c r="S1017" s="19"/>
      <c r="T1017" s="19"/>
      <c r="U1017" s="19"/>
      <c r="V1017" s="19"/>
      <c r="W1017" s="20"/>
    </row>
    <row r="1018" spans="1:26" ht="15.75" hidden="1" customHeight="1" x14ac:dyDescent="0.25">
      <c r="A1018" s="16"/>
      <c r="B1018" s="16" t="str">
        <f t="shared" si="4"/>
        <v/>
      </c>
      <c r="C1018" s="16"/>
      <c r="D1018" s="40"/>
      <c r="E1018" s="16"/>
      <c r="F1018" s="41"/>
      <c r="G1018" s="16"/>
      <c r="H1018" s="16"/>
      <c r="I1018" s="16"/>
      <c r="J1018" s="22"/>
      <c r="K1018" s="16"/>
      <c r="L1018" s="50"/>
      <c r="M1018" s="16"/>
      <c r="N1018" s="19"/>
      <c r="O1018" s="19"/>
      <c r="P1018" s="19"/>
      <c r="Q1018" s="19"/>
      <c r="R1018" s="19"/>
      <c r="S1018" s="19"/>
      <c r="T1018" s="19"/>
      <c r="U1018" s="19"/>
      <c r="V1018" s="19"/>
      <c r="W1018" s="20"/>
    </row>
    <row r="1019" spans="1:26" ht="15.75" hidden="1" customHeight="1" x14ac:dyDescent="0.25">
      <c r="A1019" s="16"/>
      <c r="B1019" s="16" t="str">
        <f t="shared" si="4"/>
        <v/>
      </c>
      <c r="C1019" s="16"/>
      <c r="D1019" s="40"/>
      <c r="E1019" s="16"/>
      <c r="F1019" s="41"/>
      <c r="G1019" s="16"/>
      <c r="H1019" s="16"/>
      <c r="I1019" s="16"/>
      <c r="J1019" s="22"/>
      <c r="K1019" s="16"/>
      <c r="L1019" s="50"/>
      <c r="M1019" s="16"/>
      <c r="N1019" s="19"/>
      <c r="O1019" s="19"/>
      <c r="P1019" s="19"/>
      <c r="Q1019" s="19"/>
      <c r="R1019" s="19"/>
      <c r="S1019" s="19"/>
      <c r="T1019" s="19"/>
      <c r="U1019" s="19"/>
      <c r="V1019" s="19"/>
      <c r="W1019" s="20"/>
    </row>
    <row r="1020" spans="1:26" ht="15.75" hidden="1" customHeight="1" x14ac:dyDescent="0.25">
      <c r="A1020" s="16"/>
      <c r="B1020" s="16" t="str">
        <f t="shared" si="4"/>
        <v/>
      </c>
      <c r="C1020" s="16"/>
      <c r="D1020" s="40"/>
      <c r="E1020" s="16"/>
      <c r="F1020" s="41"/>
      <c r="G1020" s="16"/>
      <c r="H1020" s="16"/>
      <c r="I1020" s="16"/>
      <c r="J1020" s="22"/>
      <c r="K1020" s="16"/>
      <c r="L1020" s="50"/>
      <c r="M1020" s="16"/>
      <c r="N1020" s="19"/>
      <c r="O1020" s="19"/>
      <c r="P1020" s="19"/>
      <c r="Q1020" s="19"/>
      <c r="R1020" s="19"/>
      <c r="S1020" s="19"/>
      <c r="T1020" s="19"/>
      <c r="U1020" s="19"/>
      <c r="V1020" s="19"/>
      <c r="W1020" s="20"/>
    </row>
    <row r="1021" spans="1:26" ht="15.75" hidden="1" customHeight="1" x14ac:dyDescent="0.25">
      <c r="A1021" s="16"/>
      <c r="B1021" s="16" t="str">
        <f t="shared" si="4"/>
        <v/>
      </c>
      <c r="C1021" s="16"/>
      <c r="D1021" s="40"/>
      <c r="E1021" s="16"/>
      <c r="F1021" s="41"/>
      <c r="G1021" s="16"/>
      <c r="H1021" s="16"/>
      <c r="I1021" s="16"/>
      <c r="J1021" s="22"/>
      <c r="K1021" s="16"/>
      <c r="L1021" s="50"/>
      <c r="M1021" s="16"/>
      <c r="N1021" s="19"/>
      <c r="O1021" s="19"/>
      <c r="P1021" s="19"/>
      <c r="Q1021" s="19"/>
      <c r="R1021" s="19"/>
      <c r="S1021" s="19"/>
      <c r="T1021" s="19"/>
      <c r="U1021" s="19"/>
      <c r="V1021" s="19"/>
      <c r="W1021" s="20"/>
    </row>
    <row r="1022" spans="1:26" ht="15.75" customHeight="1" x14ac:dyDescent="0.25">
      <c r="A1022" s="23"/>
      <c r="B1022" s="23" t="str">
        <f t="shared" si="4"/>
        <v/>
      </c>
      <c r="C1022" s="23"/>
      <c r="D1022" s="44"/>
      <c r="E1022" s="23"/>
      <c r="F1022" s="45"/>
      <c r="G1022" s="23"/>
      <c r="H1022" s="23"/>
      <c r="I1022" s="23"/>
      <c r="J1022" s="25"/>
      <c r="K1022" s="23"/>
      <c r="L1022" s="51"/>
      <c r="M1022" s="23"/>
      <c r="N1022" s="26"/>
      <c r="O1022" s="26"/>
      <c r="P1022" s="26"/>
      <c r="Q1022" s="26"/>
      <c r="R1022" s="26"/>
      <c r="S1022" s="26"/>
      <c r="T1022" s="26"/>
      <c r="U1022" s="26"/>
      <c r="V1022" s="26"/>
      <c r="W1022" s="27"/>
    </row>
    <row r="1023" spans="1:26" ht="15.75" customHeight="1" x14ac:dyDescent="0.25">
      <c r="A1023" s="23"/>
      <c r="B1023" s="23" t="str">
        <f t="shared" si="4"/>
        <v/>
      </c>
      <c r="C1023" s="23"/>
      <c r="D1023" s="44"/>
      <c r="E1023" s="23"/>
      <c r="F1023" s="45"/>
      <c r="G1023" s="23"/>
      <c r="H1023" s="23"/>
      <c r="I1023" s="23"/>
      <c r="J1023" s="25"/>
      <c r="K1023" s="23"/>
      <c r="L1023" s="51"/>
      <c r="M1023" s="23"/>
      <c r="N1023" s="26"/>
      <c r="O1023" s="26"/>
      <c r="P1023" s="26"/>
      <c r="Q1023" s="26"/>
      <c r="R1023" s="26"/>
      <c r="S1023" s="26"/>
      <c r="T1023" s="26"/>
      <c r="U1023" s="26"/>
      <c r="V1023" s="26"/>
      <c r="W1023" s="27"/>
    </row>
    <row r="1024" spans="1:26" ht="23.25" customHeight="1" x14ac:dyDescent="0.25">
      <c r="A1024" s="28" t="s">
        <v>33</v>
      </c>
      <c r="B1024" s="28" t="str">
        <f t="shared" si="4"/>
        <v/>
      </c>
      <c r="C1024" s="28"/>
      <c r="D1024" s="28"/>
      <c r="E1024" s="28"/>
      <c r="F1024" s="29"/>
      <c r="G1024" s="28">
        <f ca="1">SUM(G23:G1021)</f>
        <v>2110177755</v>
      </c>
      <c r="H1024" s="28"/>
      <c r="I1024" s="28">
        <f ca="1">SUM(I23:I1021)</f>
        <v>2110177755</v>
      </c>
      <c r="J1024" s="30"/>
      <c r="K1024" s="28">
        <f t="shared" ref="K1024:W1024" ca="1" si="5">SUM(K23:K1021)</f>
        <v>0</v>
      </c>
      <c r="L1024" s="28">
        <f t="shared" ca="1" si="5"/>
        <v>8900000</v>
      </c>
      <c r="M1024" s="28">
        <f t="shared" ca="1" si="5"/>
        <v>30857000</v>
      </c>
      <c r="N1024" s="28">
        <f t="shared" ca="1" si="5"/>
        <v>84000000</v>
      </c>
      <c r="O1024" s="28">
        <f t="shared" ca="1" si="5"/>
        <v>937032000</v>
      </c>
      <c r="P1024" s="28">
        <f t="shared" ca="1" si="5"/>
        <v>126200000</v>
      </c>
      <c r="Q1024" s="28">
        <f t="shared" ca="1" si="5"/>
        <v>768372455</v>
      </c>
      <c r="R1024" s="28">
        <f t="shared" ca="1" si="5"/>
        <v>154816300</v>
      </c>
      <c r="S1024" s="28">
        <f t="shared" ca="1" si="5"/>
        <v>0</v>
      </c>
      <c r="T1024" s="28">
        <f t="shared" ca="1" si="5"/>
        <v>0</v>
      </c>
      <c r="U1024" s="28">
        <f t="shared" ca="1" si="5"/>
        <v>0</v>
      </c>
      <c r="V1024" s="28">
        <f t="shared" ca="1" si="5"/>
        <v>0</v>
      </c>
      <c r="W1024" s="28">
        <f t="shared" ca="1" si="5"/>
        <v>2110177755</v>
      </c>
      <c r="X1024" s="31"/>
      <c r="Y1024" s="32"/>
      <c r="Z1024" s="32"/>
    </row>
    <row r="1025" spans="1:23" ht="15.75" customHeight="1" x14ac:dyDescent="0.25">
      <c r="A1025" s="23"/>
      <c r="B1025" s="23" t="str">
        <f t="shared" si="4"/>
        <v/>
      </c>
      <c r="C1025" s="23"/>
      <c r="D1025" s="44"/>
      <c r="E1025" s="23"/>
      <c r="F1025" s="45"/>
      <c r="G1025" s="23"/>
      <c r="H1025" s="23"/>
      <c r="I1025" s="23"/>
      <c r="J1025" s="25"/>
      <c r="K1025" s="23"/>
      <c r="L1025" s="23"/>
      <c r="M1025" s="23"/>
      <c r="N1025" s="26"/>
      <c r="O1025" s="26"/>
      <c r="P1025" s="26"/>
      <c r="Q1025" s="26"/>
      <c r="R1025" s="26"/>
      <c r="S1025" s="26"/>
      <c r="T1025" s="26"/>
      <c r="U1025" s="26"/>
      <c r="V1025" s="26"/>
      <c r="W1025" s="27"/>
    </row>
    <row r="1026" spans="1:23" ht="15.75" customHeight="1" x14ac:dyDescent="0.25">
      <c r="A1026" s="23"/>
      <c r="B1026" s="23" t="str">
        <f t="shared" si="4"/>
        <v/>
      </c>
      <c r="C1026" s="33" t="s">
        <v>34</v>
      </c>
      <c r="D1026" s="44"/>
      <c r="E1026" s="23"/>
      <c r="F1026" s="45"/>
      <c r="G1026" s="23"/>
      <c r="H1026" s="23"/>
      <c r="I1026" s="23"/>
      <c r="J1026" s="25"/>
      <c r="K1026" s="23"/>
      <c r="L1026" s="23"/>
      <c r="M1026" s="23"/>
      <c r="N1026" s="26"/>
      <c r="O1026" s="26"/>
      <c r="P1026" s="26"/>
      <c r="Q1026" s="26"/>
      <c r="R1026" s="26"/>
      <c r="S1026" s="26"/>
      <c r="T1026" s="26"/>
      <c r="U1026" s="26"/>
      <c r="V1026" s="26"/>
      <c r="W1026" s="27"/>
    </row>
    <row r="1027" spans="1:23" ht="15.75" customHeight="1" x14ac:dyDescent="0.25">
      <c r="A1027" s="23"/>
      <c r="B1027" s="23" t="str">
        <f t="shared" si="4"/>
        <v/>
      </c>
      <c r="C1027" s="23"/>
      <c r="D1027" s="44"/>
      <c r="E1027" s="23"/>
      <c r="F1027" s="45"/>
      <c r="G1027" s="23"/>
      <c r="H1027" s="23"/>
      <c r="I1027" s="23"/>
      <c r="J1027" s="25"/>
      <c r="K1027" s="23"/>
      <c r="L1027" s="51"/>
      <c r="M1027" s="23"/>
      <c r="N1027" s="26"/>
      <c r="O1027" s="26"/>
      <c r="P1027" s="26"/>
      <c r="Q1027" s="26"/>
      <c r="R1027" s="26"/>
      <c r="S1027" s="26"/>
      <c r="T1027" s="26"/>
      <c r="U1027" s="26"/>
      <c r="V1027" s="26"/>
      <c r="W1027" s="27"/>
    </row>
    <row r="1028" spans="1:23" ht="15.75" customHeight="1" x14ac:dyDescent="0.25">
      <c r="A1028" s="23"/>
      <c r="B1028" s="23" t="str">
        <f t="shared" si="4"/>
        <v/>
      </c>
      <c r="C1028" s="23"/>
      <c r="D1028" s="44"/>
      <c r="E1028" s="23"/>
      <c r="F1028" s="45"/>
      <c r="G1028" s="23"/>
      <c r="H1028" s="23"/>
      <c r="I1028" s="23"/>
      <c r="J1028" s="25"/>
      <c r="K1028" s="23"/>
      <c r="L1028" s="51"/>
      <c r="M1028" s="23"/>
      <c r="N1028" s="26"/>
      <c r="O1028" s="26"/>
      <c r="P1028" s="26"/>
      <c r="Q1028" s="26"/>
      <c r="R1028" s="26"/>
      <c r="S1028" s="26"/>
      <c r="T1028" s="26"/>
      <c r="U1028" s="26"/>
      <c r="V1028" s="26"/>
      <c r="W1028" s="27"/>
    </row>
    <row r="1029" spans="1:23" ht="15.75" customHeight="1" x14ac:dyDescent="0.25">
      <c r="A1029" s="23"/>
      <c r="B1029" s="23" t="str">
        <f t="shared" si="4"/>
        <v/>
      </c>
      <c r="C1029" s="23"/>
      <c r="D1029" s="44"/>
      <c r="E1029" s="23"/>
      <c r="F1029" s="45"/>
      <c r="G1029" s="23"/>
      <c r="H1029" s="23"/>
      <c r="I1029" s="23"/>
      <c r="J1029" s="25"/>
      <c r="K1029" s="23"/>
      <c r="L1029" s="51"/>
      <c r="M1029" s="23"/>
      <c r="N1029" s="26"/>
      <c r="O1029" s="26"/>
      <c r="P1029" s="26"/>
      <c r="Q1029" s="26"/>
      <c r="R1029" s="26"/>
      <c r="S1029" s="26"/>
      <c r="T1029" s="26"/>
      <c r="U1029" s="26"/>
      <c r="V1029" s="26"/>
      <c r="W1029" s="27"/>
    </row>
    <row r="1030" spans="1:23" ht="15.75" customHeight="1" x14ac:dyDescent="0.25">
      <c r="A1030" s="23"/>
      <c r="B1030" s="23" t="str">
        <f t="shared" si="4"/>
        <v/>
      </c>
      <c r="C1030" s="23"/>
      <c r="D1030" s="44"/>
      <c r="E1030" s="23"/>
      <c r="F1030" s="45"/>
      <c r="G1030" s="23"/>
      <c r="H1030" s="23"/>
      <c r="I1030" s="23"/>
      <c r="J1030" s="25"/>
      <c r="K1030" s="23"/>
      <c r="L1030" s="51"/>
      <c r="M1030" s="23"/>
      <c r="N1030" s="26"/>
      <c r="O1030" s="26"/>
      <c r="P1030" s="26"/>
      <c r="Q1030" s="26"/>
      <c r="R1030" s="26"/>
      <c r="S1030" s="26"/>
      <c r="T1030" s="26"/>
      <c r="U1030" s="26"/>
      <c r="V1030" s="26"/>
      <c r="W1030" s="27"/>
    </row>
    <row r="1031" spans="1:23" ht="15.75" customHeight="1" x14ac:dyDescent="0.25">
      <c r="A1031" s="23"/>
      <c r="B1031" s="23" t="str">
        <f t="shared" si="4"/>
        <v/>
      </c>
      <c r="C1031" s="23"/>
      <c r="D1031" s="44"/>
      <c r="E1031" s="23"/>
      <c r="F1031" s="45"/>
      <c r="G1031" s="23"/>
      <c r="H1031" s="23"/>
      <c r="I1031" s="23"/>
      <c r="J1031" s="25"/>
      <c r="K1031" s="23"/>
      <c r="L1031" s="51"/>
      <c r="M1031" s="23"/>
      <c r="N1031" s="26"/>
      <c r="O1031" s="26"/>
      <c r="P1031" s="26"/>
      <c r="Q1031" s="26"/>
      <c r="R1031" s="26"/>
      <c r="S1031" s="26"/>
      <c r="T1031" s="26"/>
      <c r="U1031" s="26"/>
      <c r="V1031" s="26"/>
      <c r="W1031" s="27"/>
    </row>
    <row r="1032" spans="1:23" ht="15.75" customHeight="1" x14ac:dyDescent="0.25">
      <c r="A1032" s="23"/>
      <c r="B1032" s="23" t="str">
        <f t="shared" si="4"/>
        <v/>
      </c>
      <c r="C1032" s="23"/>
      <c r="D1032" s="44"/>
      <c r="E1032" s="23"/>
      <c r="F1032" s="45"/>
      <c r="G1032" s="23"/>
      <c r="H1032" s="23"/>
      <c r="I1032" s="23"/>
      <c r="J1032" s="25"/>
      <c r="K1032" s="23"/>
      <c r="L1032" s="51"/>
      <c r="M1032" s="23"/>
      <c r="N1032" s="26"/>
      <c r="O1032" s="26"/>
      <c r="P1032" s="26"/>
      <c r="Q1032" s="26"/>
      <c r="R1032" s="26"/>
      <c r="S1032" s="26"/>
      <c r="T1032" s="26"/>
      <c r="U1032" s="26"/>
      <c r="V1032" s="26"/>
      <c r="W1032" s="27"/>
    </row>
    <row r="1033" spans="1:23" ht="15.75" customHeight="1" x14ac:dyDescent="0.25">
      <c r="A1033" s="23"/>
      <c r="B1033" s="23" t="str">
        <f t="shared" si="4"/>
        <v/>
      </c>
      <c r="C1033" s="23"/>
      <c r="D1033" s="44"/>
      <c r="E1033" s="23"/>
      <c r="F1033" s="45"/>
      <c r="G1033" s="23"/>
      <c r="H1033" s="23"/>
      <c r="I1033" s="23"/>
      <c r="J1033" s="25"/>
      <c r="K1033" s="23"/>
      <c r="L1033" s="51"/>
      <c r="M1033" s="23"/>
      <c r="N1033" s="26"/>
      <c r="O1033" s="26"/>
      <c r="P1033" s="26"/>
      <c r="Q1033" s="26"/>
      <c r="R1033" s="26"/>
      <c r="S1033" s="26"/>
      <c r="T1033" s="26"/>
      <c r="U1033" s="26"/>
      <c r="V1033" s="26"/>
      <c r="W1033" s="27"/>
    </row>
    <row r="1034" spans="1:23" ht="15.75" customHeight="1" x14ac:dyDescent="0.25">
      <c r="A1034" s="23"/>
      <c r="B1034" s="23" t="str">
        <f t="shared" si="4"/>
        <v/>
      </c>
      <c r="C1034" s="23"/>
      <c r="D1034" s="44"/>
      <c r="E1034" s="23"/>
      <c r="F1034" s="45"/>
      <c r="G1034" s="23"/>
      <c r="H1034" s="23"/>
      <c r="I1034" s="23"/>
      <c r="J1034" s="25"/>
      <c r="K1034" s="23"/>
      <c r="L1034" s="51"/>
      <c r="M1034" s="23"/>
      <c r="N1034" s="26"/>
      <c r="O1034" s="26"/>
      <c r="P1034" s="26"/>
      <c r="Q1034" s="26"/>
      <c r="R1034" s="26"/>
      <c r="S1034" s="26"/>
      <c r="T1034" s="26"/>
      <c r="U1034" s="26"/>
      <c r="V1034" s="26"/>
      <c r="W1034" s="27"/>
    </row>
    <row r="1035" spans="1:23" ht="15.75" customHeight="1" x14ac:dyDescent="0.25">
      <c r="A1035" s="23"/>
      <c r="B1035" s="23" t="str">
        <f t="shared" si="4"/>
        <v/>
      </c>
      <c r="C1035" s="23"/>
      <c r="D1035" s="44"/>
      <c r="E1035" s="23"/>
      <c r="F1035" s="45"/>
      <c r="G1035" s="23"/>
      <c r="H1035" s="23"/>
      <c r="I1035" s="23"/>
      <c r="J1035" s="25"/>
      <c r="K1035" s="23"/>
      <c r="L1035" s="51"/>
      <c r="M1035" s="23"/>
      <c r="N1035" s="26"/>
      <c r="O1035" s="26"/>
      <c r="P1035" s="26"/>
      <c r="Q1035" s="26"/>
      <c r="R1035" s="26"/>
      <c r="S1035" s="26"/>
      <c r="T1035" s="26"/>
      <c r="U1035" s="26"/>
      <c r="V1035" s="26"/>
      <c r="W1035" s="27"/>
    </row>
    <row r="1036" spans="1:23" ht="15.75" customHeight="1" x14ac:dyDescent="0.25">
      <c r="A1036" s="23"/>
      <c r="B1036" s="23" t="str">
        <f t="shared" si="4"/>
        <v/>
      </c>
      <c r="C1036" s="23"/>
      <c r="D1036" s="44"/>
      <c r="E1036" s="23"/>
      <c r="F1036" s="45"/>
      <c r="G1036" s="23"/>
      <c r="H1036" s="23"/>
      <c r="I1036" s="23"/>
      <c r="J1036" s="25"/>
      <c r="K1036" s="23"/>
      <c r="L1036" s="51"/>
      <c r="M1036" s="23"/>
      <c r="N1036" s="26"/>
      <c r="O1036" s="26"/>
      <c r="P1036" s="26"/>
      <c r="Q1036" s="26"/>
      <c r="R1036" s="26"/>
      <c r="S1036" s="26"/>
      <c r="T1036" s="26"/>
      <c r="U1036" s="26"/>
      <c r="V1036" s="26"/>
      <c r="W1036" s="27"/>
    </row>
    <row r="1037" spans="1:23" ht="15.75" customHeight="1" x14ac:dyDescent="0.25">
      <c r="A1037" s="23"/>
      <c r="B1037" s="23" t="str">
        <f t="shared" si="4"/>
        <v/>
      </c>
      <c r="C1037" s="23"/>
      <c r="D1037" s="44"/>
      <c r="E1037" s="23"/>
      <c r="F1037" s="45"/>
      <c r="G1037" s="23"/>
      <c r="H1037" s="23"/>
      <c r="I1037" s="23"/>
      <c r="J1037" s="25"/>
      <c r="K1037" s="23"/>
      <c r="L1037" s="51"/>
      <c r="M1037" s="23"/>
      <c r="N1037" s="26"/>
      <c r="O1037" s="26"/>
      <c r="P1037" s="26"/>
      <c r="Q1037" s="26"/>
      <c r="R1037" s="26"/>
      <c r="S1037" s="26"/>
      <c r="T1037" s="26"/>
      <c r="U1037" s="26"/>
      <c r="V1037" s="26"/>
      <c r="W1037" s="27"/>
    </row>
    <row r="1038" spans="1:23" ht="15.75" customHeight="1" x14ac:dyDescent="0.25">
      <c r="A1038" s="23"/>
      <c r="B1038" s="23" t="str">
        <f t="shared" si="4"/>
        <v/>
      </c>
      <c r="C1038" s="23"/>
      <c r="D1038" s="44"/>
      <c r="E1038" s="23"/>
      <c r="F1038" s="45"/>
      <c r="G1038" s="23"/>
      <c r="H1038" s="23"/>
      <c r="I1038" s="23"/>
      <c r="J1038" s="25"/>
      <c r="K1038" s="23"/>
      <c r="L1038" s="51"/>
      <c r="M1038" s="23"/>
      <c r="N1038" s="26"/>
      <c r="O1038" s="26"/>
      <c r="P1038" s="26"/>
      <c r="Q1038" s="26"/>
      <c r="R1038" s="26"/>
      <c r="S1038" s="26"/>
      <c r="T1038" s="26"/>
      <c r="U1038" s="26"/>
      <c r="V1038" s="26"/>
      <c r="W1038" s="27"/>
    </row>
    <row r="1039" spans="1:23" ht="15.75" customHeight="1" x14ac:dyDescent="0.25">
      <c r="A1039" s="23"/>
      <c r="B1039" s="23" t="str">
        <f t="shared" si="4"/>
        <v/>
      </c>
      <c r="C1039" s="23"/>
      <c r="D1039" s="44"/>
      <c r="E1039" s="23"/>
      <c r="F1039" s="45"/>
      <c r="G1039" s="23"/>
      <c r="H1039" s="23"/>
      <c r="I1039" s="23"/>
      <c r="J1039" s="25"/>
      <c r="K1039" s="23"/>
      <c r="L1039" s="51"/>
      <c r="M1039" s="23"/>
      <c r="N1039" s="26"/>
      <c r="O1039" s="26"/>
      <c r="P1039" s="26"/>
      <c r="Q1039" s="26"/>
      <c r="R1039" s="26"/>
      <c r="S1039" s="26"/>
      <c r="T1039" s="26"/>
      <c r="U1039" s="26"/>
      <c r="V1039" s="26"/>
      <c r="W1039" s="27"/>
    </row>
    <row r="1040" spans="1:23" ht="15.75" customHeight="1" x14ac:dyDescent="0.25">
      <c r="A1040" s="23"/>
      <c r="B1040" s="23" t="str">
        <f t="shared" si="4"/>
        <v/>
      </c>
      <c r="C1040" s="23"/>
      <c r="D1040" s="44"/>
      <c r="E1040" s="23"/>
      <c r="F1040" s="45"/>
      <c r="G1040" s="23"/>
      <c r="H1040" s="23"/>
      <c r="I1040" s="23"/>
      <c r="J1040" s="25"/>
      <c r="K1040" s="23"/>
      <c r="L1040" s="51"/>
      <c r="M1040" s="23"/>
      <c r="N1040" s="26"/>
      <c r="O1040" s="26"/>
      <c r="P1040" s="26"/>
      <c r="Q1040" s="26"/>
      <c r="R1040" s="26"/>
      <c r="S1040" s="26"/>
      <c r="T1040" s="26"/>
      <c r="U1040" s="26"/>
      <c r="V1040" s="26"/>
      <c r="W1040" s="27"/>
    </row>
    <row r="1041" spans="1:23" ht="15.75" customHeight="1" x14ac:dyDescent="0.25">
      <c r="A1041" s="23"/>
      <c r="B1041" s="23" t="str">
        <f t="shared" si="4"/>
        <v/>
      </c>
      <c r="C1041" s="23"/>
      <c r="D1041" s="44"/>
      <c r="E1041" s="23"/>
      <c r="F1041" s="45"/>
      <c r="G1041" s="23"/>
      <c r="H1041" s="23"/>
      <c r="I1041" s="23"/>
      <c r="J1041" s="25"/>
      <c r="K1041" s="23"/>
      <c r="L1041" s="51"/>
      <c r="M1041" s="23"/>
      <c r="N1041" s="26"/>
      <c r="O1041" s="26"/>
      <c r="P1041" s="26"/>
      <c r="Q1041" s="26"/>
      <c r="R1041" s="26"/>
      <c r="S1041" s="26"/>
      <c r="T1041" s="26"/>
      <c r="U1041" s="26"/>
      <c r="V1041" s="26"/>
      <c r="W1041" s="27"/>
    </row>
    <row r="1042" spans="1:23" ht="15.75" customHeight="1" x14ac:dyDescent="0.25">
      <c r="A1042" s="23"/>
      <c r="B1042" s="23" t="str">
        <f t="shared" si="4"/>
        <v/>
      </c>
      <c r="C1042" s="23"/>
      <c r="D1042" s="44"/>
      <c r="E1042" s="23"/>
      <c r="F1042" s="45"/>
      <c r="G1042" s="23"/>
      <c r="H1042" s="23"/>
      <c r="I1042" s="23"/>
      <c r="J1042" s="25"/>
      <c r="K1042" s="23"/>
      <c r="L1042" s="51"/>
      <c r="M1042" s="23"/>
      <c r="N1042" s="26"/>
      <c r="O1042" s="26"/>
      <c r="P1042" s="26"/>
      <c r="Q1042" s="26"/>
      <c r="R1042" s="26"/>
      <c r="S1042" s="26"/>
      <c r="T1042" s="26"/>
      <c r="U1042" s="26"/>
      <c r="V1042" s="26"/>
      <c r="W1042" s="27"/>
    </row>
    <row r="1043" spans="1:23" ht="15.75" customHeight="1" x14ac:dyDescent="0.25">
      <c r="A1043" s="23"/>
      <c r="B1043" s="23" t="str">
        <f t="shared" si="4"/>
        <v/>
      </c>
      <c r="C1043" s="23"/>
      <c r="D1043" s="44"/>
      <c r="E1043" s="23"/>
      <c r="F1043" s="45"/>
      <c r="G1043" s="23"/>
      <c r="H1043" s="23"/>
      <c r="I1043" s="23"/>
      <c r="J1043" s="25"/>
      <c r="K1043" s="23"/>
      <c r="L1043" s="51"/>
      <c r="M1043" s="23"/>
      <c r="N1043" s="26"/>
      <c r="O1043" s="26"/>
      <c r="P1043" s="26"/>
      <c r="Q1043" s="26"/>
      <c r="R1043" s="26"/>
      <c r="S1043" s="26"/>
      <c r="T1043" s="26"/>
      <c r="U1043" s="26"/>
      <c r="V1043" s="26"/>
      <c r="W1043" s="27"/>
    </row>
    <row r="1044" spans="1:23" ht="15.75" customHeight="1" x14ac:dyDescent="0.25">
      <c r="A1044" s="23"/>
      <c r="B1044" s="23" t="str">
        <f t="shared" si="4"/>
        <v/>
      </c>
      <c r="C1044" s="23"/>
      <c r="D1044" s="44"/>
      <c r="E1044" s="23"/>
      <c r="F1044" s="45"/>
      <c r="G1044" s="23"/>
      <c r="H1044" s="23"/>
      <c r="I1044" s="23"/>
      <c r="J1044" s="25"/>
      <c r="K1044" s="23"/>
      <c r="L1044" s="51"/>
      <c r="M1044" s="23"/>
      <c r="N1044" s="26"/>
      <c r="O1044" s="26"/>
      <c r="P1044" s="26"/>
      <c r="Q1044" s="26"/>
      <c r="R1044" s="26"/>
      <c r="S1044" s="26"/>
      <c r="T1044" s="26"/>
      <c r="U1044" s="26"/>
      <c r="V1044" s="26"/>
      <c r="W1044" s="27"/>
    </row>
    <row r="1045" spans="1:23" ht="15.75" customHeight="1" x14ac:dyDescent="0.25">
      <c r="A1045" s="23"/>
      <c r="B1045" s="23" t="str">
        <f t="shared" si="4"/>
        <v/>
      </c>
      <c r="C1045" s="23"/>
      <c r="D1045" s="44"/>
      <c r="E1045" s="23"/>
      <c r="F1045" s="45"/>
      <c r="G1045" s="23"/>
      <c r="H1045" s="23"/>
      <c r="I1045" s="23"/>
      <c r="J1045" s="25"/>
      <c r="K1045" s="23"/>
      <c r="L1045" s="51"/>
      <c r="M1045" s="23"/>
      <c r="N1045" s="26"/>
      <c r="O1045" s="26"/>
      <c r="P1045" s="26"/>
      <c r="Q1045" s="26"/>
      <c r="R1045" s="26"/>
      <c r="S1045" s="26"/>
      <c r="T1045" s="26"/>
      <c r="U1045" s="26"/>
      <c r="V1045" s="26"/>
      <c r="W1045" s="27"/>
    </row>
    <row r="1046" spans="1:23" ht="15.75" customHeight="1" x14ac:dyDescent="0.25">
      <c r="A1046" s="23"/>
      <c r="B1046" s="23" t="str">
        <f t="shared" si="4"/>
        <v/>
      </c>
      <c r="C1046" s="23"/>
      <c r="D1046" s="44"/>
      <c r="E1046" s="23"/>
      <c r="F1046" s="45"/>
      <c r="G1046" s="23"/>
      <c r="H1046" s="23"/>
      <c r="I1046" s="23"/>
      <c r="J1046" s="25"/>
      <c r="K1046" s="23"/>
      <c r="L1046" s="51"/>
      <c r="M1046" s="23"/>
      <c r="N1046" s="26"/>
      <c r="O1046" s="26"/>
      <c r="P1046" s="26"/>
      <c r="Q1046" s="26"/>
      <c r="R1046" s="26"/>
      <c r="S1046" s="26"/>
      <c r="T1046" s="26"/>
      <c r="U1046" s="26"/>
      <c r="V1046" s="26"/>
      <c r="W1046" s="27"/>
    </row>
    <row r="1047" spans="1:23" ht="15.75" customHeight="1" x14ac:dyDescent="0.25">
      <c r="A1047" s="23"/>
      <c r="B1047" s="23" t="str">
        <f t="shared" si="4"/>
        <v/>
      </c>
      <c r="C1047" s="23"/>
      <c r="D1047" s="44"/>
      <c r="E1047" s="23"/>
      <c r="F1047" s="45"/>
      <c r="G1047" s="23"/>
      <c r="H1047" s="23"/>
      <c r="I1047" s="23"/>
      <c r="J1047" s="25"/>
      <c r="K1047" s="23"/>
      <c r="L1047" s="51"/>
      <c r="M1047" s="23"/>
      <c r="N1047" s="26"/>
      <c r="O1047" s="26"/>
      <c r="P1047" s="26"/>
      <c r="Q1047" s="26"/>
      <c r="R1047" s="26"/>
      <c r="S1047" s="26"/>
      <c r="T1047" s="26"/>
      <c r="U1047" s="26"/>
      <c r="V1047" s="26"/>
      <c r="W1047" s="27"/>
    </row>
    <row r="1048" spans="1:23" ht="15.75" customHeight="1" x14ac:dyDescent="0.25">
      <c r="A1048" s="23"/>
      <c r="B1048" s="23" t="str">
        <f t="shared" si="4"/>
        <v/>
      </c>
      <c r="C1048" s="23"/>
      <c r="D1048" s="44"/>
      <c r="E1048" s="23"/>
      <c r="F1048" s="45"/>
      <c r="G1048" s="23"/>
      <c r="H1048" s="23"/>
      <c r="I1048" s="23"/>
      <c r="J1048" s="25"/>
      <c r="K1048" s="23"/>
      <c r="L1048" s="51"/>
      <c r="M1048" s="23"/>
      <c r="N1048" s="26"/>
      <c r="O1048" s="26"/>
      <c r="P1048" s="26"/>
      <c r="Q1048" s="26"/>
      <c r="R1048" s="26"/>
      <c r="S1048" s="26"/>
      <c r="T1048" s="26"/>
      <c r="U1048" s="26"/>
      <c r="V1048" s="26"/>
      <c r="W1048" s="27"/>
    </row>
    <row r="1049" spans="1:23" ht="15.75" customHeight="1" x14ac:dyDescent="0.25">
      <c r="A1049" s="23"/>
      <c r="B1049" s="23" t="str">
        <f t="shared" si="4"/>
        <v/>
      </c>
      <c r="C1049" s="23"/>
      <c r="D1049" s="44"/>
      <c r="E1049" s="23"/>
      <c r="F1049" s="45"/>
      <c r="G1049" s="23"/>
      <c r="H1049" s="23"/>
      <c r="I1049" s="23"/>
      <c r="J1049" s="25"/>
      <c r="K1049" s="23"/>
      <c r="L1049" s="51"/>
      <c r="M1049" s="23"/>
      <c r="N1049" s="26"/>
      <c r="O1049" s="26"/>
      <c r="P1049" s="26"/>
      <c r="Q1049" s="26"/>
      <c r="R1049" s="26"/>
      <c r="S1049" s="26"/>
      <c r="T1049" s="26"/>
      <c r="U1049" s="26"/>
      <c r="V1049" s="26"/>
      <c r="W1049" s="27"/>
    </row>
    <row r="1050" spans="1:23" ht="15.75" customHeight="1" x14ac:dyDescent="0.25">
      <c r="A1050" s="23"/>
      <c r="B1050" s="23" t="str">
        <f t="shared" si="4"/>
        <v/>
      </c>
      <c r="C1050" s="23"/>
      <c r="D1050" s="44"/>
      <c r="E1050" s="23"/>
      <c r="F1050" s="45"/>
      <c r="G1050" s="23"/>
      <c r="H1050" s="23"/>
      <c r="I1050" s="23"/>
      <c r="J1050" s="25"/>
      <c r="K1050" s="23"/>
      <c r="L1050" s="51"/>
      <c r="M1050" s="23"/>
      <c r="N1050" s="26"/>
      <c r="O1050" s="26"/>
      <c r="P1050" s="26"/>
      <c r="Q1050" s="26"/>
      <c r="R1050" s="26"/>
      <c r="S1050" s="26"/>
      <c r="T1050" s="26"/>
      <c r="U1050" s="26"/>
      <c r="V1050" s="26"/>
      <c r="W1050" s="27"/>
    </row>
    <row r="1051" spans="1:23" ht="15.75" customHeight="1" x14ac:dyDescent="0.25">
      <c r="A1051" s="23"/>
      <c r="B1051" s="23" t="str">
        <f t="shared" si="4"/>
        <v/>
      </c>
      <c r="C1051" s="23"/>
      <c r="D1051" s="44"/>
      <c r="E1051" s="23"/>
      <c r="F1051" s="45"/>
      <c r="G1051" s="23"/>
      <c r="H1051" s="23"/>
      <c r="I1051" s="23"/>
      <c r="J1051" s="25"/>
      <c r="K1051" s="23"/>
      <c r="L1051" s="51"/>
      <c r="M1051" s="23"/>
      <c r="N1051" s="26"/>
      <c r="O1051" s="26"/>
      <c r="P1051" s="26"/>
      <c r="Q1051" s="26"/>
      <c r="R1051" s="26"/>
      <c r="S1051" s="26"/>
      <c r="T1051" s="26"/>
      <c r="U1051" s="26"/>
      <c r="V1051" s="26"/>
      <c r="W1051" s="27"/>
    </row>
    <row r="1052" spans="1:23" ht="15.75" customHeight="1" x14ac:dyDescent="0.25">
      <c r="A1052" s="23"/>
      <c r="B1052" s="23" t="str">
        <f t="shared" si="4"/>
        <v/>
      </c>
      <c r="C1052" s="23"/>
      <c r="D1052" s="44"/>
      <c r="E1052" s="23"/>
      <c r="F1052" s="45"/>
      <c r="G1052" s="23"/>
      <c r="H1052" s="23"/>
      <c r="I1052" s="23"/>
      <c r="J1052" s="25"/>
      <c r="K1052" s="23"/>
      <c r="L1052" s="51"/>
      <c r="M1052" s="23"/>
      <c r="N1052" s="26"/>
      <c r="O1052" s="26"/>
      <c r="P1052" s="26"/>
      <c r="Q1052" s="26"/>
      <c r="R1052" s="26"/>
      <c r="S1052" s="26"/>
      <c r="T1052" s="26"/>
      <c r="U1052" s="26"/>
      <c r="V1052" s="26"/>
      <c r="W1052" s="27"/>
    </row>
    <row r="1053" spans="1:23" ht="15.75" customHeight="1" x14ac:dyDescent="0.25">
      <c r="A1053" s="23"/>
      <c r="B1053" s="23" t="str">
        <f t="shared" si="4"/>
        <v/>
      </c>
      <c r="C1053" s="23"/>
      <c r="D1053" s="44"/>
      <c r="E1053" s="23"/>
      <c r="F1053" s="45"/>
      <c r="G1053" s="23"/>
      <c r="H1053" s="23"/>
      <c r="I1053" s="23"/>
      <c r="J1053" s="25"/>
      <c r="K1053" s="23"/>
      <c r="L1053" s="51"/>
      <c r="M1053" s="23"/>
      <c r="N1053" s="26"/>
      <c r="O1053" s="26"/>
      <c r="P1053" s="26"/>
      <c r="Q1053" s="26"/>
      <c r="R1053" s="26"/>
      <c r="S1053" s="26"/>
      <c r="T1053" s="26"/>
      <c r="U1053" s="26"/>
      <c r="V1053" s="26"/>
      <c r="W1053" s="27"/>
    </row>
    <row r="1054" spans="1:23" ht="15.75" customHeight="1" x14ac:dyDescent="0.25">
      <c r="A1054" s="23"/>
      <c r="B1054" s="23" t="str">
        <f t="shared" si="4"/>
        <v/>
      </c>
      <c r="C1054" s="23"/>
      <c r="D1054" s="44"/>
      <c r="E1054" s="23"/>
      <c r="F1054" s="45"/>
      <c r="G1054" s="23"/>
      <c r="H1054" s="23"/>
      <c r="I1054" s="23"/>
      <c r="J1054" s="25"/>
      <c r="K1054" s="23"/>
      <c r="L1054" s="51"/>
      <c r="M1054" s="23"/>
      <c r="N1054" s="26"/>
      <c r="O1054" s="26"/>
      <c r="P1054" s="26"/>
      <c r="Q1054" s="26"/>
      <c r="R1054" s="26"/>
      <c r="S1054" s="26"/>
      <c r="T1054" s="26"/>
      <c r="U1054" s="26"/>
      <c r="V1054" s="26"/>
      <c r="W1054" s="27"/>
    </row>
    <row r="1055" spans="1:23" ht="15.75" customHeight="1" x14ac:dyDescent="0.25">
      <c r="A1055" s="23"/>
      <c r="B1055" s="23" t="str">
        <f t="shared" si="4"/>
        <v/>
      </c>
      <c r="C1055" s="23"/>
      <c r="D1055" s="44"/>
      <c r="E1055" s="23"/>
      <c r="F1055" s="45"/>
      <c r="G1055" s="23"/>
      <c r="H1055" s="23"/>
      <c r="I1055" s="23"/>
      <c r="J1055" s="25"/>
      <c r="K1055" s="23"/>
      <c r="L1055" s="51"/>
      <c r="M1055" s="23"/>
      <c r="N1055" s="26"/>
      <c r="O1055" s="26"/>
      <c r="P1055" s="26"/>
      <c r="Q1055" s="26"/>
      <c r="R1055" s="26"/>
      <c r="S1055" s="26"/>
      <c r="T1055" s="26"/>
      <c r="U1055" s="26"/>
      <c r="V1055" s="26"/>
      <c r="W1055" s="27"/>
    </row>
    <row r="1056" spans="1:23" ht="15.75" customHeight="1" x14ac:dyDescent="0.25">
      <c r="A1056" s="23"/>
      <c r="B1056" s="23" t="str">
        <f t="shared" si="4"/>
        <v/>
      </c>
      <c r="C1056" s="23"/>
      <c r="D1056" s="44"/>
      <c r="E1056" s="23"/>
      <c r="F1056" s="45"/>
      <c r="G1056" s="23"/>
      <c r="H1056" s="23"/>
      <c r="I1056" s="23"/>
      <c r="J1056" s="25"/>
      <c r="K1056" s="23"/>
      <c r="L1056" s="51"/>
      <c r="M1056" s="23"/>
      <c r="N1056" s="26"/>
      <c r="O1056" s="26"/>
      <c r="P1056" s="26"/>
      <c r="Q1056" s="26"/>
      <c r="R1056" s="26"/>
      <c r="S1056" s="26"/>
      <c r="T1056" s="26"/>
      <c r="U1056" s="26"/>
      <c r="V1056" s="26"/>
      <c r="W1056" s="27"/>
    </row>
    <row r="1057" spans="1:23" ht="15.75" customHeight="1" x14ac:dyDescent="0.25">
      <c r="A1057" s="23"/>
      <c r="B1057" s="23" t="str">
        <f t="shared" si="4"/>
        <v/>
      </c>
      <c r="C1057" s="23"/>
      <c r="D1057" s="44"/>
      <c r="E1057" s="23"/>
      <c r="F1057" s="45"/>
      <c r="G1057" s="23"/>
      <c r="H1057" s="23"/>
      <c r="I1057" s="23"/>
      <c r="J1057" s="25"/>
      <c r="K1057" s="23"/>
      <c r="L1057" s="51"/>
      <c r="M1057" s="23"/>
      <c r="N1057" s="26"/>
      <c r="O1057" s="26"/>
      <c r="P1057" s="26"/>
      <c r="Q1057" s="26"/>
      <c r="R1057" s="26"/>
      <c r="S1057" s="26"/>
      <c r="T1057" s="26"/>
      <c r="U1057" s="26"/>
      <c r="V1057" s="26"/>
      <c r="W1057" s="27"/>
    </row>
    <row r="1058" spans="1:23" ht="15.75" customHeight="1" x14ac:dyDescent="0.25">
      <c r="A1058" s="23"/>
      <c r="B1058" s="23" t="str">
        <f t="shared" si="4"/>
        <v/>
      </c>
      <c r="C1058" s="23"/>
      <c r="D1058" s="44"/>
      <c r="E1058" s="23"/>
      <c r="F1058" s="45"/>
      <c r="G1058" s="23"/>
      <c r="H1058" s="23"/>
      <c r="I1058" s="23"/>
      <c r="J1058" s="25"/>
      <c r="K1058" s="23"/>
      <c r="L1058" s="51"/>
      <c r="M1058" s="23"/>
      <c r="N1058" s="26"/>
      <c r="O1058" s="26"/>
      <c r="P1058" s="26"/>
      <c r="Q1058" s="26"/>
      <c r="R1058" s="26"/>
      <c r="S1058" s="26"/>
      <c r="T1058" s="26"/>
      <c r="U1058" s="26"/>
      <c r="V1058" s="26"/>
      <c r="W1058" s="27"/>
    </row>
    <row r="1059" spans="1:23" ht="15.75" customHeight="1" x14ac:dyDescent="0.25">
      <c r="A1059" s="23"/>
      <c r="B1059" s="23" t="str">
        <f t="shared" si="4"/>
        <v/>
      </c>
      <c r="C1059" s="23"/>
      <c r="D1059" s="44"/>
      <c r="E1059" s="23"/>
      <c r="F1059" s="45"/>
      <c r="G1059" s="23"/>
      <c r="H1059" s="23"/>
      <c r="I1059" s="23"/>
      <c r="J1059" s="25"/>
      <c r="K1059" s="23"/>
      <c r="L1059" s="51"/>
      <c r="M1059" s="23"/>
      <c r="N1059" s="26"/>
      <c r="O1059" s="26"/>
      <c r="P1059" s="26"/>
      <c r="Q1059" s="26"/>
      <c r="R1059" s="26"/>
      <c r="S1059" s="26"/>
      <c r="T1059" s="26"/>
      <c r="U1059" s="26"/>
      <c r="V1059" s="26"/>
      <c r="W1059" s="27"/>
    </row>
    <row r="1060" spans="1:23" ht="15.75" customHeight="1" x14ac:dyDescent="0.25">
      <c r="A1060" s="23"/>
      <c r="B1060" s="23" t="str">
        <f t="shared" si="4"/>
        <v/>
      </c>
      <c r="C1060" s="23"/>
      <c r="D1060" s="44"/>
      <c r="E1060" s="23"/>
      <c r="F1060" s="45"/>
      <c r="G1060" s="23"/>
      <c r="H1060" s="23"/>
      <c r="I1060" s="23"/>
      <c r="J1060" s="25"/>
      <c r="K1060" s="23"/>
      <c r="L1060" s="51"/>
      <c r="M1060" s="23"/>
      <c r="N1060" s="26"/>
      <c r="O1060" s="26"/>
      <c r="P1060" s="26"/>
      <c r="Q1060" s="26"/>
      <c r="R1060" s="26"/>
      <c r="S1060" s="26"/>
      <c r="T1060" s="26"/>
      <c r="U1060" s="26"/>
      <c r="V1060" s="26"/>
      <c r="W1060" s="27"/>
    </row>
    <row r="1061" spans="1:23" ht="15.75" customHeight="1" x14ac:dyDescent="0.25">
      <c r="A1061" s="23"/>
      <c r="B1061" s="23" t="str">
        <f t="shared" si="4"/>
        <v/>
      </c>
      <c r="C1061" s="23"/>
      <c r="D1061" s="44"/>
      <c r="E1061" s="23"/>
      <c r="F1061" s="45"/>
      <c r="G1061" s="23"/>
      <c r="H1061" s="23"/>
      <c r="I1061" s="23"/>
      <c r="J1061" s="25"/>
      <c r="K1061" s="23"/>
      <c r="L1061" s="51"/>
      <c r="M1061" s="23"/>
      <c r="N1061" s="26"/>
      <c r="O1061" s="26"/>
      <c r="P1061" s="26"/>
      <c r="Q1061" s="26"/>
      <c r="R1061" s="26"/>
      <c r="S1061" s="26"/>
      <c r="T1061" s="26"/>
      <c r="U1061" s="26"/>
      <c r="V1061" s="26"/>
      <c r="W1061" s="27"/>
    </row>
    <row r="1062" spans="1:23" ht="15.75" customHeight="1" x14ac:dyDescent="0.25">
      <c r="A1062" s="23"/>
      <c r="B1062" s="23" t="str">
        <f t="shared" si="4"/>
        <v/>
      </c>
      <c r="C1062" s="23"/>
      <c r="D1062" s="44"/>
      <c r="E1062" s="23"/>
      <c r="F1062" s="45"/>
      <c r="G1062" s="23"/>
      <c r="H1062" s="23"/>
      <c r="I1062" s="23"/>
      <c r="J1062" s="25"/>
      <c r="K1062" s="23"/>
      <c r="L1062" s="51"/>
      <c r="M1062" s="23"/>
      <c r="N1062" s="26"/>
      <c r="O1062" s="26"/>
      <c r="P1062" s="26"/>
      <c r="Q1062" s="26"/>
      <c r="R1062" s="26"/>
      <c r="S1062" s="26"/>
      <c r="T1062" s="26"/>
      <c r="U1062" s="26"/>
      <c r="V1062" s="26"/>
      <c r="W1062" s="27"/>
    </row>
    <row r="1063" spans="1:23" ht="15.75" customHeight="1" x14ac:dyDescent="0.25">
      <c r="A1063" s="23"/>
      <c r="B1063" s="23" t="str">
        <f t="shared" si="4"/>
        <v/>
      </c>
      <c r="C1063" s="23"/>
      <c r="D1063" s="44"/>
      <c r="E1063" s="23"/>
      <c r="F1063" s="45"/>
      <c r="G1063" s="23"/>
      <c r="H1063" s="23"/>
      <c r="I1063" s="23"/>
      <c r="J1063" s="25"/>
      <c r="K1063" s="23"/>
      <c r="L1063" s="51"/>
      <c r="M1063" s="23"/>
      <c r="N1063" s="26"/>
      <c r="O1063" s="26"/>
      <c r="P1063" s="26"/>
      <c r="Q1063" s="26"/>
      <c r="R1063" s="26"/>
      <c r="S1063" s="26"/>
      <c r="T1063" s="26"/>
      <c r="U1063" s="26"/>
      <c r="V1063" s="26"/>
      <c r="W1063" s="27"/>
    </row>
    <row r="1064" spans="1:23" ht="15.75" customHeight="1" x14ac:dyDescent="0.25">
      <c r="A1064" s="23"/>
      <c r="B1064" s="23" t="str">
        <f t="shared" si="4"/>
        <v/>
      </c>
      <c r="C1064" s="23"/>
      <c r="D1064" s="44"/>
      <c r="E1064" s="23"/>
      <c r="F1064" s="45"/>
      <c r="G1064" s="23"/>
      <c r="H1064" s="23"/>
      <c r="I1064" s="23"/>
      <c r="J1064" s="25"/>
      <c r="K1064" s="23"/>
      <c r="L1064" s="51"/>
      <c r="M1064" s="23"/>
      <c r="N1064" s="26"/>
      <c r="O1064" s="26"/>
      <c r="P1064" s="26"/>
      <c r="Q1064" s="26"/>
      <c r="R1064" s="26"/>
      <c r="S1064" s="26"/>
      <c r="T1064" s="26"/>
      <c r="U1064" s="26"/>
      <c r="V1064" s="26"/>
      <c r="W1064" s="27"/>
    </row>
    <row r="1065" spans="1:23" ht="15.75" customHeight="1" x14ac:dyDescent="0.25">
      <c r="A1065" s="23"/>
      <c r="B1065" s="23" t="str">
        <f t="shared" si="4"/>
        <v/>
      </c>
      <c r="C1065" s="23"/>
      <c r="D1065" s="44"/>
      <c r="E1065" s="23"/>
      <c r="F1065" s="45"/>
      <c r="G1065" s="23"/>
      <c r="H1065" s="23"/>
      <c r="I1065" s="23"/>
      <c r="J1065" s="25"/>
      <c r="K1065" s="23"/>
      <c r="L1065" s="51"/>
      <c r="M1065" s="23"/>
      <c r="N1065" s="26"/>
      <c r="O1065" s="26"/>
      <c r="P1065" s="26"/>
      <c r="Q1065" s="26"/>
      <c r="R1065" s="26"/>
      <c r="S1065" s="26"/>
      <c r="T1065" s="26"/>
      <c r="U1065" s="26"/>
      <c r="V1065" s="26"/>
      <c r="W1065" s="27"/>
    </row>
    <row r="1066" spans="1:23" ht="15.75" customHeight="1" x14ac:dyDescent="0.25">
      <c r="A1066" s="23"/>
      <c r="B1066" s="23" t="str">
        <f t="shared" si="4"/>
        <v/>
      </c>
      <c r="C1066" s="23"/>
      <c r="D1066" s="44"/>
      <c r="E1066" s="23"/>
      <c r="F1066" s="45"/>
      <c r="G1066" s="23"/>
      <c r="H1066" s="23"/>
      <c r="I1066" s="23"/>
      <c r="J1066" s="25"/>
      <c r="K1066" s="23"/>
      <c r="L1066" s="51"/>
      <c r="M1066" s="23"/>
      <c r="N1066" s="26"/>
      <c r="O1066" s="26"/>
      <c r="P1066" s="26"/>
      <c r="Q1066" s="26"/>
      <c r="R1066" s="26"/>
      <c r="S1066" s="26"/>
      <c r="T1066" s="26"/>
      <c r="U1066" s="26"/>
      <c r="V1066" s="26"/>
      <c r="W1066" s="27"/>
    </row>
    <row r="1067" spans="1:23" ht="15.75" customHeight="1" x14ac:dyDescent="0.25">
      <c r="A1067" s="23"/>
      <c r="B1067" s="23" t="str">
        <f t="shared" si="4"/>
        <v/>
      </c>
      <c r="C1067" s="23"/>
      <c r="D1067" s="44"/>
      <c r="E1067" s="23"/>
      <c r="F1067" s="45"/>
      <c r="G1067" s="23"/>
      <c r="H1067" s="23"/>
      <c r="I1067" s="23"/>
      <c r="J1067" s="25"/>
      <c r="K1067" s="23"/>
      <c r="L1067" s="51"/>
      <c r="M1067" s="23"/>
      <c r="N1067" s="26"/>
      <c r="O1067" s="26"/>
      <c r="P1067" s="26"/>
      <c r="Q1067" s="26"/>
      <c r="R1067" s="26"/>
      <c r="S1067" s="26"/>
      <c r="T1067" s="26"/>
      <c r="U1067" s="26"/>
      <c r="V1067" s="26"/>
      <c r="W1067" s="27"/>
    </row>
    <row r="1068" spans="1:23" ht="15.75" customHeight="1" x14ac:dyDescent="0.25">
      <c r="A1068" s="23"/>
      <c r="B1068" s="23" t="str">
        <f t="shared" si="4"/>
        <v/>
      </c>
      <c r="C1068" s="23"/>
      <c r="D1068" s="44"/>
      <c r="E1068" s="23"/>
      <c r="F1068" s="45"/>
      <c r="G1068" s="23"/>
      <c r="H1068" s="23"/>
      <c r="I1068" s="23"/>
      <c r="J1068" s="25"/>
      <c r="K1068" s="23"/>
      <c r="L1068" s="51"/>
      <c r="M1068" s="23"/>
      <c r="N1068" s="26"/>
      <c r="O1068" s="26"/>
      <c r="P1068" s="26"/>
      <c r="Q1068" s="26"/>
      <c r="R1068" s="26"/>
      <c r="S1068" s="26"/>
      <c r="T1068" s="26"/>
      <c r="U1068" s="26"/>
      <c r="V1068" s="26"/>
      <c r="W1068" s="27"/>
    </row>
    <row r="1069" spans="1:23" ht="15.75" customHeight="1" x14ac:dyDescent="0.25">
      <c r="A1069" s="23"/>
      <c r="B1069" s="23" t="str">
        <f t="shared" si="4"/>
        <v/>
      </c>
      <c r="C1069" s="23"/>
      <c r="D1069" s="44"/>
      <c r="E1069" s="23"/>
      <c r="F1069" s="45"/>
      <c r="G1069" s="23"/>
      <c r="H1069" s="23"/>
      <c r="I1069" s="23"/>
      <c r="J1069" s="25"/>
      <c r="K1069" s="23"/>
      <c r="L1069" s="51"/>
      <c r="M1069" s="23"/>
      <c r="N1069" s="26"/>
      <c r="O1069" s="26"/>
      <c r="P1069" s="26"/>
      <c r="Q1069" s="26"/>
      <c r="R1069" s="26"/>
      <c r="S1069" s="26"/>
      <c r="T1069" s="26"/>
      <c r="U1069" s="26"/>
      <c r="V1069" s="26"/>
      <c r="W1069" s="27"/>
    </row>
    <row r="1070" spans="1:23" ht="15.75" customHeight="1" x14ac:dyDescent="0.25">
      <c r="A1070" s="23"/>
      <c r="B1070" s="23" t="str">
        <f t="shared" ref="B1070:B1324" si="6">MID(X1070,17,30)</f>
        <v/>
      </c>
      <c r="C1070" s="23"/>
      <c r="D1070" s="44"/>
      <c r="E1070" s="23"/>
      <c r="F1070" s="45"/>
      <c r="G1070" s="23"/>
      <c r="H1070" s="23"/>
      <c r="I1070" s="23"/>
      <c r="J1070" s="25"/>
      <c r="K1070" s="23"/>
      <c r="L1070" s="51"/>
      <c r="M1070" s="23"/>
      <c r="N1070" s="26"/>
      <c r="O1070" s="26"/>
      <c r="P1070" s="26"/>
      <c r="Q1070" s="26"/>
      <c r="R1070" s="26"/>
      <c r="S1070" s="26"/>
      <c r="T1070" s="26"/>
      <c r="U1070" s="26"/>
      <c r="V1070" s="26"/>
      <c r="W1070" s="27"/>
    </row>
    <row r="1071" spans="1:23" ht="15.75" customHeight="1" x14ac:dyDescent="0.25">
      <c r="A1071" s="23"/>
      <c r="B1071" s="23" t="str">
        <f t="shared" si="6"/>
        <v/>
      </c>
      <c r="C1071" s="23"/>
      <c r="D1071" s="44"/>
      <c r="E1071" s="23"/>
      <c r="F1071" s="45"/>
      <c r="G1071" s="23"/>
      <c r="H1071" s="23"/>
      <c r="I1071" s="23"/>
      <c r="J1071" s="25"/>
      <c r="K1071" s="23"/>
      <c r="L1071" s="51"/>
      <c r="M1071" s="23"/>
      <c r="N1071" s="26"/>
      <c r="O1071" s="26"/>
      <c r="P1071" s="26"/>
      <c r="Q1071" s="26"/>
      <c r="R1071" s="26"/>
      <c r="S1071" s="26"/>
      <c r="T1071" s="26"/>
      <c r="U1071" s="26"/>
      <c r="V1071" s="26"/>
      <c r="W1071" s="27"/>
    </row>
    <row r="1072" spans="1:23" ht="15.75" customHeight="1" x14ac:dyDescent="0.25">
      <c r="A1072" s="23"/>
      <c r="B1072" s="23" t="str">
        <f t="shared" si="6"/>
        <v/>
      </c>
      <c r="C1072" s="23"/>
      <c r="D1072" s="44"/>
      <c r="E1072" s="23"/>
      <c r="F1072" s="45"/>
      <c r="G1072" s="23"/>
      <c r="H1072" s="23"/>
      <c r="I1072" s="23"/>
      <c r="J1072" s="25"/>
      <c r="K1072" s="23"/>
      <c r="L1072" s="51"/>
      <c r="M1072" s="23"/>
      <c r="N1072" s="26"/>
      <c r="O1072" s="26"/>
      <c r="P1072" s="26"/>
      <c r="Q1072" s="26"/>
      <c r="R1072" s="26"/>
      <c r="S1072" s="26"/>
      <c r="T1072" s="26"/>
      <c r="U1072" s="26"/>
      <c r="V1072" s="26"/>
      <c r="W1072" s="27"/>
    </row>
    <row r="1073" spans="1:23" ht="15.75" customHeight="1" x14ac:dyDescent="0.25">
      <c r="A1073" s="23"/>
      <c r="B1073" s="23" t="str">
        <f t="shared" si="6"/>
        <v/>
      </c>
      <c r="C1073" s="23"/>
      <c r="D1073" s="44"/>
      <c r="E1073" s="23"/>
      <c r="F1073" s="45"/>
      <c r="G1073" s="23"/>
      <c r="H1073" s="23"/>
      <c r="I1073" s="23"/>
      <c r="J1073" s="25"/>
      <c r="K1073" s="23"/>
      <c r="L1073" s="51"/>
      <c r="M1073" s="23"/>
      <c r="N1073" s="26"/>
      <c r="O1073" s="26"/>
      <c r="P1073" s="26"/>
      <c r="Q1073" s="26"/>
      <c r="R1073" s="26"/>
      <c r="S1073" s="26"/>
      <c r="T1073" s="26"/>
      <c r="U1073" s="26"/>
      <c r="V1073" s="26"/>
      <c r="W1073" s="27"/>
    </row>
    <row r="1074" spans="1:23" ht="15.75" customHeight="1" x14ac:dyDescent="0.25">
      <c r="A1074" s="23"/>
      <c r="B1074" s="23" t="str">
        <f t="shared" si="6"/>
        <v/>
      </c>
      <c r="C1074" s="23"/>
      <c r="D1074" s="44"/>
      <c r="E1074" s="23"/>
      <c r="F1074" s="45"/>
      <c r="G1074" s="23"/>
      <c r="H1074" s="23"/>
      <c r="I1074" s="23"/>
      <c r="J1074" s="25"/>
      <c r="K1074" s="23"/>
      <c r="L1074" s="51"/>
      <c r="M1074" s="23"/>
      <c r="N1074" s="26"/>
      <c r="O1074" s="26"/>
      <c r="P1074" s="26"/>
      <c r="Q1074" s="26"/>
      <c r="R1074" s="26"/>
      <c r="S1074" s="26"/>
      <c r="T1074" s="26"/>
      <c r="U1074" s="26"/>
      <c r="V1074" s="26"/>
      <c r="W1074" s="27"/>
    </row>
    <row r="1075" spans="1:23" ht="15.75" customHeight="1" x14ac:dyDescent="0.25">
      <c r="A1075" s="23"/>
      <c r="B1075" s="23" t="str">
        <f t="shared" si="6"/>
        <v/>
      </c>
      <c r="C1075" s="23"/>
      <c r="D1075" s="44"/>
      <c r="E1075" s="23"/>
      <c r="F1075" s="45"/>
      <c r="G1075" s="23"/>
      <c r="H1075" s="23"/>
      <c r="I1075" s="23"/>
      <c r="J1075" s="25"/>
      <c r="K1075" s="23"/>
      <c r="L1075" s="51"/>
      <c r="M1075" s="23"/>
      <c r="N1075" s="26"/>
      <c r="O1075" s="26"/>
      <c r="P1075" s="26"/>
      <c r="Q1075" s="26"/>
      <c r="R1075" s="26"/>
      <c r="S1075" s="26"/>
      <c r="T1075" s="26"/>
      <c r="U1075" s="26"/>
      <c r="V1075" s="26"/>
      <c r="W1075" s="27"/>
    </row>
    <row r="1076" spans="1:23" ht="15.75" customHeight="1" x14ac:dyDescent="0.25">
      <c r="A1076" s="23"/>
      <c r="B1076" s="23" t="str">
        <f t="shared" si="6"/>
        <v/>
      </c>
      <c r="C1076" s="23"/>
      <c r="D1076" s="44"/>
      <c r="E1076" s="23"/>
      <c r="F1076" s="45"/>
      <c r="G1076" s="23"/>
      <c r="H1076" s="23"/>
      <c r="I1076" s="23"/>
      <c r="J1076" s="25"/>
      <c r="K1076" s="23"/>
      <c r="L1076" s="51"/>
      <c r="M1076" s="23"/>
      <c r="N1076" s="26"/>
      <c r="O1076" s="26"/>
      <c r="P1076" s="26"/>
      <c r="Q1076" s="26"/>
      <c r="R1076" s="26"/>
      <c r="S1076" s="26"/>
      <c r="T1076" s="26"/>
      <c r="U1076" s="26"/>
      <c r="V1076" s="26"/>
      <c r="W1076" s="27"/>
    </row>
    <row r="1077" spans="1:23" ht="15.75" customHeight="1" x14ac:dyDescent="0.25">
      <c r="A1077" s="23"/>
      <c r="B1077" s="23" t="str">
        <f t="shared" si="6"/>
        <v/>
      </c>
      <c r="C1077" s="23"/>
      <c r="D1077" s="44"/>
      <c r="E1077" s="23"/>
      <c r="F1077" s="45"/>
      <c r="G1077" s="23"/>
      <c r="H1077" s="23"/>
      <c r="I1077" s="23"/>
      <c r="J1077" s="25"/>
      <c r="K1077" s="23"/>
      <c r="L1077" s="51"/>
      <c r="M1077" s="23"/>
      <c r="N1077" s="26"/>
      <c r="O1077" s="26"/>
      <c r="P1077" s="26"/>
      <c r="Q1077" s="26"/>
      <c r="R1077" s="26"/>
      <c r="S1077" s="26"/>
      <c r="T1077" s="26"/>
      <c r="U1077" s="26"/>
      <c r="V1077" s="26"/>
      <c r="W1077" s="27"/>
    </row>
    <row r="1078" spans="1:23" ht="15.75" customHeight="1" x14ac:dyDescent="0.25">
      <c r="A1078" s="23"/>
      <c r="B1078" s="23" t="str">
        <f t="shared" si="6"/>
        <v/>
      </c>
      <c r="C1078" s="23"/>
      <c r="D1078" s="44"/>
      <c r="E1078" s="23"/>
      <c r="F1078" s="45"/>
      <c r="G1078" s="23"/>
      <c r="H1078" s="23"/>
      <c r="I1078" s="23"/>
      <c r="J1078" s="25"/>
      <c r="K1078" s="23"/>
      <c r="L1078" s="51"/>
      <c r="M1078" s="23"/>
      <c r="N1078" s="26"/>
      <c r="O1078" s="26"/>
      <c r="P1078" s="26"/>
      <c r="Q1078" s="26"/>
      <c r="R1078" s="26"/>
      <c r="S1078" s="26"/>
      <c r="T1078" s="26"/>
      <c r="U1078" s="26"/>
      <c r="V1078" s="26"/>
      <c r="W1078" s="27"/>
    </row>
    <row r="1079" spans="1:23" ht="15.75" customHeight="1" x14ac:dyDescent="0.25">
      <c r="A1079" s="23"/>
      <c r="B1079" s="23" t="str">
        <f t="shared" si="6"/>
        <v/>
      </c>
      <c r="C1079" s="23"/>
      <c r="D1079" s="44"/>
      <c r="E1079" s="23"/>
      <c r="F1079" s="45"/>
      <c r="G1079" s="23"/>
      <c r="H1079" s="23"/>
      <c r="I1079" s="23"/>
      <c r="J1079" s="25"/>
      <c r="K1079" s="23"/>
      <c r="L1079" s="51"/>
      <c r="M1079" s="23"/>
      <c r="N1079" s="26"/>
      <c r="O1079" s="26"/>
      <c r="P1079" s="26"/>
      <c r="Q1079" s="26"/>
      <c r="R1079" s="26"/>
      <c r="S1079" s="26"/>
      <c r="T1079" s="26"/>
      <c r="U1079" s="26"/>
      <c r="V1079" s="26"/>
      <c r="W1079" s="27"/>
    </row>
    <row r="1080" spans="1:23" ht="15.75" customHeight="1" x14ac:dyDescent="0.25">
      <c r="A1080" s="23"/>
      <c r="B1080" s="23" t="str">
        <f t="shared" si="6"/>
        <v/>
      </c>
      <c r="C1080" s="23"/>
      <c r="D1080" s="44"/>
      <c r="E1080" s="23"/>
      <c r="F1080" s="45"/>
      <c r="G1080" s="23"/>
      <c r="H1080" s="23"/>
      <c r="I1080" s="23"/>
      <c r="J1080" s="25"/>
      <c r="K1080" s="23"/>
      <c r="L1080" s="51"/>
      <c r="M1080" s="23"/>
      <c r="N1080" s="26"/>
      <c r="O1080" s="26"/>
      <c r="P1080" s="26"/>
      <c r="Q1080" s="26"/>
      <c r="R1080" s="26"/>
      <c r="S1080" s="26"/>
      <c r="T1080" s="26"/>
      <c r="U1080" s="26"/>
      <c r="V1080" s="26"/>
      <c r="W1080" s="27"/>
    </row>
    <row r="1081" spans="1:23" ht="15.75" customHeight="1" x14ac:dyDescent="0.25">
      <c r="A1081" s="23"/>
      <c r="B1081" s="23" t="str">
        <f t="shared" si="6"/>
        <v/>
      </c>
      <c r="C1081" s="23"/>
      <c r="D1081" s="44"/>
      <c r="E1081" s="23"/>
      <c r="F1081" s="45"/>
      <c r="G1081" s="23"/>
      <c r="H1081" s="23"/>
      <c r="I1081" s="23"/>
      <c r="J1081" s="25"/>
      <c r="K1081" s="23"/>
      <c r="L1081" s="51"/>
      <c r="M1081" s="23"/>
      <c r="N1081" s="26"/>
      <c r="O1081" s="26"/>
      <c r="P1081" s="26"/>
      <c r="Q1081" s="26"/>
      <c r="R1081" s="26"/>
      <c r="S1081" s="26"/>
      <c r="T1081" s="26"/>
      <c r="U1081" s="26"/>
      <c r="V1081" s="26"/>
      <c r="W1081" s="27"/>
    </row>
    <row r="1082" spans="1:23" ht="15.75" customHeight="1" x14ac:dyDescent="0.25">
      <c r="A1082" s="23"/>
      <c r="B1082" s="23" t="str">
        <f t="shared" si="6"/>
        <v/>
      </c>
      <c r="C1082" s="23"/>
      <c r="D1082" s="44"/>
      <c r="E1082" s="23"/>
      <c r="F1082" s="45"/>
      <c r="G1082" s="23"/>
      <c r="H1082" s="23"/>
      <c r="I1082" s="23"/>
      <c r="J1082" s="25"/>
      <c r="K1082" s="23"/>
      <c r="L1082" s="51"/>
      <c r="M1082" s="23"/>
      <c r="N1082" s="26"/>
      <c r="O1082" s="26"/>
      <c r="P1082" s="26"/>
      <c r="Q1082" s="26"/>
      <c r="R1082" s="26"/>
      <c r="S1082" s="26"/>
      <c r="T1082" s="26"/>
      <c r="U1082" s="26"/>
      <c r="V1082" s="26"/>
      <c r="W1082" s="27"/>
    </row>
    <row r="1083" spans="1:23" ht="15.75" customHeight="1" x14ac:dyDescent="0.25">
      <c r="A1083" s="23"/>
      <c r="B1083" s="23" t="str">
        <f t="shared" si="6"/>
        <v/>
      </c>
      <c r="C1083" s="23"/>
      <c r="D1083" s="44"/>
      <c r="E1083" s="23"/>
      <c r="F1083" s="45"/>
      <c r="G1083" s="23"/>
      <c r="H1083" s="23"/>
      <c r="I1083" s="23"/>
      <c r="J1083" s="25"/>
      <c r="K1083" s="23"/>
      <c r="L1083" s="51"/>
      <c r="M1083" s="23"/>
      <c r="N1083" s="26"/>
      <c r="O1083" s="26"/>
      <c r="P1083" s="26"/>
      <c r="Q1083" s="26"/>
      <c r="R1083" s="26"/>
      <c r="S1083" s="26"/>
      <c r="T1083" s="26"/>
      <c r="U1083" s="26"/>
      <c r="V1083" s="26"/>
      <c r="W1083" s="27"/>
    </row>
    <row r="1084" spans="1:23" ht="15.75" customHeight="1" x14ac:dyDescent="0.25">
      <c r="A1084" s="23"/>
      <c r="B1084" s="23" t="str">
        <f t="shared" si="6"/>
        <v/>
      </c>
      <c r="C1084" s="23"/>
      <c r="D1084" s="44"/>
      <c r="E1084" s="23"/>
      <c r="F1084" s="45"/>
      <c r="G1084" s="23"/>
      <c r="H1084" s="23"/>
      <c r="I1084" s="23"/>
      <c r="J1084" s="25"/>
      <c r="K1084" s="23"/>
      <c r="L1084" s="51"/>
      <c r="M1084" s="23"/>
      <c r="N1084" s="26"/>
      <c r="O1084" s="26"/>
      <c r="P1084" s="26"/>
      <c r="Q1084" s="26"/>
      <c r="R1084" s="26"/>
      <c r="S1084" s="26"/>
      <c r="T1084" s="26"/>
      <c r="U1084" s="26"/>
      <c r="V1084" s="26"/>
      <c r="W1084" s="27"/>
    </row>
    <row r="1085" spans="1:23" ht="15.75" customHeight="1" x14ac:dyDescent="0.25">
      <c r="A1085" s="23"/>
      <c r="B1085" s="23" t="str">
        <f t="shared" si="6"/>
        <v/>
      </c>
      <c r="C1085" s="23"/>
      <c r="D1085" s="44"/>
      <c r="E1085" s="23"/>
      <c r="F1085" s="45"/>
      <c r="G1085" s="23"/>
      <c r="H1085" s="23"/>
      <c r="I1085" s="23"/>
      <c r="J1085" s="25"/>
      <c r="K1085" s="23"/>
      <c r="L1085" s="51"/>
      <c r="M1085" s="23"/>
      <c r="N1085" s="26"/>
      <c r="O1085" s="26"/>
      <c r="P1085" s="26"/>
      <c r="Q1085" s="26"/>
      <c r="R1085" s="26"/>
      <c r="S1085" s="26"/>
      <c r="T1085" s="26"/>
      <c r="U1085" s="26"/>
      <c r="V1085" s="26"/>
      <c r="W1085" s="27"/>
    </row>
    <row r="1086" spans="1:23" ht="15.75" customHeight="1" x14ac:dyDescent="0.25">
      <c r="A1086" s="23"/>
      <c r="B1086" s="23" t="str">
        <f t="shared" si="6"/>
        <v/>
      </c>
      <c r="C1086" s="23"/>
      <c r="D1086" s="44"/>
      <c r="E1086" s="23"/>
      <c r="F1086" s="45"/>
      <c r="G1086" s="23"/>
      <c r="H1086" s="23"/>
      <c r="I1086" s="23"/>
      <c r="J1086" s="25"/>
      <c r="K1086" s="23"/>
      <c r="L1086" s="51"/>
      <c r="M1086" s="23"/>
      <c r="N1086" s="26"/>
      <c r="O1086" s="26"/>
      <c r="P1086" s="26"/>
      <c r="Q1086" s="26"/>
      <c r="R1086" s="26"/>
      <c r="S1086" s="26"/>
      <c r="T1086" s="26"/>
      <c r="U1086" s="26"/>
      <c r="V1086" s="26"/>
      <c r="W1086" s="27"/>
    </row>
    <row r="1087" spans="1:23" ht="15.75" customHeight="1" x14ac:dyDescent="0.25">
      <c r="A1087" s="23"/>
      <c r="B1087" s="23" t="str">
        <f t="shared" si="6"/>
        <v/>
      </c>
      <c r="C1087" s="23"/>
      <c r="D1087" s="44"/>
      <c r="E1087" s="23"/>
      <c r="F1087" s="45"/>
      <c r="G1087" s="23"/>
      <c r="H1087" s="23"/>
      <c r="I1087" s="23"/>
      <c r="J1087" s="25"/>
      <c r="K1087" s="23"/>
      <c r="L1087" s="51"/>
      <c r="M1087" s="23"/>
      <c r="N1087" s="26"/>
      <c r="O1087" s="26"/>
      <c r="P1087" s="26"/>
      <c r="Q1087" s="26"/>
      <c r="R1087" s="26"/>
      <c r="S1087" s="26"/>
      <c r="T1087" s="26"/>
      <c r="U1087" s="26"/>
      <c r="V1087" s="26"/>
      <c r="W1087" s="27"/>
    </row>
    <row r="1088" spans="1:23" ht="15.75" customHeight="1" x14ac:dyDescent="0.25">
      <c r="A1088" s="23"/>
      <c r="B1088" s="23" t="str">
        <f t="shared" si="6"/>
        <v/>
      </c>
      <c r="C1088" s="23"/>
      <c r="D1088" s="44"/>
      <c r="E1088" s="23"/>
      <c r="F1088" s="45"/>
      <c r="G1088" s="23"/>
      <c r="H1088" s="23"/>
      <c r="I1088" s="23"/>
      <c r="J1088" s="25"/>
      <c r="K1088" s="23"/>
      <c r="L1088" s="51"/>
      <c r="M1088" s="23"/>
      <c r="N1088" s="26"/>
      <c r="O1088" s="26"/>
      <c r="P1088" s="26"/>
      <c r="Q1088" s="26"/>
      <c r="R1088" s="26"/>
      <c r="S1088" s="26"/>
      <c r="T1088" s="26"/>
      <c r="U1088" s="26"/>
      <c r="V1088" s="26"/>
      <c r="W1088" s="27"/>
    </row>
    <row r="1089" spans="1:23" ht="15.75" customHeight="1" x14ac:dyDescent="0.25">
      <c r="A1089" s="23"/>
      <c r="B1089" s="23" t="str">
        <f t="shared" si="6"/>
        <v/>
      </c>
      <c r="C1089" s="23"/>
      <c r="D1089" s="44"/>
      <c r="E1089" s="23"/>
      <c r="F1089" s="45"/>
      <c r="G1089" s="23"/>
      <c r="H1089" s="23"/>
      <c r="I1089" s="23"/>
      <c r="J1089" s="25"/>
      <c r="K1089" s="23"/>
      <c r="L1089" s="51"/>
      <c r="M1089" s="23"/>
      <c r="N1089" s="26"/>
      <c r="O1089" s="26"/>
      <c r="P1089" s="26"/>
      <c r="Q1089" s="26"/>
      <c r="R1089" s="26"/>
      <c r="S1089" s="26"/>
      <c r="T1089" s="26"/>
      <c r="U1089" s="26"/>
      <c r="V1089" s="26"/>
      <c r="W1089" s="27"/>
    </row>
    <row r="1090" spans="1:23" ht="15.75" customHeight="1" x14ac:dyDescent="0.25">
      <c r="A1090" s="23"/>
      <c r="B1090" s="23" t="str">
        <f t="shared" si="6"/>
        <v/>
      </c>
      <c r="C1090" s="23"/>
      <c r="D1090" s="44"/>
      <c r="E1090" s="23"/>
      <c r="F1090" s="45"/>
      <c r="G1090" s="23"/>
      <c r="H1090" s="23"/>
      <c r="I1090" s="23"/>
      <c r="J1090" s="25"/>
      <c r="K1090" s="23"/>
      <c r="L1090" s="51"/>
      <c r="M1090" s="23"/>
      <c r="N1090" s="26"/>
      <c r="O1090" s="26"/>
      <c r="P1090" s="26"/>
      <c r="Q1090" s="26"/>
      <c r="R1090" s="26"/>
      <c r="S1090" s="26"/>
      <c r="T1090" s="26"/>
      <c r="U1090" s="26"/>
      <c r="V1090" s="26"/>
      <c r="W1090" s="27"/>
    </row>
    <row r="1091" spans="1:23" ht="15.75" customHeight="1" x14ac:dyDescent="0.25">
      <c r="A1091" s="23"/>
      <c r="B1091" s="23" t="str">
        <f t="shared" si="6"/>
        <v/>
      </c>
      <c r="C1091" s="23"/>
      <c r="D1091" s="44"/>
      <c r="E1091" s="23"/>
      <c r="F1091" s="45"/>
      <c r="G1091" s="23"/>
      <c r="H1091" s="23"/>
      <c r="I1091" s="23"/>
      <c r="J1091" s="25"/>
      <c r="K1091" s="23"/>
      <c r="L1091" s="51"/>
      <c r="M1091" s="23"/>
      <c r="N1091" s="26"/>
      <c r="O1091" s="26"/>
      <c r="P1091" s="26"/>
      <c r="Q1091" s="26"/>
      <c r="R1091" s="26"/>
      <c r="S1091" s="26"/>
      <c r="T1091" s="26"/>
      <c r="U1091" s="26"/>
      <c r="V1091" s="26"/>
      <c r="W1091" s="27"/>
    </row>
    <row r="1092" spans="1:23" ht="15.75" customHeight="1" x14ac:dyDescent="0.25">
      <c r="A1092" s="23"/>
      <c r="B1092" s="23" t="str">
        <f t="shared" si="6"/>
        <v/>
      </c>
      <c r="C1092" s="23"/>
      <c r="D1092" s="44"/>
      <c r="E1092" s="23"/>
      <c r="F1092" s="45"/>
      <c r="G1092" s="23"/>
      <c r="H1092" s="23"/>
      <c r="I1092" s="23"/>
      <c r="J1092" s="25"/>
      <c r="K1092" s="23"/>
      <c r="L1092" s="51"/>
      <c r="M1092" s="23"/>
      <c r="N1092" s="26"/>
      <c r="O1092" s="26"/>
      <c r="P1092" s="26"/>
      <c r="Q1092" s="26"/>
      <c r="R1092" s="26"/>
      <c r="S1092" s="26"/>
      <c r="T1092" s="26"/>
      <c r="U1092" s="26"/>
      <c r="V1092" s="26"/>
      <c r="W1092" s="27"/>
    </row>
    <row r="1093" spans="1:23" ht="15.75" customHeight="1" x14ac:dyDescent="0.25">
      <c r="A1093" s="23"/>
      <c r="B1093" s="23" t="str">
        <f t="shared" si="6"/>
        <v/>
      </c>
      <c r="C1093" s="23"/>
      <c r="D1093" s="44"/>
      <c r="E1093" s="23"/>
      <c r="F1093" s="45"/>
      <c r="G1093" s="23"/>
      <c r="H1093" s="23"/>
      <c r="I1093" s="23"/>
      <c r="J1093" s="25"/>
      <c r="K1093" s="23"/>
      <c r="L1093" s="51"/>
      <c r="M1093" s="23"/>
      <c r="N1093" s="26"/>
      <c r="O1093" s="26"/>
      <c r="P1093" s="26"/>
      <c r="Q1093" s="26"/>
      <c r="R1093" s="26"/>
      <c r="S1093" s="26"/>
      <c r="T1093" s="26"/>
      <c r="U1093" s="26"/>
      <c r="V1093" s="26"/>
      <c r="W1093" s="27"/>
    </row>
    <row r="1094" spans="1:23" ht="15.75" customHeight="1" x14ac:dyDescent="0.25">
      <c r="A1094" s="23"/>
      <c r="B1094" s="23" t="str">
        <f t="shared" si="6"/>
        <v/>
      </c>
      <c r="C1094" s="23"/>
      <c r="D1094" s="44"/>
      <c r="E1094" s="23"/>
      <c r="F1094" s="45"/>
      <c r="G1094" s="23"/>
      <c r="H1094" s="23"/>
      <c r="I1094" s="23"/>
      <c r="J1094" s="25"/>
      <c r="K1094" s="23"/>
      <c r="L1094" s="51"/>
      <c r="M1094" s="23"/>
      <c r="N1094" s="26"/>
      <c r="O1094" s="26"/>
      <c r="P1094" s="26"/>
      <c r="Q1094" s="26"/>
      <c r="R1094" s="26"/>
      <c r="S1094" s="26"/>
      <c r="T1094" s="26"/>
      <c r="U1094" s="26"/>
      <c r="V1094" s="26"/>
      <c r="W1094" s="27"/>
    </row>
    <row r="1095" spans="1:23" ht="15.75" customHeight="1" x14ac:dyDescent="0.25">
      <c r="A1095" s="23"/>
      <c r="B1095" s="23" t="str">
        <f t="shared" si="6"/>
        <v/>
      </c>
      <c r="C1095" s="23"/>
      <c r="D1095" s="44"/>
      <c r="E1095" s="23"/>
      <c r="F1095" s="45"/>
      <c r="G1095" s="23"/>
      <c r="H1095" s="23"/>
      <c r="I1095" s="23"/>
      <c r="J1095" s="25"/>
      <c r="K1095" s="23"/>
      <c r="L1095" s="51"/>
      <c r="M1095" s="23"/>
      <c r="N1095" s="26"/>
      <c r="O1095" s="26"/>
      <c r="P1095" s="26"/>
      <c r="Q1095" s="26"/>
      <c r="R1095" s="26"/>
      <c r="S1095" s="26"/>
      <c r="T1095" s="26"/>
      <c r="U1095" s="26"/>
      <c r="V1095" s="26"/>
      <c r="W1095" s="27"/>
    </row>
    <row r="1096" spans="1:23" ht="15.75" customHeight="1" x14ac:dyDescent="0.25">
      <c r="A1096" s="23"/>
      <c r="B1096" s="23" t="str">
        <f t="shared" si="6"/>
        <v/>
      </c>
      <c r="C1096" s="23"/>
      <c r="D1096" s="44"/>
      <c r="E1096" s="23"/>
      <c r="F1096" s="45"/>
      <c r="G1096" s="23"/>
      <c r="H1096" s="23"/>
      <c r="I1096" s="23"/>
      <c r="J1096" s="25"/>
      <c r="K1096" s="23"/>
      <c r="L1096" s="51"/>
      <c r="M1096" s="23"/>
      <c r="N1096" s="26"/>
      <c r="O1096" s="26"/>
      <c r="P1096" s="26"/>
      <c r="Q1096" s="26"/>
      <c r="R1096" s="26"/>
      <c r="S1096" s="26"/>
      <c r="T1096" s="26"/>
      <c r="U1096" s="26"/>
      <c r="V1096" s="26"/>
      <c r="W1096" s="27"/>
    </row>
    <row r="1097" spans="1:23" ht="15.75" customHeight="1" x14ac:dyDescent="0.25">
      <c r="A1097" s="23"/>
      <c r="B1097" s="23" t="str">
        <f t="shared" si="6"/>
        <v/>
      </c>
      <c r="C1097" s="23"/>
      <c r="D1097" s="44"/>
      <c r="E1097" s="23"/>
      <c r="F1097" s="45"/>
      <c r="G1097" s="23"/>
      <c r="H1097" s="23"/>
      <c r="I1097" s="23"/>
      <c r="J1097" s="25"/>
      <c r="K1097" s="23"/>
      <c r="L1097" s="51"/>
      <c r="M1097" s="23"/>
      <c r="N1097" s="26"/>
      <c r="O1097" s="26"/>
      <c r="P1097" s="26"/>
      <c r="Q1097" s="26"/>
      <c r="R1097" s="26"/>
      <c r="S1097" s="26"/>
      <c r="T1097" s="26"/>
      <c r="U1097" s="26"/>
      <c r="V1097" s="26"/>
      <c r="W1097" s="27"/>
    </row>
    <row r="1098" spans="1:23" ht="15.75" customHeight="1" x14ac:dyDescent="0.25">
      <c r="A1098" s="23"/>
      <c r="B1098" s="23" t="str">
        <f t="shared" si="6"/>
        <v/>
      </c>
      <c r="C1098" s="23"/>
      <c r="D1098" s="44"/>
      <c r="E1098" s="23"/>
      <c r="F1098" s="45"/>
      <c r="G1098" s="23"/>
      <c r="H1098" s="23"/>
      <c r="I1098" s="23"/>
      <c r="J1098" s="25"/>
      <c r="K1098" s="23"/>
      <c r="L1098" s="51"/>
      <c r="M1098" s="23"/>
      <c r="N1098" s="26"/>
      <c r="O1098" s="26"/>
      <c r="P1098" s="26"/>
      <c r="Q1098" s="26"/>
      <c r="R1098" s="26"/>
      <c r="S1098" s="26"/>
      <c r="T1098" s="26"/>
      <c r="U1098" s="26"/>
      <c r="V1098" s="26"/>
      <c r="W1098" s="27"/>
    </row>
    <row r="1099" spans="1:23" ht="15.75" customHeight="1" x14ac:dyDescent="0.25">
      <c r="A1099" s="23"/>
      <c r="B1099" s="23" t="str">
        <f t="shared" si="6"/>
        <v/>
      </c>
      <c r="C1099" s="23"/>
      <c r="D1099" s="44"/>
      <c r="E1099" s="23"/>
      <c r="F1099" s="45"/>
      <c r="G1099" s="23"/>
      <c r="H1099" s="23"/>
      <c r="I1099" s="23"/>
      <c r="J1099" s="25"/>
      <c r="K1099" s="23"/>
      <c r="L1099" s="51"/>
      <c r="M1099" s="23"/>
      <c r="N1099" s="26"/>
      <c r="O1099" s="26"/>
      <c r="P1099" s="26"/>
      <c r="Q1099" s="26"/>
      <c r="R1099" s="26"/>
      <c r="S1099" s="26"/>
      <c r="T1099" s="26"/>
      <c r="U1099" s="26"/>
      <c r="V1099" s="26"/>
      <c r="W1099" s="27"/>
    </row>
    <row r="1100" spans="1:23" ht="15.75" customHeight="1" x14ac:dyDescent="0.25">
      <c r="A1100" s="23"/>
      <c r="B1100" s="23" t="str">
        <f t="shared" si="6"/>
        <v/>
      </c>
      <c r="C1100" s="23"/>
      <c r="D1100" s="44"/>
      <c r="E1100" s="23"/>
      <c r="F1100" s="45"/>
      <c r="G1100" s="23"/>
      <c r="H1100" s="23"/>
      <c r="I1100" s="23"/>
      <c r="J1100" s="25"/>
      <c r="K1100" s="23"/>
      <c r="L1100" s="51"/>
      <c r="M1100" s="23"/>
      <c r="N1100" s="26"/>
      <c r="O1100" s="26"/>
      <c r="P1100" s="26"/>
      <c r="Q1100" s="26"/>
      <c r="R1100" s="26"/>
      <c r="S1100" s="26"/>
      <c r="T1100" s="26"/>
      <c r="U1100" s="26"/>
      <c r="V1100" s="26"/>
      <c r="W1100" s="27"/>
    </row>
    <row r="1101" spans="1:23" ht="15.75" customHeight="1" x14ac:dyDescent="0.25">
      <c r="A1101" s="23"/>
      <c r="B1101" s="23" t="str">
        <f t="shared" si="6"/>
        <v/>
      </c>
      <c r="C1101" s="23"/>
      <c r="D1101" s="44"/>
      <c r="E1101" s="23"/>
      <c r="F1101" s="45"/>
      <c r="G1101" s="23"/>
      <c r="H1101" s="23"/>
      <c r="I1101" s="23"/>
      <c r="J1101" s="25"/>
      <c r="K1101" s="23"/>
      <c r="L1101" s="51"/>
      <c r="M1101" s="23"/>
      <c r="N1101" s="26"/>
      <c r="O1101" s="26"/>
      <c r="P1101" s="26"/>
      <c r="Q1101" s="26"/>
      <c r="R1101" s="26"/>
      <c r="S1101" s="26"/>
      <c r="T1101" s="26"/>
      <c r="U1101" s="26"/>
      <c r="V1101" s="26"/>
      <c r="W1101" s="27"/>
    </row>
    <row r="1102" spans="1:23" ht="15.75" customHeight="1" x14ac:dyDescent="0.25">
      <c r="A1102" s="23"/>
      <c r="B1102" s="23" t="str">
        <f t="shared" si="6"/>
        <v/>
      </c>
      <c r="C1102" s="23"/>
      <c r="D1102" s="44"/>
      <c r="E1102" s="23"/>
      <c r="F1102" s="45"/>
      <c r="G1102" s="23"/>
      <c r="H1102" s="23"/>
      <c r="I1102" s="23"/>
      <c r="J1102" s="25"/>
      <c r="K1102" s="23"/>
      <c r="L1102" s="51"/>
      <c r="M1102" s="23"/>
      <c r="N1102" s="26"/>
      <c r="O1102" s="26"/>
      <c r="P1102" s="26"/>
      <c r="Q1102" s="26"/>
      <c r="R1102" s="26"/>
      <c r="S1102" s="26"/>
      <c r="T1102" s="26"/>
      <c r="U1102" s="26"/>
      <c r="V1102" s="26"/>
      <c r="W1102" s="27"/>
    </row>
    <row r="1103" spans="1:23" ht="15.75" customHeight="1" x14ac:dyDescent="0.25">
      <c r="A1103" s="23"/>
      <c r="B1103" s="23" t="str">
        <f t="shared" si="6"/>
        <v/>
      </c>
      <c r="C1103" s="23"/>
      <c r="D1103" s="44"/>
      <c r="E1103" s="23"/>
      <c r="F1103" s="45"/>
      <c r="G1103" s="23"/>
      <c r="H1103" s="23"/>
      <c r="I1103" s="23"/>
      <c r="J1103" s="25"/>
      <c r="K1103" s="23"/>
      <c r="L1103" s="51"/>
      <c r="M1103" s="23"/>
      <c r="N1103" s="26"/>
      <c r="O1103" s="26"/>
      <c r="P1103" s="26"/>
      <c r="Q1103" s="26"/>
      <c r="R1103" s="26"/>
      <c r="S1103" s="26"/>
      <c r="T1103" s="26"/>
      <c r="U1103" s="26"/>
      <c r="V1103" s="26"/>
      <c r="W1103" s="27"/>
    </row>
    <row r="1104" spans="1:23" ht="15.75" customHeight="1" x14ac:dyDescent="0.25">
      <c r="A1104" s="23"/>
      <c r="B1104" s="23" t="str">
        <f t="shared" si="6"/>
        <v/>
      </c>
      <c r="C1104" s="23"/>
      <c r="D1104" s="44"/>
      <c r="E1104" s="23"/>
      <c r="F1104" s="45"/>
      <c r="G1104" s="23"/>
      <c r="H1104" s="23"/>
      <c r="I1104" s="23"/>
      <c r="J1104" s="25"/>
      <c r="K1104" s="23"/>
      <c r="L1104" s="51"/>
      <c r="M1104" s="23"/>
      <c r="N1104" s="26"/>
      <c r="O1104" s="26"/>
      <c r="P1104" s="26"/>
      <c r="Q1104" s="26"/>
      <c r="R1104" s="26"/>
      <c r="S1104" s="26"/>
      <c r="T1104" s="26"/>
      <c r="U1104" s="26"/>
      <c r="V1104" s="26"/>
      <c r="W1104" s="27"/>
    </row>
    <row r="1105" spans="1:23" ht="15.75" customHeight="1" x14ac:dyDescent="0.25">
      <c r="A1105" s="23"/>
      <c r="B1105" s="23" t="str">
        <f t="shared" si="6"/>
        <v/>
      </c>
      <c r="C1105" s="23"/>
      <c r="D1105" s="44"/>
      <c r="E1105" s="23"/>
      <c r="F1105" s="45"/>
      <c r="G1105" s="23"/>
      <c r="H1105" s="23"/>
      <c r="I1105" s="23"/>
      <c r="J1105" s="25"/>
      <c r="K1105" s="23"/>
      <c r="L1105" s="51"/>
      <c r="M1105" s="23"/>
      <c r="N1105" s="26"/>
      <c r="O1105" s="26"/>
      <c r="P1105" s="26"/>
      <c r="Q1105" s="26"/>
      <c r="R1105" s="26"/>
      <c r="S1105" s="26"/>
      <c r="T1105" s="26"/>
      <c r="U1105" s="26"/>
      <c r="V1105" s="26"/>
      <c r="W1105" s="27"/>
    </row>
    <row r="1106" spans="1:23" ht="15.75" customHeight="1" x14ac:dyDescent="0.25">
      <c r="A1106" s="23"/>
      <c r="B1106" s="23" t="str">
        <f t="shared" si="6"/>
        <v/>
      </c>
      <c r="C1106" s="23"/>
      <c r="D1106" s="44"/>
      <c r="E1106" s="23"/>
      <c r="F1106" s="45"/>
      <c r="G1106" s="23"/>
      <c r="H1106" s="23"/>
      <c r="I1106" s="23"/>
      <c r="J1106" s="25"/>
      <c r="K1106" s="23"/>
      <c r="L1106" s="51"/>
      <c r="M1106" s="23"/>
      <c r="N1106" s="26"/>
      <c r="O1106" s="26"/>
      <c r="P1106" s="26"/>
      <c r="Q1106" s="26"/>
      <c r="R1106" s="26"/>
      <c r="S1106" s="26"/>
      <c r="T1106" s="26"/>
      <c r="U1106" s="26"/>
      <c r="V1106" s="26"/>
      <c r="W1106" s="27"/>
    </row>
    <row r="1107" spans="1:23" ht="15.75" customHeight="1" x14ac:dyDescent="0.25">
      <c r="A1107" s="23"/>
      <c r="B1107" s="23" t="str">
        <f t="shared" si="6"/>
        <v/>
      </c>
      <c r="C1107" s="23"/>
      <c r="D1107" s="44"/>
      <c r="E1107" s="23"/>
      <c r="F1107" s="45"/>
      <c r="G1107" s="23"/>
      <c r="H1107" s="23"/>
      <c r="I1107" s="23"/>
      <c r="J1107" s="25"/>
      <c r="K1107" s="23"/>
      <c r="L1107" s="51"/>
      <c r="M1107" s="23"/>
      <c r="N1107" s="26"/>
      <c r="O1107" s="26"/>
      <c r="P1107" s="26"/>
      <c r="Q1107" s="26"/>
      <c r="R1107" s="26"/>
      <c r="S1107" s="26"/>
      <c r="T1107" s="26"/>
      <c r="U1107" s="26"/>
      <c r="V1107" s="26"/>
      <c r="W1107" s="27"/>
    </row>
    <row r="1108" spans="1:23" ht="15.75" customHeight="1" x14ac:dyDescent="0.25">
      <c r="A1108" s="23"/>
      <c r="B1108" s="23" t="str">
        <f t="shared" si="6"/>
        <v/>
      </c>
      <c r="C1108" s="23"/>
      <c r="D1108" s="44"/>
      <c r="E1108" s="23"/>
      <c r="F1108" s="45"/>
      <c r="G1108" s="23"/>
      <c r="H1108" s="23"/>
      <c r="I1108" s="23"/>
      <c r="J1108" s="25"/>
      <c r="K1108" s="23"/>
      <c r="L1108" s="51"/>
      <c r="M1108" s="23"/>
      <c r="N1108" s="26"/>
      <c r="O1108" s="26"/>
      <c r="P1108" s="26"/>
      <c r="Q1108" s="26"/>
      <c r="R1108" s="26"/>
      <c r="S1108" s="26"/>
      <c r="T1108" s="26"/>
      <c r="U1108" s="26"/>
      <c r="V1108" s="26"/>
      <c r="W1108" s="27"/>
    </row>
    <row r="1109" spans="1:23" ht="15.75" customHeight="1" x14ac:dyDescent="0.25">
      <c r="A1109" s="23"/>
      <c r="B1109" s="23" t="str">
        <f t="shared" si="6"/>
        <v/>
      </c>
      <c r="C1109" s="23"/>
      <c r="D1109" s="44"/>
      <c r="E1109" s="23"/>
      <c r="F1109" s="45"/>
      <c r="G1109" s="23"/>
      <c r="H1109" s="23"/>
      <c r="I1109" s="23"/>
      <c r="J1109" s="25"/>
      <c r="K1109" s="23"/>
      <c r="L1109" s="51"/>
      <c r="M1109" s="23"/>
      <c r="N1109" s="26"/>
      <c r="O1109" s="26"/>
      <c r="P1109" s="26"/>
      <c r="Q1109" s="26"/>
      <c r="R1109" s="26"/>
      <c r="S1109" s="26"/>
      <c r="T1109" s="26"/>
      <c r="U1109" s="26"/>
      <c r="V1109" s="26"/>
      <c r="W1109" s="27"/>
    </row>
    <row r="1110" spans="1:23" ht="15.75" customHeight="1" x14ac:dyDescent="0.25">
      <c r="A1110" s="23"/>
      <c r="B1110" s="23" t="str">
        <f t="shared" si="6"/>
        <v/>
      </c>
      <c r="C1110" s="23"/>
      <c r="D1110" s="44"/>
      <c r="E1110" s="23"/>
      <c r="F1110" s="45"/>
      <c r="G1110" s="23"/>
      <c r="H1110" s="23"/>
      <c r="I1110" s="23"/>
      <c r="J1110" s="25"/>
      <c r="K1110" s="23"/>
      <c r="L1110" s="51"/>
      <c r="M1110" s="23"/>
      <c r="N1110" s="26"/>
      <c r="O1110" s="26"/>
      <c r="P1110" s="26"/>
      <c r="Q1110" s="26"/>
      <c r="R1110" s="26"/>
      <c r="S1110" s="26"/>
      <c r="T1110" s="26"/>
      <c r="U1110" s="26"/>
      <c r="V1110" s="26"/>
      <c r="W1110" s="27"/>
    </row>
    <row r="1111" spans="1:23" ht="15.75" customHeight="1" x14ac:dyDescent="0.25">
      <c r="A1111" s="23"/>
      <c r="B1111" s="23" t="str">
        <f t="shared" si="6"/>
        <v/>
      </c>
      <c r="C1111" s="23"/>
      <c r="D1111" s="44"/>
      <c r="E1111" s="23"/>
      <c r="F1111" s="45"/>
      <c r="G1111" s="23"/>
      <c r="H1111" s="23"/>
      <c r="I1111" s="23"/>
      <c r="J1111" s="25"/>
      <c r="K1111" s="23"/>
      <c r="L1111" s="51"/>
      <c r="M1111" s="23"/>
      <c r="N1111" s="26"/>
      <c r="O1111" s="26"/>
      <c r="P1111" s="26"/>
      <c r="Q1111" s="26"/>
      <c r="R1111" s="26"/>
      <c r="S1111" s="26"/>
      <c r="T1111" s="26"/>
      <c r="U1111" s="26"/>
      <c r="V1111" s="26"/>
      <c r="W1111" s="27"/>
    </row>
    <row r="1112" spans="1:23" ht="15.75" customHeight="1" x14ac:dyDescent="0.25">
      <c r="A1112" s="23"/>
      <c r="B1112" s="23" t="str">
        <f t="shared" si="6"/>
        <v/>
      </c>
      <c r="C1112" s="23"/>
      <c r="D1112" s="44"/>
      <c r="E1112" s="23"/>
      <c r="F1112" s="45"/>
      <c r="G1112" s="23"/>
      <c r="H1112" s="23"/>
      <c r="I1112" s="23"/>
      <c r="J1112" s="25"/>
      <c r="K1112" s="23"/>
      <c r="L1112" s="51"/>
      <c r="M1112" s="23"/>
      <c r="N1112" s="26"/>
      <c r="O1112" s="26"/>
      <c r="P1112" s="26"/>
      <c r="Q1112" s="26"/>
      <c r="R1112" s="26"/>
      <c r="S1112" s="26"/>
      <c r="T1112" s="26"/>
      <c r="U1112" s="26"/>
      <c r="V1112" s="26"/>
      <c r="W1112" s="27"/>
    </row>
    <row r="1113" spans="1:23" ht="15.75" customHeight="1" x14ac:dyDescent="0.25">
      <c r="A1113" s="23"/>
      <c r="B1113" s="23" t="str">
        <f t="shared" si="6"/>
        <v/>
      </c>
      <c r="C1113" s="23"/>
      <c r="D1113" s="44"/>
      <c r="E1113" s="23"/>
      <c r="F1113" s="45"/>
      <c r="G1113" s="23"/>
      <c r="H1113" s="23"/>
      <c r="I1113" s="23"/>
      <c r="J1113" s="25"/>
      <c r="K1113" s="23"/>
      <c r="L1113" s="51"/>
      <c r="M1113" s="23"/>
      <c r="N1113" s="26"/>
      <c r="O1113" s="26"/>
      <c r="P1113" s="26"/>
      <c r="Q1113" s="26"/>
      <c r="R1113" s="26"/>
      <c r="S1113" s="26"/>
      <c r="T1113" s="26"/>
      <c r="U1113" s="26"/>
      <c r="V1113" s="26"/>
      <c r="W1113" s="27"/>
    </row>
    <row r="1114" spans="1:23" ht="15.75" customHeight="1" x14ac:dyDescent="0.25">
      <c r="A1114" s="23"/>
      <c r="B1114" s="23" t="str">
        <f t="shared" si="6"/>
        <v/>
      </c>
      <c r="C1114" s="23"/>
      <c r="D1114" s="44"/>
      <c r="E1114" s="23"/>
      <c r="F1114" s="45"/>
      <c r="G1114" s="23"/>
      <c r="H1114" s="23"/>
      <c r="I1114" s="23"/>
      <c r="J1114" s="25"/>
      <c r="K1114" s="23"/>
      <c r="L1114" s="51"/>
      <c r="M1114" s="23"/>
      <c r="N1114" s="26"/>
      <c r="O1114" s="26"/>
      <c r="P1114" s="26"/>
      <c r="Q1114" s="26"/>
      <c r="R1114" s="26"/>
      <c r="S1114" s="26"/>
      <c r="T1114" s="26"/>
      <c r="U1114" s="26"/>
      <c r="V1114" s="26"/>
      <c r="W1114" s="27"/>
    </row>
    <row r="1115" spans="1:23" ht="15.75" customHeight="1" x14ac:dyDescent="0.25">
      <c r="A1115" s="23"/>
      <c r="B1115" s="23" t="str">
        <f t="shared" si="6"/>
        <v/>
      </c>
      <c r="C1115" s="23"/>
      <c r="D1115" s="44"/>
      <c r="E1115" s="23"/>
      <c r="F1115" s="45"/>
      <c r="G1115" s="23"/>
      <c r="H1115" s="23"/>
      <c r="I1115" s="23"/>
      <c r="J1115" s="25"/>
      <c r="K1115" s="23"/>
      <c r="L1115" s="51"/>
      <c r="M1115" s="23"/>
      <c r="N1115" s="26"/>
      <c r="O1115" s="26"/>
      <c r="P1115" s="26"/>
      <c r="Q1115" s="26"/>
      <c r="R1115" s="26"/>
      <c r="S1115" s="26"/>
      <c r="T1115" s="26"/>
      <c r="U1115" s="26"/>
      <c r="V1115" s="26"/>
      <c r="W1115" s="27"/>
    </row>
    <row r="1116" spans="1:23" ht="15.75" customHeight="1" x14ac:dyDescent="0.25">
      <c r="A1116" s="23"/>
      <c r="B1116" s="23" t="str">
        <f t="shared" si="6"/>
        <v/>
      </c>
      <c r="C1116" s="23"/>
      <c r="D1116" s="44"/>
      <c r="E1116" s="23"/>
      <c r="F1116" s="45"/>
      <c r="G1116" s="23"/>
      <c r="H1116" s="23"/>
      <c r="I1116" s="23"/>
      <c r="J1116" s="25"/>
      <c r="K1116" s="23"/>
      <c r="L1116" s="51"/>
      <c r="M1116" s="23"/>
      <c r="N1116" s="26"/>
      <c r="O1116" s="26"/>
      <c r="P1116" s="26"/>
      <c r="Q1116" s="26"/>
      <c r="R1116" s="26"/>
      <c r="S1116" s="26"/>
      <c r="T1116" s="26"/>
      <c r="U1116" s="26"/>
      <c r="V1116" s="26"/>
      <c r="W1116" s="27"/>
    </row>
    <row r="1117" spans="1:23" ht="15.75" customHeight="1" x14ac:dyDescent="0.25">
      <c r="A1117" s="23"/>
      <c r="B1117" s="23" t="str">
        <f t="shared" si="6"/>
        <v/>
      </c>
      <c r="C1117" s="23"/>
      <c r="D1117" s="44"/>
      <c r="E1117" s="23"/>
      <c r="F1117" s="45"/>
      <c r="G1117" s="23"/>
      <c r="H1117" s="23"/>
      <c r="I1117" s="23"/>
      <c r="J1117" s="25"/>
      <c r="K1117" s="23"/>
      <c r="L1117" s="51"/>
      <c r="M1117" s="23"/>
      <c r="N1117" s="26"/>
      <c r="O1117" s="26"/>
      <c r="P1117" s="26"/>
      <c r="Q1117" s="26"/>
      <c r="R1117" s="26"/>
      <c r="S1117" s="26"/>
      <c r="T1117" s="26"/>
      <c r="U1117" s="26"/>
      <c r="V1117" s="26"/>
      <c r="W1117" s="27"/>
    </row>
    <row r="1118" spans="1:23" ht="15.75" customHeight="1" x14ac:dyDescent="0.25">
      <c r="A1118" s="23"/>
      <c r="B1118" s="23" t="str">
        <f t="shared" si="6"/>
        <v/>
      </c>
      <c r="C1118" s="23"/>
      <c r="D1118" s="44"/>
      <c r="E1118" s="23"/>
      <c r="F1118" s="45"/>
      <c r="G1118" s="23"/>
      <c r="H1118" s="23"/>
      <c r="I1118" s="23"/>
      <c r="J1118" s="25"/>
      <c r="K1118" s="23"/>
      <c r="L1118" s="51"/>
      <c r="M1118" s="23"/>
      <c r="N1118" s="26"/>
      <c r="O1118" s="26"/>
      <c r="P1118" s="26"/>
      <c r="Q1118" s="26"/>
      <c r="R1118" s="26"/>
      <c r="S1118" s="26"/>
      <c r="T1118" s="26"/>
      <c r="U1118" s="26"/>
      <c r="V1118" s="26"/>
      <c r="W1118" s="27"/>
    </row>
    <row r="1119" spans="1:23" ht="15.75" customHeight="1" x14ac:dyDescent="0.25">
      <c r="A1119" s="23"/>
      <c r="B1119" s="23" t="str">
        <f t="shared" si="6"/>
        <v/>
      </c>
      <c r="C1119" s="23"/>
      <c r="D1119" s="44"/>
      <c r="E1119" s="23"/>
      <c r="F1119" s="45"/>
      <c r="G1119" s="23"/>
      <c r="H1119" s="23"/>
      <c r="I1119" s="23"/>
      <c r="J1119" s="25"/>
      <c r="K1119" s="23"/>
      <c r="L1119" s="51"/>
      <c r="M1119" s="23"/>
      <c r="N1119" s="26"/>
      <c r="O1119" s="26"/>
      <c r="P1119" s="26"/>
      <c r="Q1119" s="26"/>
      <c r="R1119" s="26"/>
      <c r="S1119" s="26"/>
      <c r="T1119" s="26"/>
      <c r="U1119" s="26"/>
      <c r="V1119" s="26"/>
      <c r="W1119" s="27"/>
    </row>
    <row r="1120" spans="1:23" ht="15.75" customHeight="1" x14ac:dyDescent="0.25">
      <c r="A1120" s="23"/>
      <c r="B1120" s="23" t="str">
        <f t="shared" si="6"/>
        <v/>
      </c>
      <c r="C1120" s="23"/>
      <c r="D1120" s="44"/>
      <c r="E1120" s="23"/>
      <c r="F1120" s="45"/>
      <c r="G1120" s="23"/>
      <c r="H1120" s="23"/>
      <c r="I1120" s="23"/>
      <c r="J1120" s="25"/>
      <c r="K1120" s="23"/>
      <c r="L1120" s="51"/>
      <c r="M1120" s="23"/>
      <c r="N1120" s="26"/>
      <c r="O1120" s="26"/>
      <c r="P1120" s="26"/>
      <c r="Q1120" s="26"/>
      <c r="R1120" s="26"/>
      <c r="S1120" s="26"/>
      <c r="T1120" s="26"/>
      <c r="U1120" s="26"/>
      <c r="V1120" s="26"/>
      <c r="W1120" s="27"/>
    </row>
    <row r="1121" spans="1:23" ht="15.75" customHeight="1" x14ac:dyDescent="0.25">
      <c r="A1121" s="23"/>
      <c r="B1121" s="23" t="str">
        <f t="shared" si="6"/>
        <v/>
      </c>
      <c r="C1121" s="23"/>
      <c r="D1121" s="44"/>
      <c r="E1121" s="23"/>
      <c r="F1121" s="45"/>
      <c r="G1121" s="23"/>
      <c r="H1121" s="23"/>
      <c r="I1121" s="23"/>
      <c r="J1121" s="25"/>
      <c r="K1121" s="23"/>
      <c r="L1121" s="51"/>
      <c r="M1121" s="23"/>
      <c r="N1121" s="26"/>
      <c r="O1121" s="26"/>
      <c r="P1121" s="26"/>
      <c r="Q1121" s="26"/>
      <c r="R1121" s="26"/>
      <c r="S1121" s="26"/>
      <c r="T1121" s="26"/>
      <c r="U1121" s="26"/>
      <c r="V1121" s="26"/>
      <c r="W1121" s="27"/>
    </row>
    <row r="1122" spans="1:23" ht="15.75" customHeight="1" x14ac:dyDescent="0.25">
      <c r="A1122" s="23"/>
      <c r="B1122" s="23" t="str">
        <f t="shared" si="6"/>
        <v/>
      </c>
      <c r="C1122" s="23"/>
      <c r="D1122" s="44"/>
      <c r="E1122" s="23"/>
      <c r="F1122" s="45"/>
      <c r="G1122" s="23"/>
      <c r="H1122" s="23"/>
      <c r="I1122" s="23"/>
      <c r="J1122" s="25"/>
      <c r="K1122" s="23"/>
      <c r="L1122" s="51"/>
      <c r="M1122" s="23"/>
      <c r="N1122" s="26"/>
      <c r="O1122" s="26"/>
      <c r="P1122" s="26"/>
      <c r="Q1122" s="26"/>
      <c r="R1122" s="26"/>
      <c r="S1122" s="26"/>
      <c r="T1122" s="26"/>
      <c r="U1122" s="26"/>
      <c r="V1122" s="26"/>
      <c r="W1122" s="27"/>
    </row>
    <row r="1123" spans="1:23" ht="15.75" customHeight="1" x14ac:dyDescent="0.25">
      <c r="A1123" s="23"/>
      <c r="B1123" s="23" t="str">
        <f t="shared" si="6"/>
        <v/>
      </c>
      <c r="C1123" s="23"/>
      <c r="D1123" s="44"/>
      <c r="E1123" s="23"/>
      <c r="F1123" s="45"/>
      <c r="G1123" s="23"/>
      <c r="H1123" s="23"/>
      <c r="I1123" s="23"/>
      <c r="J1123" s="25"/>
      <c r="K1123" s="23"/>
      <c r="L1123" s="51"/>
      <c r="M1123" s="23"/>
      <c r="N1123" s="26"/>
      <c r="O1123" s="26"/>
      <c r="P1123" s="26"/>
      <c r="Q1123" s="26"/>
      <c r="R1123" s="26"/>
      <c r="S1123" s="26"/>
      <c r="T1123" s="26"/>
      <c r="U1123" s="26"/>
      <c r="V1123" s="26"/>
      <c r="W1123" s="27"/>
    </row>
    <row r="1124" spans="1:23" ht="15.75" customHeight="1" x14ac:dyDescent="0.25">
      <c r="A1124" s="23"/>
      <c r="B1124" s="23" t="str">
        <f t="shared" si="6"/>
        <v/>
      </c>
      <c r="C1124" s="23"/>
      <c r="D1124" s="44"/>
      <c r="E1124" s="23"/>
      <c r="F1124" s="45"/>
      <c r="G1124" s="23"/>
      <c r="H1124" s="23"/>
      <c r="I1124" s="23"/>
      <c r="J1124" s="25"/>
      <c r="K1124" s="23"/>
      <c r="L1124" s="51"/>
      <c r="M1124" s="23"/>
      <c r="N1124" s="26"/>
      <c r="O1124" s="26"/>
      <c r="P1124" s="26"/>
      <c r="Q1124" s="26"/>
      <c r="R1124" s="26"/>
      <c r="S1124" s="26"/>
      <c r="T1124" s="26"/>
      <c r="U1124" s="26"/>
      <c r="V1124" s="26"/>
      <c r="W1124" s="27"/>
    </row>
    <row r="1125" spans="1:23" ht="15.75" customHeight="1" x14ac:dyDescent="0.25">
      <c r="A1125" s="23"/>
      <c r="B1125" s="23" t="str">
        <f t="shared" si="6"/>
        <v/>
      </c>
      <c r="C1125" s="23"/>
      <c r="D1125" s="44"/>
      <c r="E1125" s="23"/>
      <c r="F1125" s="45"/>
      <c r="G1125" s="23"/>
      <c r="H1125" s="23"/>
      <c r="I1125" s="23"/>
      <c r="J1125" s="25"/>
      <c r="K1125" s="23"/>
      <c r="L1125" s="51"/>
      <c r="M1125" s="23"/>
      <c r="N1125" s="26"/>
      <c r="O1125" s="26"/>
      <c r="P1125" s="26"/>
      <c r="Q1125" s="26"/>
      <c r="R1125" s="26"/>
      <c r="S1125" s="26"/>
      <c r="T1125" s="26"/>
      <c r="U1125" s="26"/>
      <c r="V1125" s="26"/>
      <c r="W1125" s="27"/>
    </row>
    <row r="1126" spans="1:23" ht="15.75" customHeight="1" x14ac:dyDescent="0.25">
      <c r="A1126" s="23"/>
      <c r="B1126" s="23" t="str">
        <f t="shared" si="6"/>
        <v/>
      </c>
      <c r="C1126" s="23"/>
      <c r="D1126" s="44"/>
      <c r="E1126" s="23"/>
      <c r="F1126" s="45"/>
      <c r="G1126" s="23"/>
      <c r="H1126" s="23"/>
      <c r="I1126" s="23"/>
      <c r="J1126" s="25"/>
      <c r="K1126" s="23"/>
      <c r="L1126" s="51"/>
      <c r="M1126" s="23"/>
      <c r="N1126" s="26"/>
      <c r="O1126" s="26"/>
      <c r="P1126" s="26"/>
      <c r="Q1126" s="26"/>
      <c r="R1126" s="26"/>
      <c r="S1126" s="26"/>
      <c r="T1126" s="26"/>
      <c r="U1126" s="26"/>
      <c r="V1126" s="26"/>
      <c r="W1126" s="27"/>
    </row>
    <row r="1127" spans="1:23" ht="15.75" customHeight="1" x14ac:dyDescent="0.25">
      <c r="A1127" s="23"/>
      <c r="B1127" s="23" t="str">
        <f t="shared" si="6"/>
        <v/>
      </c>
      <c r="C1127" s="23"/>
      <c r="D1127" s="44"/>
      <c r="E1127" s="23"/>
      <c r="F1127" s="45"/>
      <c r="G1127" s="23"/>
      <c r="H1127" s="23"/>
      <c r="I1127" s="23"/>
      <c r="J1127" s="25"/>
      <c r="K1127" s="23"/>
      <c r="L1127" s="51"/>
      <c r="M1127" s="23"/>
      <c r="N1127" s="26"/>
      <c r="O1127" s="26"/>
      <c r="P1127" s="26"/>
      <c r="Q1127" s="26"/>
      <c r="R1127" s="26"/>
      <c r="S1127" s="26"/>
      <c r="T1127" s="26"/>
      <c r="U1127" s="26"/>
      <c r="V1127" s="26"/>
      <c r="W1127" s="27"/>
    </row>
    <row r="1128" spans="1:23" ht="15.75" customHeight="1" x14ac:dyDescent="0.25">
      <c r="A1128" s="23"/>
      <c r="B1128" s="23" t="str">
        <f t="shared" si="6"/>
        <v/>
      </c>
      <c r="C1128" s="23"/>
      <c r="D1128" s="44"/>
      <c r="E1128" s="23"/>
      <c r="F1128" s="45"/>
      <c r="G1128" s="23"/>
      <c r="H1128" s="23"/>
      <c r="I1128" s="23"/>
      <c r="J1128" s="25"/>
      <c r="K1128" s="23"/>
      <c r="L1128" s="51"/>
      <c r="M1128" s="23"/>
      <c r="N1128" s="26"/>
      <c r="O1128" s="26"/>
      <c r="P1128" s="26"/>
      <c r="Q1128" s="26"/>
      <c r="R1128" s="26"/>
      <c r="S1128" s="26"/>
      <c r="T1128" s="26"/>
      <c r="U1128" s="26"/>
      <c r="V1128" s="26"/>
      <c r="W1128" s="27"/>
    </row>
    <row r="1129" spans="1:23" ht="15.75" customHeight="1" x14ac:dyDescent="0.25">
      <c r="A1129" s="23"/>
      <c r="B1129" s="23" t="str">
        <f t="shared" si="6"/>
        <v/>
      </c>
      <c r="C1129" s="23"/>
      <c r="D1129" s="44"/>
      <c r="E1129" s="23"/>
      <c r="F1129" s="45"/>
      <c r="G1129" s="23"/>
      <c r="H1129" s="23"/>
      <c r="I1129" s="23"/>
      <c r="J1129" s="25"/>
      <c r="K1129" s="23"/>
      <c r="L1129" s="51"/>
      <c r="M1129" s="23"/>
      <c r="N1129" s="26"/>
      <c r="O1129" s="26"/>
      <c r="P1129" s="26"/>
      <c r="Q1129" s="26"/>
      <c r="R1129" s="26"/>
      <c r="S1129" s="26"/>
      <c r="T1129" s="26"/>
      <c r="U1129" s="26"/>
      <c r="V1129" s="26"/>
      <c r="W1129" s="27"/>
    </row>
    <row r="1130" spans="1:23" ht="15.75" customHeight="1" x14ac:dyDescent="0.25">
      <c r="A1130" s="23"/>
      <c r="B1130" s="23" t="str">
        <f t="shared" si="6"/>
        <v/>
      </c>
      <c r="C1130" s="23"/>
      <c r="D1130" s="44"/>
      <c r="E1130" s="23"/>
      <c r="F1130" s="45"/>
      <c r="G1130" s="23"/>
      <c r="H1130" s="23"/>
      <c r="I1130" s="23"/>
      <c r="J1130" s="25"/>
      <c r="K1130" s="23"/>
      <c r="L1130" s="51"/>
      <c r="M1130" s="23"/>
      <c r="N1130" s="26"/>
      <c r="O1130" s="26"/>
      <c r="P1130" s="26"/>
      <c r="Q1130" s="26"/>
      <c r="R1130" s="26"/>
      <c r="S1130" s="26"/>
      <c r="T1130" s="26"/>
      <c r="U1130" s="26"/>
      <c r="V1130" s="26"/>
      <c r="W1130" s="27"/>
    </row>
    <row r="1131" spans="1:23" ht="15.75" customHeight="1" x14ac:dyDescent="0.25">
      <c r="A1131" s="23"/>
      <c r="B1131" s="23" t="str">
        <f t="shared" si="6"/>
        <v/>
      </c>
      <c r="C1131" s="23"/>
      <c r="D1131" s="44"/>
      <c r="E1131" s="23"/>
      <c r="F1131" s="45"/>
      <c r="G1131" s="23"/>
      <c r="H1131" s="23"/>
      <c r="I1131" s="23"/>
      <c r="J1131" s="25"/>
      <c r="K1131" s="23"/>
      <c r="L1131" s="51"/>
      <c r="M1131" s="23"/>
      <c r="N1131" s="26"/>
      <c r="O1131" s="26"/>
      <c r="P1131" s="26"/>
      <c r="Q1131" s="26"/>
      <c r="R1131" s="26"/>
      <c r="S1131" s="26"/>
      <c r="T1131" s="26"/>
      <c r="U1131" s="26"/>
      <c r="V1131" s="26"/>
      <c r="W1131" s="27"/>
    </row>
    <row r="1132" spans="1:23" ht="15.75" customHeight="1" x14ac:dyDescent="0.25">
      <c r="A1132" s="23"/>
      <c r="B1132" s="23" t="str">
        <f t="shared" si="6"/>
        <v/>
      </c>
      <c r="C1132" s="23"/>
      <c r="D1132" s="44"/>
      <c r="E1132" s="23"/>
      <c r="F1132" s="45"/>
      <c r="G1132" s="23"/>
      <c r="H1132" s="23"/>
      <c r="I1132" s="23"/>
      <c r="J1132" s="25"/>
      <c r="K1132" s="23"/>
      <c r="L1132" s="51"/>
      <c r="M1132" s="23"/>
      <c r="N1132" s="26"/>
      <c r="O1132" s="26"/>
      <c r="P1132" s="26"/>
      <c r="Q1132" s="26"/>
      <c r="R1132" s="26"/>
      <c r="S1132" s="26"/>
      <c r="T1132" s="26"/>
      <c r="U1132" s="26"/>
      <c r="V1132" s="26"/>
      <c r="W1132" s="27"/>
    </row>
    <row r="1133" spans="1:23" ht="15.75" customHeight="1" x14ac:dyDescent="0.25">
      <c r="A1133" s="23"/>
      <c r="B1133" s="23" t="str">
        <f t="shared" si="6"/>
        <v/>
      </c>
      <c r="C1133" s="23"/>
      <c r="D1133" s="44"/>
      <c r="E1133" s="23"/>
      <c r="F1133" s="45"/>
      <c r="G1133" s="23"/>
      <c r="H1133" s="23"/>
      <c r="I1133" s="23"/>
      <c r="J1133" s="25"/>
      <c r="K1133" s="23"/>
      <c r="L1133" s="51"/>
      <c r="M1133" s="23"/>
      <c r="N1133" s="26"/>
      <c r="O1133" s="26"/>
      <c r="P1133" s="26"/>
      <c r="Q1133" s="26"/>
      <c r="R1133" s="26"/>
      <c r="S1133" s="26"/>
      <c r="T1133" s="26"/>
      <c r="U1133" s="26"/>
      <c r="V1133" s="26"/>
      <c r="W1133" s="27"/>
    </row>
    <row r="1134" spans="1:23" ht="15.75" customHeight="1" x14ac:dyDescent="0.25">
      <c r="A1134" s="23"/>
      <c r="B1134" s="23" t="str">
        <f t="shared" si="6"/>
        <v/>
      </c>
      <c r="C1134" s="23"/>
      <c r="D1134" s="44"/>
      <c r="E1134" s="23"/>
      <c r="F1134" s="45"/>
      <c r="G1134" s="23"/>
      <c r="H1134" s="23"/>
      <c r="I1134" s="23"/>
      <c r="J1134" s="25"/>
      <c r="K1134" s="23"/>
      <c r="L1134" s="51"/>
      <c r="M1134" s="23"/>
      <c r="N1134" s="26"/>
      <c r="O1134" s="26"/>
      <c r="P1134" s="26"/>
      <c r="Q1134" s="26"/>
      <c r="R1134" s="26"/>
      <c r="S1134" s="26"/>
      <c r="T1134" s="26"/>
      <c r="U1134" s="26"/>
      <c r="V1134" s="26"/>
      <c r="W1134" s="27"/>
    </row>
    <row r="1135" spans="1:23" ht="15.75" customHeight="1" x14ac:dyDescent="0.25">
      <c r="A1135" s="23"/>
      <c r="B1135" s="23" t="str">
        <f t="shared" si="6"/>
        <v/>
      </c>
      <c r="C1135" s="23"/>
      <c r="D1135" s="44"/>
      <c r="E1135" s="23"/>
      <c r="F1135" s="45"/>
      <c r="G1135" s="23"/>
      <c r="H1135" s="23"/>
      <c r="I1135" s="23"/>
      <c r="J1135" s="25"/>
      <c r="K1135" s="23"/>
      <c r="L1135" s="51"/>
      <c r="M1135" s="23"/>
      <c r="N1135" s="26"/>
      <c r="O1135" s="26"/>
      <c r="P1135" s="26"/>
      <c r="Q1135" s="26"/>
      <c r="R1135" s="26"/>
      <c r="S1135" s="26"/>
      <c r="T1135" s="26"/>
      <c r="U1135" s="26"/>
      <c r="V1135" s="26"/>
      <c r="W1135" s="27"/>
    </row>
    <row r="1136" spans="1:23" ht="15.75" customHeight="1" x14ac:dyDescent="0.25">
      <c r="A1136" s="23"/>
      <c r="B1136" s="23" t="str">
        <f t="shared" si="6"/>
        <v/>
      </c>
      <c r="C1136" s="23"/>
      <c r="D1136" s="44"/>
      <c r="E1136" s="23"/>
      <c r="F1136" s="45"/>
      <c r="G1136" s="23"/>
      <c r="H1136" s="23"/>
      <c r="I1136" s="23"/>
      <c r="J1136" s="25"/>
      <c r="K1136" s="23"/>
      <c r="L1136" s="51"/>
      <c r="M1136" s="23"/>
      <c r="N1136" s="26"/>
      <c r="O1136" s="26"/>
      <c r="P1136" s="26"/>
      <c r="Q1136" s="26"/>
      <c r="R1136" s="26"/>
      <c r="S1136" s="26"/>
      <c r="T1136" s="26"/>
      <c r="U1136" s="26"/>
      <c r="V1136" s="26"/>
      <c r="W1136" s="27"/>
    </row>
    <row r="1137" spans="1:23" ht="15.75" customHeight="1" x14ac:dyDescent="0.25">
      <c r="A1137" s="23"/>
      <c r="B1137" s="23" t="str">
        <f t="shared" si="6"/>
        <v/>
      </c>
      <c r="C1137" s="23"/>
      <c r="D1137" s="44"/>
      <c r="E1137" s="23"/>
      <c r="F1137" s="45"/>
      <c r="G1137" s="23"/>
      <c r="H1137" s="23"/>
      <c r="I1137" s="23"/>
      <c r="J1137" s="25"/>
      <c r="K1137" s="23"/>
      <c r="L1137" s="51"/>
      <c r="M1137" s="23"/>
      <c r="N1137" s="26"/>
      <c r="O1137" s="26"/>
      <c r="P1137" s="26"/>
      <c r="Q1137" s="26"/>
      <c r="R1137" s="26"/>
      <c r="S1137" s="26"/>
      <c r="T1137" s="26"/>
      <c r="U1137" s="26"/>
      <c r="V1137" s="26"/>
      <c r="W1137" s="27"/>
    </row>
    <row r="1138" spans="1:23" ht="15.75" customHeight="1" x14ac:dyDescent="0.25">
      <c r="A1138" s="23"/>
      <c r="B1138" s="23" t="str">
        <f t="shared" si="6"/>
        <v/>
      </c>
      <c r="C1138" s="23"/>
      <c r="D1138" s="44"/>
      <c r="E1138" s="23"/>
      <c r="F1138" s="45"/>
      <c r="G1138" s="23"/>
      <c r="H1138" s="23"/>
      <c r="I1138" s="23"/>
      <c r="J1138" s="25"/>
      <c r="K1138" s="23"/>
      <c r="L1138" s="51"/>
      <c r="M1138" s="23"/>
      <c r="N1138" s="26"/>
      <c r="O1138" s="26"/>
      <c r="P1138" s="26"/>
      <c r="Q1138" s="26"/>
      <c r="R1138" s="26"/>
      <c r="S1138" s="26"/>
      <c r="T1138" s="26"/>
      <c r="U1138" s="26"/>
      <c r="V1138" s="26"/>
      <c r="W1138" s="27"/>
    </row>
    <row r="1139" spans="1:23" ht="15.75" customHeight="1" x14ac:dyDescent="0.25">
      <c r="A1139" s="23"/>
      <c r="B1139" s="23" t="str">
        <f t="shared" si="6"/>
        <v/>
      </c>
      <c r="C1139" s="23"/>
      <c r="D1139" s="44"/>
      <c r="E1139" s="23"/>
      <c r="F1139" s="45"/>
      <c r="G1139" s="23"/>
      <c r="H1139" s="23"/>
      <c r="I1139" s="23"/>
      <c r="J1139" s="25"/>
      <c r="K1139" s="23"/>
      <c r="L1139" s="51"/>
      <c r="M1139" s="23"/>
      <c r="N1139" s="26"/>
      <c r="O1139" s="26"/>
      <c r="P1139" s="26"/>
      <c r="Q1139" s="26"/>
      <c r="R1139" s="26"/>
      <c r="S1139" s="26"/>
      <c r="T1139" s="26"/>
      <c r="U1139" s="26"/>
      <c r="V1139" s="26"/>
      <c r="W1139" s="27"/>
    </row>
    <row r="1140" spans="1:23" ht="15.75" customHeight="1" x14ac:dyDescent="0.25">
      <c r="A1140" s="23"/>
      <c r="B1140" s="23" t="str">
        <f t="shared" si="6"/>
        <v/>
      </c>
      <c r="C1140" s="23"/>
      <c r="D1140" s="44"/>
      <c r="E1140" s="23"/>
      <c r="F1140" s="45"/>
      <c r="G1140" s="23"/>
      <c r="H1140" s="23"/>
      <c r="I1140" s="23"/>
      <c r="J1140" s="25"/>
      <c r="K1140" s="23"/>
      <c r="L1140" s="51"/>
      <c r="M1140" s="23"/>
      <c r="N1140" s="26"/>
      <c r="O1140" s="26"/>
      <c r="P1140" s="26"/>
      <c r="Q1140" s="26"/>
      <c r="R1140" s="26"/>
      <c r="S1140" s="26"/>
      <c r="T1140" s="26"/>
      <c r="U1140" s="26"/>
      <c r="V1140" s="26"/>
      <c r="W1140" s="27"/>
    </row>
    <row r="1141" spans="1:23" ht="15.75" customHeight="1" x14ac:dyDescent="0.25">
      <c r="A1141" s="23"/>
      <c r="B1141" s="23" t="str">
        <f t="shared" si="6"/>
        <v/>
      </c>
      <c r="C1141" s="23"/>
      <c r="D1141" s="44"/>
      <c r="E1141" s="23"/>
      <c r="F1141" s="45"/>
      <c r="G1141" s="23"/>
      <c r="H1141" s="23"/>
      <c r="I1141" s="23"/>
      <c r="J1141" s="25"/>
      <c r="K1141" s="23"/>
      <c r="L1141" s="51"/>
      <c r="M1141" s="23"/>
      <c r="N1141" s="26"/>
      <c r="O1141" s="26"/>
      <c r="P1141" s="26"/>
      <c r="Q1141" s="26"/>
      <c r="R1141" s="26"/>
      <c r="S1141" s="26"/>
      <c r="T1141" s="26"/>
      <c r="U1141" s="26"/>
      <c r="V1141" s="26"/>
      <c r="W1141" s="27"/>
    </row>
    <row r="1142" spans="1:23" ht="15.75" customHeight="1" x14ac:dyDescent="0.25">
      <c r="A1142" s="23"/>
      <c r="B1142" s="23" t="str">
        <f t="shared" si="6"/>
        <v/>
      </c>
      <c r="C1142" s="23"/>
      <c r="D1142" s="44"/>
      <c r="E1142" s="23"/>
      <c r="F1142" s="45"/>
      <c r="G1142" s="23"/>
      <c r="H1142" s="23"/>
      <c r="I1142" s="23"/>
      <c r="J1142" s="25"/>
      <c r="K1142" s="23"/>
      <c r="L1142" s="51"/>
      <c r="M1142" s="23"/>
      <c r="N1142" s="26"/>
      <c r="O1142" s="26"/>
      <c r="P1142" s="26"/>
      <c r="Q1142" s="26"/>
      <c r="R1142" s="26"/>
      <c r="S1142" s="26"/>
      <c r="T1142" s="26"/>
      <c r="U1142" s="26"/>
      <c r="V1142" s="26"/>
      <c r="W1142" s="27"/>
    </row>
    <row r="1143" spans="1:23" ht="15.75" customHeight="1" x14ac:dyDescent="0.25">
      <c r="A1143" s="23"/>
      <c r="B1143" s="23" t="str">
        <f t="shared" si="6"/>
        <v/>
      </c>
      <c r="C1143" s="23"/>
      <c r="D1143" s="44"/>
      <c r="E1143" s="23"/>
      <c r="F1143" s="45"/>
      <c r="G1143" s="23"/>
      <c r="H1143" s="23"/>
      <c r="I1143" s="23"/>
      <c r="J1143" s="25"/>
      <c r="K1143" s="23"/>
      <c r="L1143" s="51"/>
      <c r="M1143" s="23"/>
      <c r="N1143" s="26"/>
      <c r="O1143" s="26"/>
      <c r="P1143" s="26"/>
      <c r="Q1143" s="26"/>
      <c r="R1143" s="26"/>
      <c r="S1143" s="26"/>
      <c r="T1143" s="26"/>
      <c r="U1143" s="26"/>
      <c r="V1143" s="26"/>
      <c r="W1143" s="27"/>
    </row>
    <row r="1144" spans="1:23" ht="15.75" customHeight="1" x14ac:dyDescent="0.25">
      <c r="A1144" s="23"/>
      <c r="B1144" s="23" t="str">
        <f t="shared" si="6"/>
        <v/>
      </c>
      <c r="C1144" s="23"/>
      <c r="D1144" s="44"/>
      <c r="E1144" s="23"/>
      <c r="F1144" s="45"/>
      <c r="G1144" s="23"/>
      <c r="H1144" s="23"/>
      <c r="I1144" s="23"/>
      <c r="J1144" s="25"/>
      <c r="K1144" s="23"/>
      <c r="L1144" s="51"/>
      <c r="M1144" s="23"/>
      <c r="N1144" s="26"/>
      <c r="O1144" s="26"/>
      <c r="P1144" s="26"/>
      <c r="Q1144" s="26"/>
      <c r="R1144" s="26"/>
      <c r="S1144" s="26"/>
      <c r="T1144" s="26"/>
      <c r="U1144" s="26"/>
      <c r="V1144" s="26"/>
      <c r="W1144" s="27"/>
    </row>
    <row r="1145" spans="1:23" ht="15.75" customHeight="1" x14ac:dyDescent="0.25">
      <c r="A1145" s="23"/>
      <c r="B1145" s="23" t="str">
        <f t="shared" si="6"/>
        <v/>
      </c>
      <c r="C1145" s="23"/>
      <c r="D1145" s="44"/>
      <c r="E1145" s="23"/>
      <c r="F1145" s="45"/>
      <c r="G1145" s="23"/>
      <c r="H1145" s="23"/>
      <c r="I1145" s="23"/>
      <c r="J1145" s="25"/>
      <c r="K1145" s="23"/>
      <c r="L1145" s="51"/>
      <c r="M1145" s="23"/>
      <c r="N1145" s="26"/>
      <c r="O1145" s="26"/>
      <c r="P1145" s="26"/>
      <c r="Q1145" s="26"/>
      <c r="R1145" s="26"/>
      <c r="S1145" s="26"/>
      <c r="T1145" s="26"/>
      <c r="U1145" s="26"/>
      <c r="V1145" s="26"/>
      <c r="W1145" s="27"/>
    </row>
    <row r="1146" spans="1:23" ht="15.75" customHeight="1" x14ac:dyDescent="0.25">
      <c r="A1146" s="23"/>
      <c r="B1146" s="23" t="str">
        <f t="shared" si="6"/>
        <v/>
      </c>
      <c r="C1146" s="23"/>
      <c r="D1146" s="44"/>
      <c r="E1146" s="23"/>
      <c r="F1146" s="45"/>
      <c r="G1146" s="23"/>
      <c r="H1146" s="23"/>
      <c r="I1146" s="23"/>
      <c r="J1146" s="25"/>
      <c r="K1146" s="23"/>
      <c r="L1146" s="51"/>
      <c r="M1146" s="23"/>
      <c r="N1146" s="26"/>
      <c r="O1146" s="26"/>
      <c r="P1146" s="26"/>
      <c r="Q1146" s="26"/>
      <c r="R1146" s="26"/>
      <c r="S1146" s="26"/>
      <c r="T1146" s="26"/>
      <c r="U1146" s="26"/>
      <c r="V1146" s="26"/>
      <c r="W1146" s="27"/>
    </row>
    <row r="1147" spans="1:23" ht="15.75" customHeight="1" x14ac:dyDescent="0.25">
      <c r="A1147" s="23"/>
      <c r="B1147" s="23" t="str">
        <f t="shared" si="6"/>
        <v/>
      </c>
      <c r="C1147" s="23"/>
      <c r="D1147" s="44"/>
      <c r="E1147" s="23"/>
      <c r="F1147" s="45"/>
      <c r="G1147" s="23"/>
      <c r="H1147" s="23"/>
      <c r="I1147" s="23"/>
      <c r="J1147" s="25"/>
      <c r="K1147" s="23"/>
      <c r="L1147" s="51"/>
      <c r="M1147" s="23"/>
      <c r="N1147" s="26"/>
      <c r="O1147" s="26"/>
      <c r="P1147" s="26"/>
      <c r="Q1147" s="26"/>
      <c r="R1147" s="26"/>
      <c r="S1147" s="26"/>
      <c r="T1147" s="26"/>
      <c r="U1147" s="26"/>
      <c r="V1147" s="26"/>
      <c r="W1147" s="27"/>
    </row>
    <row r="1148" spans="1:23" ht="15.75" customHeight="1" x14ac:dyDescent="0.25">
      <c r="A1148" s="23"/>
      <c r="B1148" s="23" t="str">
        <f t="shared" si="6"/>
        <v/>
      </c>
      <c r="C1148" s="23"/>
      <c r="D1148" s="44"/>
      <c r="E1148" s="23"/>
      <c r="F1148" s="45"/>
      <c r="G1148" s="23"/>
      <c r="H1148" s="23"/>
      <c r="I1148" s="23"/>
      <c r="J1148" s="25"/>
      <c r="K1148" s="23"/>
      <c r="L1148" s="51"/>
      <c r="M1148" s="23"/>
      <c r="N1148" s="26"/>
      <c r="O1148" s="26"/>
      <c r="P1148" s="26"/>
      <c r="Q1148" s="26"/>
      <c r="R1148" s="26"/>
      <c r="S1148" s="26"/>
      <c r="T1148" s="26"/>
      <c r="U1148" s="26"/>
      <c r="V1148" s="26"/>
      <c r="W1148" s="27"/>
    </row>
    <row r="1149" spans="1:23" ht="15.75" customHeight="1" x14ac:dyDescent="0.25">
      <c r="A1149" s="23"/>
      <c r="B1149" s="23" t="str">
        <f t="shared" si="6"/>
        <v/>
      </c>
      <c r="C1149" s="23"/>
      <c r="D1149" s="44"/>
      <c r="E1149" s="23"/>
      <c r="F1149" s="45"/>
      <c r="G1149" s="23"/>
      <c r="H1149" s="23"/>
      <c r="I1149" s="23"/>
      <c r="J1149" s="25"/>
      <c r="K1149" s="23"/>
      <c r="L1149" s="51"/>
      <c r="M1149" s="23"/>
      <c r="N1149" s="26"/>
      <c r="O1149" s="26"/>
      <c r="P1149" s="26"/>
      <c r="Q1149" s="26"/>
      <c r="R1149" s="26"/>
      <c r="S1149" s="26"/>
      <c r="T1149" s="26"/>
      <c r="U1149" s="26"/>
      <c r="V1149" s="26"/>
      <c r="W1149" s="27"/>
    </row>
    <row r="1150" spans="1:23" ht="15.75" customHeight="1" x14ac:dyDescent="0.25">
      <c r="A1150" s="23"/>
      <c r="B1150" s="23" t="str">
        <f t="shared" si="6"/>
        <v/>
      </c>
      <c r="C1150" s="23"/>
      <c r="D1150" s="44"/>
      <c r="E1150" s="23"/>
      <c r="F1150" s="45"/>
      <c r="G1150" s="23"/>
      <c r="H1150" s="23"/>
      <c r="I1150" s="23"/>
      <c r="J1150" s="25"/>
      <c r="K1150" s="23"/>
      <c r="L1150" s="51"/>
      <c r="M1150" s="23"/>
      <c r="N1150" s="26"/>
      <c r="O1150" s="26"/>
      <c r="P1150" s="26"/>
      <c r="Q1150" s="26"/>
      <c r="R1150" s="26"/>
      <c r="S1150" s="26"/>
      <c r="T1150" s="26"/>
      <c r="U1150" s="26"/>
      <c r="V1150" s="26"/>
      <c r="W1150" s="27"/>
    </row>
    <row r="1151" spans="1:23" ht="15.75" customHeight="1" x14ac:dyDescent="0.25">
      <c r="A1151" s="23"/>
      <c r="B1151" s="23" t="str">
        <f t="shared" si="6"/>
        <v/>
      </c>
      <c r="C1151" s="23"/>
      <c r="D1151" s="44"/>
      <c r="E1151" s="23"/>
      <c r="F1151" s="45"/>
      <c r="G1151" s="23"/>
      <c r="H1151" s="23"/>
      <c r="I1151" s="23"/>
      <c r="J1151" s="25"/>
      <c r="K1151" s="23"/>
      <c r="L1151" s="51"/>
      <c r="M1151" s="23"/>
      <c r="N1151" s="26"/>
      <c r="O1151" s="26"/>
      <c r="P1151" s="26"/>
      <c r="Q1151" s="26"/>
      <c r="R1151" s="26"/>
      <c r="S1151" s="26"/>
      <c r="T1151" s="26"/>
      <c r="U1151" s="26"/>
      <c r="V1151" s="26"/>
      <c r="W1151" s="27"/>
    </row>
    <row r="1152" spans="1:23" ht="15.75" customHeight="1" x14ac:dyDescent="0.25">
      <c r="A1152" s="23"/>
      <c r="B1152" s="23" t="str">
        <f t="shared" si="6"/>
        <v/>
      </c>
      <c r="C1152" s="23"/>
      <c r="D1152" s="44"/>
      <c r="E1152" s="23"/>
      <c r="F1152" s="45"/>
      <c r="G1152" s="23"/>
      <c r="H1152" s="23"/>
      <c r="I1152" s="23"/>
      <c r="J1152" s="25"/>
      <c r="K1152" s="23"/>
      <c r="L1152" s="51"/>
      <c r="M1152" s="23"/>
      <c r="N1152" s="26"/>
      <c r="O1152" s="26"/>
      <c r="P1152" s="26"/>
      <c r="Q1152" s="26"/>
      <c r="R1152" s="26"/>
      <c r="S1152" s="26"/>
      <c r="T1152" s="26"/>
      <c r="U1152" s="26"/>
      <c r="V1152" s="26"/>
      <c r="W1152" s="27"/>
    </row>
    <row r="1153" spans="1:23" ht="15.75" customHeight="1" x14ac:dyDescent="0.25">
      <c r="A1153" s="23"/>
      <c r="B1153" s="23" t="str">
        <f t="shared" si="6"/>
        <v/>
      </c>
      <c r="C1153" s="23"/>
      <c r="D1153" s="44"/>
      <c r="E1153" s="23"/>
      <c r="F1153" s="45"/>
      <c r="G1153" s="23"/>
      <c r="H1153" s="23"/>
      <c r="I1153" s="23"/>
      <c r="J1153" s="25"/>
      <c r="K1153" s="23"/>
      <c r="L1153" s="51"/>
      <c r="M1153" s="23"/>
      <c r="N1153" s="26"/>
      <c r="O1153" s="26"/>
      <c r="P1153" s="26"/>
      <c r="Q1153" s="26"/>
      <c r="R1153" s="26"/>
      <c r="S1153" s="26"/>
      <c r="T1153" s="26"/>
      <c r="U1153" s="26"/>
      <c r="V1153" s="26"/>
      <c r="W1153" s="27"/>
    </row>
    <row r="1154" spans="1:23" ht="15.75" customHeight="1" x14ac:dyDescent="0.25">
      <c r="A1154" s="23"/>
      <c r="B1154" s="23" t="str">
        <f t="shared" si="6"/>
        <v/>
      </c>
      <c r="C1154" s="23"/>
      <c r="D1154" s="44"/>
      <c r="E1154" s="23"/>
      <c r="F1154" s="45"/>
      <c r="G1154" s="23"/>
      <c r="H1154" s="23"/>
      <c r="I1154" s="23"/>
      <c r="J1154" s="25"/>
      <c r="K1154" s="23"/>
      <c r="L1154" s="51"/>
      <c r="M1154" s="23"/>
      <c r="N1154" s="26"/>
      <c r="O1154" s="26"/>
      <c r="P1154" s="26"/>
      <c r="Q1154" s="26"/>
      <c r="R1154" s="26"/>
      <c r="S1154" s="26"/>
      <c r="T1154" s="26"/>
      <c r="U1154" s="26"/>
      <c r="V1154" s="26"/>
      <c r="W1154" s="27"/>
    </row>
    <row r="1155" spans="1:23" ht="15.75" customHeight="1" x14ac:dyDescent="0.25">
      <c r="A1155" s="23"/>
      <c r="B1155" s="23" t="str">
        <f t="shared" si="6"/>
        <v/>
      </c>
      <c r="C1155" s="23"/>
      <c r="D1155" s="44"/>
      <c r="E1155" s="23"/>
      <c r="F1155" s="45"/>
      <c r="G1155" s="23"/>
      <c r="H1155" s="23"/>
      <c r="I1155" s="23"/>
      <c r="J1155" s="25"/>
      <c r="K1155" s="23"/>
      <c r="L1155" s="51"/>
      <c r="M1155" s="23"/>
      <c r="N1155" s="26"/>
      <c r="O1155" s="26"/>
      <c r="P1155" s="26"/>
      <c r="Q1155" s="26"/>
      <c r="R1155" s="26"/>
      <c r="S1155" s="26"/>
      <c r="T1155" s="26"/>
      <c r="U1155" s="26"/>
      <c r="V1155" s="26"/>
      <c r="W1155" s="27"/>
    </row>
    <row r="1156" spans="1:23" ht="15.75" customHeight="1" x14ac:dyDescent="0.25">
      <c r="A1156" s="23"/>
      <c r="B1156" s="23" t="str">
        <f t="shared" si="6"/>
        <v/>
      </c>
      <c r="C1156" s="23"/>
      <c r="D1156" s="44"/>
      <c r="E1156" s="23"/>
      <c r="F1156" s="45"/>
      <c r="G1156" s="23"/>
      <c r="H1156" s="23"/>
      <c r="I1156" s="23"/>
      <c r="J1156" s="25"/>
      <c r="K1156" s="23"/>
      <c r="L1156" s="51"/>
      <c r="M1156" s="23"/>
      <c r="N1156" s="26"/>
      <c r="O1156" s="26"/>
      <c r="P1156" s="26"/>
      <c r="Q1156" s="26"/>
      <c r="R1156" s="26"/>
      <c r="S1156" s="26"/>
      <c r="T1156" s="26"/>
      <c r="U1156" s="26"/>
      <c r="V1156" s="26"/>
      <c r="W1156" s="27"/>
    </row>
    <row r="1157" spans="1:23" ht="15.75" customHeight="1" x14ac:dyDescent="0.25">
      <c r="A1157" s="23"/>
      <c r="B1157" s="23" t="str">
        <f t="shared" si="6"/>
        <v/>
      </c>
      <c r="C1157" s="23"/>
      <c r="D1157" s="44"/>
      <c r="E1157" s="23"/>
      <c r="F1157" s="45"/>
      <c r="G1157" s="23"/>
      <c r="H1157" s="23"/>
      <c r="I1157" s="23"/>
      <c r="J1157" s="25"/>
      <c r="K1157" s="23"/>
      <c r="L1157" s="51"/>
      <c r="M1157" s="23"/>
      <c r="N1157" s="26"/>
      <c r="O1157" s="26"/>
      <c r="P1157" s="26"/>
      <c r="Q1157" s="26"/>
      <c r="R1157" s="26"/>
      <c r="S1157" s="26"/>
      <c r="T1157" s="26"/>
      <c r="U1157" s="26"/>
      <c r="V1157" s="26"/>
      <c r="W1157" s="27"/>
    </row>
    <row r="1158" spans="1:23" ht="15.75" customHeight="1" x14ac:dyDescent="0.25">
      <c r="A1158" s="23"/>
      <c r="B1158" s="23" t="str">
        <f t="shared" si="6"/>
        <v/>
      </c>
      <c r="C1158" s="23"/>
      <c r="D1158" s="44"/>
      <c r="E1158" s="23"/>
      <c r="F1158" s="45"/>
      <c r="G1158" s="23"/>
      <c r="H1158" s="23"/>
      <c r="I1158" s="23"/>
      <c r="J1158" s="25"/>
      <c r="K1158" s="23"/>
      <c r="L1158" s="51"/>
      <c r="M1158" s="23"/>
      <c r="N1158" s="26"/>
      <c r="O1158" s="26"/>
      <c r="P1158" s="26"/>
      <c r="Q1158" s="26"/>
      <c r="R1158" s="26"/>
      <c r="S1158" s="26"/>
      <c r="T1158" s="26"/>
      <c r="U1158" s="26"/>
      <c r="V1158" s="26"/>
      <c r="W1158" s="27"/>
    </row>
    <row r="1159" spans="1:23" ht="15.75" customHeight="1" x14ac:dyDescent="0.25">
      <c r="A1159" s="23"/>
      <c r="B1159" s="23" t="str">
        <f t="shared" si="6"/>
        <v/>
      </c>
      <c r="C1159" s="23"/>
      <c r="D1159" s="44"/>
      <c r="E1159" s="23"/>
      <c r="F1159" s="45"/>
      <c r="G1159" s="23"/>
      <c r="H1159" s="23"/>
      <c r="I1159" s="23"/>
      <c r="J1159" s="25"/>
      <c r="K1159" s="23"/>
      <c r="L1159" s="51"/>
      <c r="M1159" s="23"/>
      <c r="N1159" s="26"/>
      <c r="O1159" s="26"/>
      <c r="P1159" s="26"/>
      <c r="Q1159" s="26"/>
      <c r="R1159" s="26"/>
      <c r="S1159" s="26"/>
      <c r="T1159" s="26"/>
      <c r="U1159" s="26"/>
      <c r="V1159" s="26"/>
      <c r="W1159" s="27"/>
    </row>
    <row r="1160" spans="1:23" ht="15.75" customHeight="1" x14ac:dyDescent="0.25">
      <c r="A1160" s="23"/>
      <c r="B1160" s="23" t="str">
        <f t="shared" si="6"/>
        <v/>
      </c>
      <c r="C1160" s="23"/>
      <c r="D1160" s="44"/>
      <c r="E1160" s="23"/>
      <c r="F1160" s="45"/>
      <c r="G1160" s="23"/>
      <c r="H1160" s="23"/>
      <c r="I1160" s="23"/>
      <c r="J1160" s="25"/>
      <c r="K1160" s="23"/>
      <c r="L1160" s="51"/>
      <c r="M1160" s="23"/>
      <c r="N1160" s="26"/>
      <c r="O1160" s="26"/>
      <c r="P1160" s="26"/>
      <c r="Q1160" s="26"/>
      <c r="R1160" s="26"/>
      <c r="S1160" s="26"/>
      <c r="T1160" s="26"/>
      <c r="U1160" s="26"/>
      <c r="V1160" s="26"/>
      <c r="W1160" s="27"/>
    </row>
    <row r="1161" spans="1:23" ht="15.75" customHeight="1" x14ac:dyDescent="0.25">
      <c r="A1161" s="23"/>
      <c r="B1161" s="23" t="str">
        <f t="shared" si="6"/>
        <v/>
      </c>
      <c r="C1161" s="23"/>
      <c r="D1161" s="44"/>
      <c r="E1161" s="23"/>
      <c r="F1161" s="45"/>
      <c r="G1161" s="23"/>
      <c r="H1161" s="23"/>
      <c r="I1161" s="23"/>
      <c r="J1161" s="25"/>
      <c r="K1161" s="23"/>
      <c r="L1161" s="51"/>
      <c r="M1161" s="23"/>
      <c r="N1161" s="26"/>
      <c r="O1161" s="26"/>
      <c r="P1161" s="26"/>
      <c r="Q1161" s="26"/>
      <c r="R1161" s="26"/>
      <c r="S1161" s="26"/>
      <c r="T1161" s="26"/>
      <c r="U1161" s="26"/>
      <c r="V1161" s="26"/>
      <c r="W1161" s="27"/>
    </row>
    <row r="1162" spans="1:23" ht="15.75" customHeight="1" x14ac:dyDescent="0.25">
      <c r="A1162" s="23"/>
      <c r="B1162" s="23" t="str">
        <f t="shared" si="6"/>
        <v/>
      </c>
      <c r="C1162" s="23"/>
      <c r="D1162" s="44"/>
      <c r="E1162" s="23"/>
      <c r="F1162" s="45"/>
      <c r="G1162" s="23"/>
      <c r="H1162" s="23"/>
      <c r="I1162" s="23"/>
      <c r="J1162" s="25"/>
      <c r="K1162" s="23"/>
      <c r="L1162" s="51"/>
      <c r="M1162" s="23"/>
      <c r="N1162" s="26"/>
      <c r="O1162" s="26"/>
      <c r="P1162" s="26"/>
      <c r="Q1162" s="26"/>
      <c r="R1162" s="26"/>
      <c r="S1162" s="26"/>
      <c r="T1162" s="26"/>
      <c r="U1162" s="26"/>
      <c r="V1162" s="26"/>
      <c r="W1162" s="27"/>
    </row>
    <row r="1163" spans="1:23" ht="15.75" customHeight="1" x14ac:dyDescent="0.25">
      <c r="A1163" s="23"/>
      <c r="B1163" s="23" t="str">
        <f t="shared" si="6"/>
        <v/>
      </c>
      <c r="C1163" s="23"/>
      <c r="D1163" s="44"/>
      <c r="E1163" s="23"/>
      <c r="F1163" s="45"/>
      <c r="G1163" s="23"/>
      <c r="H1163" s="23"/>
      <c r="I1163" s="23"/>
      <c r="J1163" s="25"/>
      <c r="K1163" s="23"/>
      <c r="L1163" s="51"/>
      <c r="M1163" s="23"/>
      <c r="N1163" s="26"/>
      <c r="O1163" s="26"/>
      <c r="P1163" s="26"/>
      <c r="Q1163" s="26"/>
      <c r="R1163" s="26"/>
      <c r="S1163" s="26"/>
      <c r="T1163" s="26"/>
      <c r="U1163" s="26"/>
      <c r="V1163" s="26"/>
      <c r="W1163" s="27"/>
    </row>
    <row r="1164" spans="1:23" ht="15.75" customHeight="1" x14ac:dyDescent="0.25">
      <c r="A1164" s="23"/>
      <c r="B1164" s="23" t="str">
        <f t="shared" si="6"/>
        <v/>
      </c>
      <c r="C1164" s="23"/>
      <c r="D1164" s="44"/>
      <c r="E1164" s="23"/>
      <c r="F1164" s="45"/>
      <c r="G1164" s="23"/>
      <c r="H1164" s="23"/>
      <c r="I1164" s="23"/>
      <c r="J1164" s="25"/>
      <c r="K1164" s="23"/>
      <c r="L1164" s="51"/>
      <c r="M1164" s="23"/>
      <c r="N1164" s="26"/>
      <c r="O1164" s="26"/>
      <c r="P1164" s="26"/>
      <c r="Q1164" s="26"/>
      <c r="R1164" s="26"/>
      <c r="S1164" s="26"/>
      <c r="T1164" s="26"/>
      <c r="U1164" s="26"/>
      <c r="V1164" s="26"/>
      <c r="W1164" s="27"/>
    </row>
    <row r="1165" spans="1:23" ht="15.75" customHeight="1" x14ac:dyDescent="0.25">
      <c r="A1165" s="23"/>
      <c r="B1165" s="23" t="str">
        <f t="shared" si="6"/>
        <v/>
      </c>
      <c r="C1165" s="23"/>
      <c r="D1165" s="44"/>
      <c r="E1165" s="23"/>
      <c r="F1165" s="45"/>
      <c r="G1165" s="23"/>
      <c r="H1165" s="23"/>
      <c r="I1165" s="23"/>
      <c r="J1165" s="25"/>
      <c r="K1165" s="23"/>
      <c r="L1165" s="51"/>
      <c r="M1165" s="23"/>
      <c r="N1165" s="26"/>
      <c r="O1165" s="26"/>
      <c r="P1165" s="26"/>
      <c r="Q1165" s="26"/>
      <c r="R1165" s="26"/>
      <c r="S1165" s="26"/>
      <c r="T1165" s="26"/>
      <c r="U1165" s="26"/>
      <c r="V1165" s="26"/>
      <c r="W1165" s="27"/>
    </row>
    <row r="1166" spans="1:23" ht="15.75" customHeight="1" x14ac:dyDescent="0.25">
      <c r="A1166" s="23"/>
      <c r="B1166" s="23" t="str">
        <f t="shared" si="6"/>
        <v/>
      </c>
      <c r="C1166" s="23"/>
      <c r="D1166" s="44"/>
      <c r="E1166" s="23"/>
      <c r="F1166" s="45"/>
      <c r="G1166" s="23"/>
      <c r="H1166" s="23"/>
      <c r="I1166" s="23"/>
      <c r="J1166" s="25"/>
      <c r="K1166" s="23"/>
      <c r="L1166" s="51"/>
      <c r="M1166" s="23"/>
      <c r="N1166" s="26"/>
      <c r="O1166" s="26"/>
      <c r="P1166" s="26"/>
      <c r="Q1166" s="26"/>
      <c r="R1166" s="26"/>
      <c r="S1166" s="26"/>
      <c r="T1166" s="26"/>
      <c r="U1166" s="26"/>
      <c r="V1166" s="26"/>
      <c r="W1166" s="27"/>
    </row>
    <row r="1167" spans="1:23" ht="15.75" customHeight="1" x14ac:dyDescent="0.25">
      <c r="A1167" s="23"/>
      <c r="B1167" s="23" t="str">
        <f t="shared" si="6"/>
        <v/>
      </c>
      <c r="C1167" s="23"/>
      <c r="D1167" s="44"/>
      <c r="E1167" s="23"/>
      <c r="F1167" s="45"/>
      <c r="G1167" s="23"/>
      <c r="H1167" s="23"/>
      <c r="I1167" s="23"/>
      <c r="J1167" s="25"/>
      <c r="K1167" s="23"/>
      <c r="L1167" s="51"/>
      <c r="M1167" s="23"/>
      <c r="N1167" s="26"/>
      <c r="O1167" s="26"/>
      <c r="P1167" s="26"/>
      <c r="Q1167" s="26"/>
      <c r="R1167" s="26"/>
      <c r="S1167" s="26"/>
      <c r="T1167" s="26"/>
      <c r="U1167" s="26"/>
      <c r="V1167" s="26"/>
      <c r="W1167" s="27"/>
    </row>
    <row r="1168" spans="1:23" ht="15.75" customHeight="1" x14ac:dyDescent="0.25">
      <c r="A1168" s="23"/>
      <c r="B1168" s="23" t="str">
        <f t="shared" si="6"/>
        <v/>
      </c>
      <c r="C1168" s="23"/>
      <c r="D1168" s="44"/>
      <c r="E1168" s="23"/>
      <c r="F1168" s="45"/>
      <c r="G1168" s="23"/>
      <c r="H1168" s="23"/>
      <c r="I1168" s="23"/>
      <c r="J1168" s="25"/>
      <c r="K1168" s="23"/>
      <c r="L1168" s="51"/>
      <c r="M1168" s="23"/>
      <c r="N1168" s="26"/>
      <c r="O1168" s="26"/>
      <c r="P1168" s="26"/>
      <c r="Q1168" s="26"/>
      <c r="R1168" s="26"/>
      <c r="S1168" s="26"/>
      <c r="T1168" s="26"/>
      <c r="U1168" s="26"/>
      <c r="V1168" s="26"/>
      <c r="W1168" s="27"/>
    </row>
    <row r="1169" spans="1:23" ht="15.75" customHeight="1" x14ac:dyDescent="0.25">
      <c r="A1169" s="23"/>
      <c r="B1169" s="23" t="str">
        <f t="shared" si="6"/>
        <v/>
      </c>
      <c r="C1169" s="23"/>
      <c r="D1169" s="44"/>
      <c r="E1169" s="23"/>
      <c r="F1169" s="45"/>
      <c r="G1169" s="23"/>
      <c r="H1169" s="23"/>
      <c r="I1169" s="23"/>
      <c r="J1169" s="25"/>
      <c r="K1169" s="23"/>
      <c r="L1169" s="51"/>
      <c r="M1169" s="23"/>
      <c r="N1169" s="26"/>
      <c r="O1169" s="26"/>
      <c r="P1169" s="26"/>
      <c r="Q1169" s="26"/>
      <c r="R1169" s="26"/>
      <c r="S1169" s="26"/>
      <c r="T1169" s="26"/>
      <c r="U1169" s="26"/>
      <c r="V1169" s="26"/>
      <c r="W1169" s="27"/>
    </row>
    <row r="1170" spans="1:23" ht="15.75" customHeight="1" x14ac:dyDescent="0.25">
      <c r="A1170" s="23"/>
      <c r="B1170" s="23" t="str">
        <f t="shared" si="6"/>
        <v/>
      </c>
      <c r="C1170" s="23"/>
      <c r="D1170" s="44"/>
      <c r="E1170" s="23"/>
      <c r="F1170" s="45"/>
      <c r="G1170" s="23"/>
      <c r="H1170" s="23"/>
      <c r="I1170" s="23"/>
      <c r="J1170" s="25"/>
      <c r="K1170" s="23"/>
      <c r="L1170" s="51"/>
      <c r="M1170" s="23"/>
      <c r="N1170" s="26"/>
      <c r="O1170" s="26"/>
      <c r="P1170" s="26"/>
      <c r="Q1170" s="26"/>
      <c r="R1170" s="26"/>
      <c r="S1170" s="26"/>
      <c r="T1170" s="26"/>
      <c r="U1170" s="26"/>
      <c r="V1170" s="26"/>
      <c r="W1170" s="27"/>
    </row>
    <row r="1171" spans="1:23" ht="15.75" customHeight="1" x14ac:dyDescent="0.25">
      <c r="A1171" s="23"/>
      <c r="B1171" s="23" t="str">
        <f t="shared" si="6"/>
        <v/>
      </c>
      <c r="C1171" s="23"/>
      <c r="D1171" s="44"/>
      <c r="E1171" s="23"/>
      <c r="F1171" s="45"/>
      <c r="G1171" s="23"/>
      <c r="H1171" s="23"/>
      <c r="I1171" s="23"/>
      <c r="J1171" s="25"/>
      <c r="K1171" s="23"/>
      <c r="L1171" s="51"/>
      <c r="M1171" s="23"/>
      <c r="N1171" s="26"/>
      <c r="O1171" s="26"/>
      <c r="P1171" s="26"/>
      <c r="Q1171" s="26"/>
      <c r="R1171" s="26"/>
      <c r="S1171" s="26"/>
      <c r="T1171" s="26"/>
      <c r="U1171" s="26"/>
      <c r="V1171" s="26"/>
      <c r="W1171" s="27"/>
    </row>
    <row r="1172" spans="1:23" ht="15.75" customHeight="1" x14ac:dyDescent="0.25">
      <c r="A1172" s="23"/>
      <c r="B1172" s="23" t="str">
        <f t="shared" si="6"/>
        <v/>
      </c>
      <c r="C1172" s="23"/>
      <c r="D1172" s="44"/>
      <c r="E1172" s="23"/>
      <c r="F1172" s="45"/>
      <c r="G1172" s="23"/>
      <c r="H1172" s="23"/>
      <c r="I1172" s="23"/>
      <c r="J1172" s="25"/>
      <c r="K1172" s="23"/>
      <c r="L1172" s="51"/>
      <c r="M1172" s="23"/>
      <c r="N1172" s="26"/>
      <c r="O1172" s="26"/>
      <c r="P1172" s="26"/>
      <c r="Q1172" s="26"/>
      <c r="R1172" s="26"/>
      <c r="S1172" s="26"/>
      <c r="T1172" s="26"/>
      <c r="U1172" s="26"/>
      <c r="V1172" s="26"/>
      <c r="W1172" s="27"/>
    </row>
    <row r="1173" spans="1:23" ht="15.75" customHeight="1" x14ac:dyDescent="0.25">
      <c r="A1173" s="23"/>
      <c r="B1173" s="23" t="str">
        <f t="shared" si="6"/>
        <v/>
      </c>
      <c r="C1173" s="23"/>
      <c r="D1173" s="44"/>
      <c r="E1173" s="23"/>
      <c r="F1173" s="45"/>
      <c r="G1173" s="23"/>
      <c r="H1173" s="23"/>
      <c r="I1173" s="23"/>
      <c r="J1173" s="25"/>
      <c r="K1173" s="23"/>
      <c r="L1173" s="51"/>
      <c r="M1173" s="23"/>
      <c r="N1173" s="26"/>
      <c r="O1173" s="26"/>
      <c r="P1173" s="26"/>
      <c r="Q1173" s="26"/>
      <c r="R1173" s="26"/>
      <c r="S1173" s="26"/>
      <c r="T1173" s="26"/>
      <c r="U1173" s="26"/>
      <c r="V1173" s="26"/>
      <c r="W1173" s="27"/>
    </row>
    <row r="1174" spans="1:23" ht="15.75" customHeight="1" x14ac:dyDescent="0.25">
      <c r="A1174" s="23"/>
      <c r="B1174" s="23" t="str">
        <f t="shared" si="6"/>
        <v/>
      </c>
      <c r="C1174" s="23"/>
      <c r="D1174" s="44"/>
      <c r="E1174" s="23"/>
      <c r="F1174" s="45"/>
      <c r="G1174" s="23"/>
      <c r="H1174" s="23"/>
      <c r="I1174" s="23"/>
      <c r="J1174" s="25"/>
      <c r="K1174" s="23"/>
      <c r="L1174" s="51"/>
      <c r="M1174" s="23"/>
      <c r="N1174" s="26"/>
      <c r="O1174" s="26"/>
      <c r="P1174" s="26"/>
      <c r="Q1174" s="26"/>
      <c r="R1174" s="26"/>
      <c r="S1174" s="26"/>
      <c r="T1174" s="26"/>
      <c r="U1174" s="26"/>
      <c r="V1174" s="26"/>
      <c r="W1174" s="27"/>
    </row>
    <row r="1175" spans="1:23" ht="15.75" customHeight="1" x14ac:dyDescent="0.25">
      <c r="A1175" s="23"/>
      <c r="B1175" s="23" t="str">
        <f t="shared" si="6"/>
        <v/>
      </c>
      <c r="C1175" s="23"/>
      <c r="D1175" s="44"/>
      <c r="E1175" s="23"/>
      <c r="F1175" s="45"/>
      <c r="G1175" s="23"/>
      <c r="H1175" s="23"/>
      <c r="I1175" s="23"/>
      <c r="J1175" s="25"/>
      <c r="K1175" s="23"/>
      <c r="L1175" s="51"/>
      <c r="M1175" s="23"/>
      <c r="N1175" s="26"/>
      <c r="O1175" s="26"/>
      <c r="P1175" s="26"/>
      <c r="Q1175" s="26"/>
      <c r="R1175" s="26"/>
      <c r="S1175" s="26"/>
      <c r="T1175" s="26"/>
      <c r="U1175" s="26"/>
      <c r="V1175" s="26"/>
      <c r="W1175" s="27"/>
    </row>
    <row r="1176" spans="1:23" ht="15.75" customHeight="1" x14ac:dyDescent="0.25">
      <c r="A1176" s="23"/>
      <c r="B1176" s="23" t="str">
        <f t="shared" si="6"/>
        <v/>
      </c>
      <c r="C1176" s="23"/>
      <c r="D1176" s="44"/>
      <c r="E1176" s="23"/>
      <c r="F1176" s="45"/>
      <c r="G1176" s="23"/>
      <c r="H1176" s="23"/>
      <c r="I1176" s="23"/>
      <c r="J1176" s="25"/>
      <c r="K1176" s="23"/>
      <c r="L1176" s="51"/>
      <c r="M1176" s="23"/>
      <c r="N1176" s="26"/>
      <c r="O1176" s="26"/>
      <c r="P1176" s="26"/>
      <c r="Q1176" s="26"/>
      <c r="R1176" s="26"/>
      <c r="S1176" s="26"/>
      <c r="T1176" s="26"/>
      <c r="U1176" s="26"/>
      <c r="V1176" s="26"/>
      <c r="W1176" s="27"/>
    </row>
    <row r="1177" spans="1:23" ht="15.75" customHeight="1" x14ac:dyDescent="0.25">
      <c r="A1177" s="23"/>
      <c r="B1177" s="23" t="str">
        <f t="shared" si="6"/>
        <v/>
      </c>
      <c r="C1177" s="23"/>
      <c r="D1177" s="44"/>
      <c r="E1177" s="23"/>
      <c r="F1177" s="45"/>
      <c r="G1177" s="23"/>
      <c r="H1177" s="23"/>
      <c r="I1177" s="23"/>
      <c r="J1177" s="25"/>
      <c r="K1177" s="23"/>
      <c r="L1177" s="51"/>
      <c r="M1177" s="23"/>
      <c r="N1177" s="26"/>
      <c r="O1177" s="26"/>
      <c r="P1177" s="26"/>
      <c r="Q1177" s="26"/>
      <c r="R1177" s="26"/>
      <c r="S1177" s="26"/>
      <c r="T1177" s="26"/>
      <c r="U1177" s="26"/>
      <c r="V1177" s="26"/>
      <c r="W1177" s="27"/>
    </row>
    <row r="1178" spans="1:23" ht="15.75" customHeight="1" x14ac:dyDescent="0.25">
      <c r="A1178" s="23"/>
      <c r="B1178" s="23" t="str">
        <f t="shared" si="6"/>
        <v/>
      </c>
      <c r="C1178" s="23"/>
      <c r="D1178" s="44"/>
      <c r="E1178" s="23"/>
      <c r="F1178" s="45"/>
      <c r="G1178" s="23"/>
      <c r="H1178" s="23"/>
      <c r="I1178" s="23"/>
      <c r="J1178" s="25"/>
      <c r="K1178" s="23"/>
      <c r="L1178" s="51"/>
      <c r="M1178" s="23"/>
      <c r="N1178" s="26"/>
      <c r="O1178" s="26"/>
      <c r="P1178" s="26"/>
      <c r="Q1178" s="26"/>
      <c r="R1178" s="26"/>
      <c r="S1178" s="26"/>
      <c r="T1178" s="26"/>
      <c r="U1178" s="26"/>
      <c r="V1178" s="26"/>
      <c r="W1178" s="27"/>
    </row>
    <row r="1179" spans="1:23" ht="15.75" customHeight="1" x14ac:dyDescent="0.25">
      <c r="A1179" s="23"/>
      <c r="B1179" s="23" t="str">
        <f t="shared" si="6"/>
        <v/>
      </c>
      <c r="C1179" s="23"/>
      <c r="D1179" s="44"/>
      <c r="E1179" s="23"/>
      <c r="F1179" s="45"/>
      <c r="G1179" s="23"/>
      <c r="H1179" s="23"/>
      <c r="I1179" s="23"/>
      <c r="J1179" s="25"/>
      <c r="K1179" s="23"/>
      <c r="L1179" s="51"/>
      <c r="M1179" s="23"/>
      <c r="N1179" s="26"/>
      <c r="O1179" s="26"/>
      <c r="P1179" s="26"/>
      <c r="Q1179" s="26"/>
      <c r="R1179" s="26"/>
      <c r="S1179" s="26"/>
      <c r="T1179" s="26"/>
      <c r="U1179" s="26"/>
      <c r="V1179" s="26"/>
      <c r="W1179" s="27"/>
    </row>
    <row r="1180" spans="1:23" ht="15.75" customHeight="1" x14ac:dyDescent="0.25">
      <c r="A1180" s="23"/>
      <c r="B1180" s="23" t="str">
        <f t="shared" si="6"/>
        <v/>
      </c>
      <c r="C1180" s="23"/>
      <c r="D1180" s="44"/>
      <c r="E1180" s="23"/>
      <c r="F1180" s="45"/>
      <c r="G1180" s="23"/>
      <c r="H1180" s="23"/>
      <c r="I1180" s="23"/>
      <c r="J1180" s="25"/>
      <c r="K1180" s="23"/>
      <c r="L1180" s="51"/>
      <c r="M1180" s="23"/>
      <c r="N1180" s="26"/>
      <c r="O1180" s="26"/>
      <c r="P1180" s="26"/>
      <c r="Q1180" s="26"/>
      <c r="R1180" s="26"/>
      <c r="S1180" s="26"/>
      <c r="T1180" s="26"/>
      <c r="U1180" s="26"/>
      <c r="V1180" s="26"/>
      <c r="W1180" s="27"/>
    </row>
    <row r="1181" spans="1:23" ht="15.75" customHeight="1" x14ac:dyDescent="0.25">
      <c r="A1181" s="23"/>
      <c r="B1181" s="23" t="str">
        <f t="shared" si="6"/>
        <v/>
      </c>
      <c r="C1181" s="23"/>
      <c r="D1181" s="44"/>
      <c r="E1181" s="23"/>
      <c r="F1181" s="45"/>
      <c r="G1181" s="23"/>
      <c r="H1181" s="23"/>
      <c r="I1181" s="23"/>
      <c r="J1181" s="25"/>
      <c r="K1181" s="23"/>
      <c r="L1181" s="51"/>
      <c r="M1181" s="23"/>
      <c r="N1181" s="26"/>
      <c r="O1181" s="26"/>
      <c r="P1181" s="26"/>
      <c r="Q1181" s="26"/>
      <c r="R1181" s="26"/>
      <c r="S1181" s="26"/>
      <c r="T1181" s="26"/>
      <c r="U1181" s="26"/>
      <c r="V1181" s="26"/>
      <c r="W1181" s="27"/>
    </row>
    <row r="1182" spans="1:23" ht="15.75" customHeight="1" x14ac:dyDescent="0.25">
      <c r="A1182" s="23"/>
      <c r="B1182" s="23" t="str">
        <f t="shared" si="6"/>
        <v/>
      </c>
      <c r="C1182" s="23"/>
      <c r="D1182" s="44"/>
      <c r="E1182" s="23"/>
      <c r="F1182" s="45"/>
      <c r="G1182" s="23"/>
      <c r="H1182" s="23"/>
      <c r="I1182" s="23"/>
      <c r="J1182" s="25"/>
      <c r="K1182" s="23"/>
      <c r="L1182" s="51"/>
      <c r="M1182" s="23"/>
      <c r="N1182" s="26"/>
      <c r="O1182" s="26"/>
      <c r="P1182" s="26"/>
      <c r="Q1182" s="26"/>
      <c r="R1182" s="26"/>
      <c r="S1182" s="26"/>
      <c r="T1182" s="26"/>
      <c r="U1182" s="26"/>
      <c r="V1182" s="26"/>
      <c r="W1182" s="27"/>
    </row>
    <row r="1183" spans="1:23" ht="15.75" customHeight="1" x14ac:dyDescent="0.25">
      <c r="A1183" s="23"/>
      <c r="B1183" s="23" t="str">
        <f t="shared" si="6"/>
        <v/>
      </c>
      <c r="C1183" s="23"/>
      <c r="D1183" s="44"/>
      <c r="E1183" s="23"/>
      <c r="F1183" s="45"/>
      <c r="G1183" s="23"/>
      <c r="H1183" s="23"/>
      <c r="I1183" s="23"/>
      <c r="J1183" s="25"/>
      <c r="K1183" s="23"/>
      <c r="L1183" s="51"/>
      <c r="M1183" s="23"/>
      <c r="N1183" s="26"/>
      <c r="O1183" s="26"/>
      <c r="P1183" s="26"/>
      <c r="Q1183" s="26"/>
      <c r="R1183" s="26"/>
      <c r="S1183" s="26"/>
      <c r="T1183" s="26"/>
      <c r="U1183" s="26"/>
      <c r="V1183" s="26"/>
      <c r="W1183" s="27"/>
    </row>
    <row r="1184" spans="1:23" ht="15.75" customHeight="1" x14ac:dyDescent="0.25">
      <c r="A1184" s="23"/>
      <c r="B1184" s="23" t="str">
        <f t="shared" si="6"/>
        <v/>
      </c>
      <c r="C1184" s="23"/>
      <c r="D1184" s="44"/>
      <c r="E1184" s="23"/>
      <c r="F1184" s="45"/>
      <c r="G1184" s="23"/>
      <c r="H1184" s="23"/>
      <c r="I1184" s="23"/>
      <c r="J1184" s="25"/>
      <c r="K1184" s="23"/>
      <c r="L1184" s="51"/>
      <c r="M1184" s="23"/>
      <c r="N1184" s="26"/>
      <c r="O1184" s="26"/>
      <c r="P1184" s="26"/>
      <c r="Q1184" s="26"/>
      <c r="R1184" s="26"/>
      <c r="S1184" s="26"/>
      <c r="T1184" s="26"/>
      <c r="U1184" s="26"/>
      <c r="V1184" s="26"/>
      <c r="W1184" s="27"/>
    </row>
    <row r="1185" spans="1:23" ht="15.75" customHeight="1" x14ac:dyDescent="0.25">
      <c r="A1185" s="23"/>
      <c r="B1185" s="23" t="str">
        <f t="shared" si="6"/>
        <v/>
      </c>
      <c r="C1185" s="23"/>
      <c r="D1185" s="44"/>
      <c r="E1185" s="23"/>
      <c r="F1185" s="45"/>
      <c r="G1185" s="23"/>
      <c r="H1185" s="23"/>
      <c r="I1185" s="23"/>
      <c r="J1185" s="25"/>
      <c r="K1185" s="23"/>
      <c r="L1185" s="51"/>
      <c r="M1185" s="23"/>
      <c r="N1185" s="26"/>
      <c r="O1185" s="26"/>
      <c r="P1185" s="26"/>
      <c r="Q1185" s="26"/>
      <c r="R1185" s="26"/>
      <c r="S1185" s="26"/>
      <c r="T1185" s="26"/>
      <c r="U1185" s="26"/>
      <c r="V1185" s="26"/>
      <c r="W1185" s="27"/>
    </row>
    <row r="1186" spans="1:23" ht="15.75" customHeight="1" x14ac:dyDescent="0.25">
      <c r="A1186" s="23"/>
      <c r="B1186" s="23" t="str">
        <f t="shared" si="6"/>
        <v/>
      </c>
      <c r="C1186" s="23"/>
      <c r="D1186" s="44"/>
      <c r="E1186" s="23"/>
      <c r="F1186" s="45"/>
      <c r="G1186" s="23"/>
      <c r="H1186" s="23"/>
      <c r="I1186" s="23"/>
      <c r="J1186" s="25"/>
      <c r="K1186" s="23"/>
      <c r="L1186" s="51"/>
      <c r="M1186" s="23"/>
      <c r="N1186" s="26"/>
      <c r="O1186" s="26"/>
      <c r="P1186" s="26"/>
      <c r="Q1186" s="26"/>
      <c r="R1186" s="26"/>
      <c r="S1186" s="26"/>
      <c r="T1186" s="26"/>
      <c r="U1186" s="26"/>
      <c r="V1186" s="26"/>
      <c r="W1186" s="27"/>
    </row>
    <row r="1187" spans="1:23" ht="15.75" customHeight="1" x14ac:dyDescent="0.25">
      <c r="A1187" s="23"/>
      <c r="B1187" s="23" t="str">
        <f t="shared" si="6"/>
        <v/>
      </c>
      <c r="C1187" s="23"/>
      <c r="D1187" s="44"/>
      <c r="E1187" s="23"/>
      <c r="F1187" s="45"/>
      <c r="G1187" s="23"/>
      <c r="H1187" s="23"/>
      <c r="I1187" s="23"/>
      <c r="J1187" s="25"/>
      <c r="K1187" s="23"/>
      <c r="L1187" s="51"/>
      <c r="M1187" s="23"/>
      <c r="N1187" s="26"/>
      <c r="O1187" s="26"/>
      <c r="P1187" s="26"/>
      <c r="Q1187" s="26"/>
      <c r="R1187" s="26"/>
      <c r="S1187" s="26"/>
      <c r="T1187" s="26"/>
      <c r="U1187" s="26"/>
      <c r="V1187" s="26"/>
      <c r="W1187" s="27"/>
    </row>
    <row r="1188" spans="1:23" ht="15.75" customHeight="1" x14ac:dyDescent="0.25">
      <c r="A1188" s="23"/>
      <c r="B1188" s="23" t="str">
        <f t="shared" si="6"/>
        <v/>
      </c>
      <c r="C1188" s="23"/>
      <c r="D1188" s="44"/>
      <c r="E1188" s="23"/>
      <c r="F1188" s="45"/>
      <c r="G1188" s="23"/>
      <c r="H1188" s="23"/>
      <c r="I1188" s="23"/>
      <c r="J1188" s="25"/>
      <c r="K1188" s="23"/>
      <c r="L1188" s="51"/>
      <c r="M1188" s="23"/>
      <c r="N1188" s="26"/>
      <c r="O1188" s="26"/>
      <c r="P1188" s="26"/>
      <c r="Q1188" s="26"/>
      <c r="R1188" s="26"/>
      <c r="S1188" s="26"/>
      <c r="T1188" s="26"/>
      <c r="U1188" s="26"/>
      <c r="V1188" s="26"/>
      <c r="W1188" s="27"/>
    </row>
    <row r="1189" spans="1:23" ht="15.75" customHeight="1" x14ac:dyDescent="0.25">
      <c r="A1189" s="23"/>
      <c r="B1189" s="23" t="str">
        <f t="shared" si="6"/>
        <v/>
      </c>
      <c r="C1189" s="23"/>
      <c r="D1189" s="44"/>
      <c r="E1189" s="23"/>
      <c r="F1189" s="45"/>
      <c r="G1189" s="23"/>
      <c r="H1189" s="23"/>
      <c r="I1189" s="23"/>
      <c r="J1189" s="25"/>
      <c r="K1189" s="23"/>
      <c r="L1189" s="51"/>
      <c r="M1189" s="23"/>
      <c r="N1189" s="26"/>
      <c r="O1189" s="26"/>
      <c r="P1189" s="26"/>
      <c r="Q1189" s="26"/>
      <c r="R1189" s="26"/>
      <c r="S1189" s="26"/>
      <c r="T1189" s="26"/>
      <c r="U1189" s="26"/>
      <c r="V1189" s="26"/>
      <c r="W1189" s="27"/>
    </row>
    <row r="1190" spans="1:23" ht="15.75" customHeight="1" x14ac:dyDescent="0.25">
      <c r="A1190" s="23"/>
      <c r="B1190" s="23" t="str">
        <f t="shared" si="6"/>
        <v/>
      </c>
      <c r="C1190" s="23"/>
      <c r="D1190" s="44"/>
      <c r="E1190" s="23"/>
      <c r="F1190" s="45"/>
      <c r="G1190" s="23"/>
      <c r="H1190" s="23"/>
      <c r="I1190" s="23"/>
      <c r="J1190" s="25"/>
      <c r="K1190" s="23"/>
      <c r="L1190" s="51"/>
      <c r="M1190" s="23"/>
      <c r="N1190" s="26"/>
      <c r="O1190" s="26"/>
      <c r="P1190" s="26"/>
      <c r="Q1190" s="26"/>
      <c r="R1190" s="26"/>
      <c r="S1190" s="26"/>
      <c r="T1190" s="26"/>
      <c r="U1190" s="26"/>
      <c r="V1190" s="26"/>
      <c r="W1190" s="27"/>
    </row>
    <row r="1191" spans="1:23" ht="15.75" customHeight="1" x14ac:dyDescent="0.25">
      <c r="A1191" s="23"/>
      <c r="B1191" s="23" t="str">
        <f t="shared" si="6"/>
        <v/>
      </c>
      <c r="C1191" s="23"/>
      <c r="D1191" s="44"/>
      <c r="E1191" s="23"/>
      <c r="F1191" s="45"/>
      <c r="G1191" s="23"/>
      <c r="H1191" s="23"/>
      <c r="I1191" s="23"/>
      <c r="J1191" s="25"/>
      <c r="K1191" s="23"/>
      <c r="L1191" s="51"/>
      <c r="M1191" s="23"/>
      <c r="N1191" s="26"/>
      <c r="O1191" s="26"/>
      <c r="P1191" s="26"/>
      <c r="Q1191" s="26"/>
      <c r="R1191" s="26"/>
      <c r="S1191" s="26"/>
      <c r="T1191" s="26"/>
      <c r="U1191" s="26"/>
      <c r="V1191" s="26"/>
      <c r="W1191" s="27"/>
    </row>
    <row r="1192" spans="1:23" ht="15.75" customHeight="1" x14ac:dyDescent="0.25">
      <c r="A1192" s="23"/>
      <c r="B1192" s="23" t="str">
        <f t="shared" si="6"/>
        <v/>
      </c>
      <c r="C1192" s="23"/>
      <c r="D1192" s="44"/>
      <c r="E1192" s="23"/>
      <c r="F1192" s="45"/>
      <c r="G1192" s="23"/>
      <c r="H1192" s="23"/>
      <c r="I1192" s="23"/>
      <c r="J1192" s="25"/>
      <c r="K1192" s="23"/>
      <c r="L1192" s="51"/>
      <c r="M1192" s="23"/>
      <c r="N1192" s="26"/>
      <c r="O1192" s="26"/>
      <c r="P1192" s="26"/>
      <c r="Q1192" s="26"/>
      <c r="R1192" s="26"/>
      <c r="S1192" s="26"/>
      <c r="T1192" s="26"/>
      <c r="U1192" s="26"/>
      <c r="V1192" s="26"/>
      <c r="W1192" s="27"/>
    </row>
    <row r="1193" spans="1:23" ht="15.75" customHeight="1" x14ac:dyDescent="0.25">
      <c r="A1193" s="23"/>
      <c r="B1193" s="23" t="str">
        <f t="shared" si="6"/>
        <v/>
      </c>
      <c r="C1193" s="23"/>
      <c r="D1193" s="44"/>
      <c r="E1193" s="23"/>
      <c r="F1193" s="45"/>
      <c r="G1193" s="23"/>
      <c r="H1193" s="23"/>
      <c r="I1193" s="23"/>
      <c r="J1193" s="25"/>
      <c r="K1193" s="23"/>
      <c r="L1193" s="51"/>
      <c r="M1193" s="23"/>
      <c r="N1193" s="26"/>
      <c r="O1193" s="26"/>
      <c r="P1193" s="26"/>
      <c r="Q1193" s="26"/>
      <c r="R1193" s="26"/>
      <c r="S1193" s="26"/>
      <c r="T1193" s="26"/>
      <c r="U1193" s="26"/>
      <c r="V1193" s="26"/>
      <c r="W1193" s="27"/>
    </row>
    <row r="1194" spans="1:23" ht="15.75" customHeight="1" x14ac:dyDescent="0.25">
      <c r="A1194" s="23"/>
      <c r="B1194" s="23" t="str">
        <f t="shared" si="6"/>
        <v/>
      </c>
      <c r="C1194" s="23"/>
      <c r="D1194" s="44"/>
      <c r="E1194" s="23"/>
      <c r="F1194" s="45"/>
      <c r="G1194" s="23"/>
      <c r="H1194" s="23"/>
      <c r="I1194" s="23"/>
      <c r="J1194" s="25"/>
      <c r="K1194" s="23"/>
      <c r="L1194" s="51"/>
      <c r="M1194" s="23"/>
      <c r="N1194" s="26"/>
      <c r="O1194" s="26"/>
      <c r="P1194" s="26"/>
      <c r="Q1194" s="26"/>
      <c r="R1194" s="26"/>
      <c r="S1194" s="26"/>
      <c r="T1194" s="26"/>
      <c r="U1194" s="26"/>
      <c r="V1194" s="26"/>
      <c r="W1194" s="27"/>
    </row>
    <row r="1195" spans="1:23" ht="15.75" customHeight="1" x14ac:dyDescent="0.25">
      <c r="A1195" s="23"/>
      <c r="B1195" s="23" t="str">
        <f t="shared" si="6"/>
        <v/>
      </c>
      <c r="C1195" s="23"/>
      <c r="D1195" s="44"/>
      <c r="E1195" s="23"/>
      <c r="F1195" s="45"/>
      <c r="G1195" s="23"/>
      <c r="H1195" s="23"/>
      <c r="I1195" s="23"/>
      <c r="J1195" s="25"/>
      <c r="K1195" s="23"/>
      <c r="L1195" s="51"/>
      <c r="M1195" s="23"/>
      <c r="N1195" s="26"/>
      <c r="O1195" s="26"/>
      <c r="P1195" s="26"/>
      <c r="Q1195" s="26"/>
      <c r="R1195" s="26"/>
      <c r="S1195" s="26"/>
      <c r="T1195" s="26"/>
      <c r="U1195" s="26"/>
      <c r="V1195" s="26"/>
      <c r="W1195" s="27"/>
    </row>
    <row r="1196" spans="1:23" ht="15.75" customHeight="1" x14ac:dyDescent="0.25">
      <c r="A1196" s="23"/>
      <c r="B1196" s="23" t="str">
        <f t="shared" si="6"/>
        <v/>
      </c>
      <c r="C1196" s="23"/>
      <c r="D1196" s="44"/>
      <c r="E1196" s="23"/>
      <c r="F1196" s="45"/>
      <c r="G1196" s="23"/>
      <c r="H1196" s="23"/>
      <c r="I1196" s="23"/>
      <c r="J1196" s="25"/>
      <c r="K1196" s="23"/>
      <c r="L1196" s="51"/>
      <c r="M1196" s="23"/>
      <c r="N1196" s="26"/>
      <c r="O1196" s="26"/>
      <c r="P1196" s="26"/>
      <c r="Q1196" s="26"/>
      <c r="R1196" s="26"/>
      <c r="S1196" s="26"/>
      <c r="T1196" s="26"/>
      <c r="U1196" s="26"/>
      <c r="V1196" s="26"/>
      <c r="W1196" s="27"/>
    </row>
    <row r="1197" spans="1:23" ht="15.75" customHeight="1" x14ac:dyDescent="0.25">
      <c r="A1197" s="23"/>
      <c r="B1197" s="23" t="str">
        <f t="shared" si="6"/>
        <v/>
      </c>
      <c r="C1197" s="23"/>
      <c r="D1197" s="44"/>
      <c r="E1197" s="23"/>
      <c r="F1197" s="45"/>
      <c r="G1197" s="23"/>
      <c r="H1197" s="23"/>
      <c r="I1197" s="23"/>
      <c r="J1197" s="25"/>
      <c r="K1197" s="23"/>
      <c r="L1197" s="51"/>
      <c r="M1197" s="23"/>
      <c r="N1197" s="26"/>
      <c r="O1197" s="26"/>
      <c r="P1197" s="26"/>
      <c r="Q1197" s="26"/>
      <c r="R1197" s="26"/>
      <c r="S1197" s="26"/>
      <c r="T1197" s="26"/>
      <c r="U1197" s="26"/>
      <c r="V1197" s="26"/>
      <c r="W1197" s="27"/>
    </row>
    <row r="1198" spans="1:23" ht="15.75" customHeight="1" x14ac:dyDescent="0.25">
      <c r="A1198" s="23"/>
      <c r="B1198" s="23" t="str">
        <f t="shared" si="6"/>
        <v/>
      </c>
      <c r="C1198" s="23"/>
      <c r="D1198" s="44"/>
      <c r="E1198" s="23"/>
      <c r="F1198" s="45"/>
      <c r="G1198" s="23"/>
      <c r="H1198" s="23"/>
      <c r="I1198" s="23"/>
      <c r="J1198" s="25"/>
      <c r="K1198" s="23"/>
      <c r="L1198" s="51"/>
      <c r="M1198" s="23"/>
      <c r="N1198" s="26"/>
      <c r="O1198" s="26"/>
      <c r="P1198" s="26"/>
      <c r="Q1198" s="26"/>
      <c r="R1198" s="26"/>
      <c r="S1198" s="26"/>
      <c r="T1198" s="26"/>
      <c r="U1198" s="26"/>
      <c r="V1198" s="26"/>
      <c r="W1198" s="27"/>
    </row>
    <row r="1199" spans="1:23" ht="15.75" customHeight="1" x14ac:dyDescent="0.25">
      <c r="A1199" s="23"/>
      <c r="B1199" s="23" t="str">
        <f t="shared" si="6"/>
        <v/>
      </c>
      <c r="C1199" s="23"/>
      <c r="D1199" s="44"/>
      <c r="E1199" s="23"/>
      <c r="F1199" s="45"/>
      <c r="G1199" s="23"/>
      <c r="H1199" s="23"/>
      <c r="I1199" s="23"/>
      <c r="J1199" s="25"/>
      <c r="K1199" s="23"/>
      <c r="L1199" s="51"/>
      <c r="M1199" s="23"/>
      <c r="N1199" s="26"/>
      <c r="O1199" s="26"/>
      <c r="P1199" s="26"/>
      <c r="Q1199" s="26"/>
      <c r="R1199" s="26"/>
      <c r="S1199" s="26"/>
      <c r="T1199" s="26"/>
      <c r="U1199" s="26"/>
      <c r="V1199" s="26"/>
      <c r="W1199" s="27"/>
    </row>
    <row r="1200" spans="1:23" ht="15.75" customHeight="1" x14ac:dyDescent="0.25">
      <c r="A1200" s="23"/>
      <c r="B1200" s="23" t="str">
        <f t="shared" si="6"/>
        <v/>
      </c>
      <c r="C1200" s="23"/>
      <c r="D1200" s="44"/>
      <c r="E1200" s="23"/>
      <c r="F1200" s="45"/>
      <c r="G1200" s="23"/>
      <c r="H1200" s="23"/>
      <c r="I1200" s="23"/>
      <c r="J1200" s="25"/>
      <c r="K1200" s="23"/>
      <c r="L1200" s="51"/>
      <c r="M1200" s="23"/>
      <c r="N1200" s="26"/>
      <c r="O1200" s="26"/>
      <c r="P1200" s="26"/>
      <c r="Q1200" s="26"/>
      <c r="R1200" s="26"/>
      <c r="S1200" s="26"/>
      <c r="T1200" s="26"/>
      <c r="U1200" s="26"/>
      <c r="V1200" s="26"/>
      <c r="W1200" s="27"/>
    </row>
    <row r="1201" spans="1:23" ht="15.75" customHeight="1" x14ac:dyDescent="0.25">
      <c r="A1201" s="23"/>
      <c r="B1201" s="23" t="str">
        <f t="shared" si="6"/>
        <v/>
      </c>
      <c r="C1201" s="23"/>
      <c r="D1201" s="44"/>
      <c r="E1201" s="23"/>
      <c r="F1201" s="45"/>
      <c r="G1201" s="23"/>
      <c r="H1201" s="23"/>
      <c r="I1201" s="23"/>
      <c r="J1201" s="25"/>
      <c r="K1201" s="23"/>
      <c r="L1201" s="51"/>
      <c r="M1201" s="23"/>
      <c r="N1201" s="26"/>
      <c r="O1201" s="26"/>
      <c r="P1201" s="26"/>
      <c r="Q1201" s="26"/>
      <c r="R1201" s="26"/>
      <c r="S1201" s="26"/>
      <c r="T1201" s="26"/>
      <c r="U1201" s="26"/>
      <c r="V1201" s="26"/>
      <c r="W1201" s="27"/>
    </row>
    <row r="1202" spans="1:23" ht="15.75" customHeight="1" x14ac:dyDescent="0.25">
      <c r="A1202" s="23"/>
      <c r="B1202" s="23" t="str">
        <f t="shared" si="6"/>
        <v/>
      </c>
      <c r="C1202" s="23"/>
      <c r="D1202" s="44"/>
      <c r="E1202" s="23"/>
      <c r="F1202" s="45"/>
      <c r="G1202" s="23"/>
      <c r="H1202" s="23"/>
      <c r="I1202" s="23"/>
      <c r="J1202" s="25"/>
      <c r="K1202" s="23"/>
      <c r="L1202" s="51"/>
      <c r="M1202" s="23"/>
      <c r="N1202" s="26"/>
      <c r="O1202" s="26"/>
      <c r="P1202" s="26"/>
      <c r="Q1202" s="26"/>
      <c r="R1202" s="26"/>
      <c r="S1202" s="26"/>
      <c r="T1202" s="26"/>
      <c r="U1202" s="26"/>
      <c r="V1202" s="26"/>
      <c r="W1202" s="27"/>
    </row>
    <row r="1203" spans="1:23" ht="15.75" customHeight="1" x14ac:dyDescent="0.25">
      <c r="A1203" s="23"/>
      <c r="B1203" s="23" t="str">
        <f t="shared" si="6"/>
        <v/>
      </c>
      <c r="C1203" s="23"/>
      <c r="D1203" s="44"/>
      <c r="E1203" s="23"/>
      <c r="F1203" s="45"/>
      <c r="G1203" s="23"/>
      <c r="H1203" s="23"/>
      <c r="I1203" s="23"/>
      <c r="J1203" s="25"/>
      <c r="K1203" s="23"/>
      <c r="L1203" s="51"/>
      <c r="M1203" s="23"/>
      <c r="N1203" s="26"/>
      <c r="O1203" s="26"/>
      <c r="P1203" s="26"/>
      <c r="Q1203" s="26"/>
      <c r="R1203" s="26"/>
      <c r="S1203" s="26"/>
      <c r="T1203" s="26"/>
      <c r="U1203" s="26"/>
      <c r="V1203" s="26"/>
      <c r="W1203" s="27"/>
    </row>
    <row r="1204" spans="1:23" ht="15.75" customHeight="1" x14ac:dyDescent="0.25">
      <c r="A1204" s="23"/>
      <c r="B1204" s="23" t="str">
        <f t="shared" si="6"/>
        <v/>
      </c>
      <c r="C1204" s="23"/>
      <c r="D1204" s="44"/>
      <c r="E1204" s="23"/>
      <c r="F1204" s="45"/>
      <c r="G1204" s="23"/>
      <c r="H1204" s="23"/>
      <c r="I1204" s="23"/>
      <c r="J1204" s="25"/>
      <c r="K1204" s="23"/>
      <c r="L1204" s="51"/>
      <c r="M1204" s="23"/>
      <c r="N1204" s="26"/>
      <c r="O1204" s="26"/>
      <c r="P1204" s="26"/>
      <c r="Q1204" s="26"/>
      <c r="R1204" s="26"/>
      <c r="S1204" s="26"/>
      <c r="T1204" s="26"/>
      <c r="U1204" s="26"/>
      <c r="V1204" s="26"/>
      <c r="W1204" s="27"/>
    </row>
    <row r="1205" spans="1:23" ht="15.75" customHeight="1" x14ac:dyDescent="0.25">
      <c r="A1205" s="23"/>
      <c r="B1205" s="23" t="str">
        <f t="shared" si="6"/>
        <v/>
      </c>
      <c r="C1205" s="23"/>
      <c r="D1205" s="44"/>
      <c r="E1205" s="23"/>
      <c r="F1205" s="45"/>
      <c r="G1205" s="23"/>
      <c r="H1205" s="23"/>
      <c r="I1205" s="23"/>
      <c r="J1205" s="25"/>
      <c r="K1205" s="23"/>
      <c r="L1205" s="51"/>
      <c r="M1205" s="23"/>
      <c r="N1205" s="26"/>
      <c r="O1205" s="26"/>
      <c r="P1205" s="26"/>
      <c r="Q1205" s="26"/>
      <c r="R1205" s="26"/>
      <c r="S1205" s="26"/>
      <c r="T1205" s="26"/>
      <c r="U1205" s="26"/>
      <c r="V1205" s="26"/>
      <c r="W1205" s="27"/>
    </row>
    <row r="1206" spans="1:23" ht="15.75" customHeight="1" x14ac:dyDescent="0.25">
      <c r="A1206" s="23"/>
      <c r="B1206" s="23" t="str">
        <f t="shared" si="6"/>
        <v/>
      </c>
      <c r="C1206" s="23"/>
      <c r="D1206" s="44"/>
      <c r="E1206" s="23"/>
      <c r="F1206" s="45"/>
      <c r="G1206" s="23"/>
      <c r="H1206" s="23"/>
      <c r="I1206" s="23"/>
      <c r="J1206" s="25"/>
      <c r="K1206" s="23"/>
      <c r="L1206" s="51"/>
      <c r="M1206" s="23"/>
      <c r="N1206" s="26"/>
      <c r="O1206" s="26"/>
      <c r="P1206" s="26"/>
      <c r="Q1206" s="26"/>
      <c r="R1206" s="26"/>
      <c r="S1206" s="26"/>
      <c r="T1206" s="26"/>
      <c r="U1206" s="26"/>
      <c r="V1206" s="26"/>
      <c r="W1206" s="27"/>
    </row>
    <row r="1207" spans="1:23" ht="15.75" customHeight="1" x14ac:dyDescent="0.25">
      <c r="A1207" s="23"/>
      <c r="B1207" s="23" t="str">
        <f t="shared" si="6"/>
        <v/>
      </c>
      <c r="C1207" s="23"/>
      <c r="D1207" s="44"/>
      <c r="E1207" s="23"/>
      <c r="F1207" s="45"/>
      <c r="G1207" s="23"/>
      <c r="H1207" s="23"/>
      <c r="I1207" s="23"/>
      <c r="J1207" s="25"/>
      <c r="K1207" s="23"/>
      <c r="L1207" s="51"/>
      <c r="M1207" s="23"/>
      <c r="N1207" s="26"/>
      <c r="O1207" s="26"/>
      <c r="P1207" s="26"/>
      <c r="Q1207" s="26"/>
      <c r="R1207" s="26"/>
      <c r="S1207" s="26"/>
      <c r="T1207" s="26"/>
      <c r="U1207" s="26"/>
      <c r="V1207" s="26"/>
      <c r="W1207" s="27"/>
    </row>
    <row r="1208" spans="1:23" ht="15.75" customHeight="1" x14ac:dyDescent="0.25">
      <c r="A1208" s="23"/>
      <c r="B1208" s="23" t="str">
        <f t="shared" si="6"/>
        <v/>
      </c>
      <c r="C1208" s="23"/>
      <c r="D1208" s="44"/>
      <c r="E1208" s="23"/>
      <c r="F1208" s="45"/>
      <c r="G1208" s="23"/>
      <c r="H1208" s="23"/>
      <c r="I1208" s="23"/>
      <c r="J1208" s="25"/>
      <c r="K1208" s="23"/>
      <c r="L1208" s="51"/>
      <c r="M1208" s="23"/>
      <c r="N1208" s="26"/>
      <c r="O1208" s="26"/>
      <c r="P1208" s="26"/>
      <c r="Q1208" s="26"/>
      <c r="R1208" s="26"/>
      <c r="S1208" s="26"/>
      <c r="T1208" s="26"/>
      <c r="U1208" s="26"/>
      <c r="V1208" s="26"/>
      <c r="W1208" s="27"/>
    </row>
    <row r="1209" spans="1:23" ht="15.75" customHeight="1" x14ac:dyDescent="0.25">
      <c r="A1209" s="23"/>
      <c r="B1209" s="23" t="str">
        <f t="shared" si="6"/>
        <v/>
      </c>
      <c r="C1209" s="23"/>
      <c r="D1209" s="44"/>
      <c r="E1209" s="23"/>
      <c r="F1209" s="45"/>
      <c r="G1209" s="23"/>
      <c r="H1209" s="23"/>
      <c r="I1209" s="23"/>
      <c r="J1209" s="25"/>
      <c r="K1209" s="23"/>
      <c r="L1209" s="51"/>
      <c r="M1209" s="23"/>
      <c r="N1209" s="26"/>
      <c r="O1209" s="26"/>
      <c r="P1209" s="26"/>
      <c r="Q1209" s="26"/>
      <c r="R1209" s="26"/>
      <c r="S1209" s="26"/>
      <c r="T1209" s="26"/>
      <c r="U1209" s="26"/>
      <c r="V1209" s="26"/>
      <c r="W1209" s="27"/>
    </row>
    <row r="1210" spans="1:23" ht="15.75" customHeight="1" x14ac:dyDescent="0.25">
      <c r="A1210" s="23"/>
      <c r="B1210" s="23" t="str">
        <f t="shared" si="6"/>
        <v/>
      </c>
      <c r="C1210" s="23"/>
      <c r="D1210" s="44"/>
      <c r="E1210" s="23"/>
      <c r="F1210" s="45"/>
      <c r="G1210" s="23"/>
      <c r="H1210" s="23"/>
      <c r="I1210" s="23"/>
      <c r="J1210" s="25"/>
      <c r="K1210" s="23"/>
      <c r="L1210" s="51"/>
      <c r="M1210" s="23"/>
      <c r="N1210" s="26"/>
      <c r="O1210" s="26"/>
      <c r="P1210" s="26"/>
      <c r="Q1210" s="26"/>
      <c r="R1210" s="26"/>
      <c r="S1210" s="26"/>
      <c r="T1210" s="26"/>
      <c r="U1210" s="26"/>
      <c r="V1210" s="26"/>
      <c r="W1210" s="27"/>
    </row>
    <row r="1211" spans="1:23" ht="15.75" customHeight="1" x14ac:dyDescent="0.25">
      <c r="A1211" s="23"/>
      <c r="B1211" s="23" t="str">
        <f t="shared" si="6"/>
        <v/>
      </c>
      <c r="C1211" s="23"/>
      <c r="D1211" s="44"/>
      <c r="E1211" s="23"/>
      <c r="F1211" s="45"/>
      <c r="G1211" s="23"/>
      <c r="H1211" s="23"/>
      <c r="I1211" s="23"/>
      <c r="J1211" s="25"/>
      <c r="K1211" s="23"/>
      <c r="L1211" s="51"/>
      <c r="M1211" s="23"/>
      <c r="N1211" s="26"/>
      <c r="O1211" s="26"/>
      <c r="P1211" s="26"/>
      <c r="Q1211" s="26"/>
      <c r="R1211" s="26"/>
      <c r="S1211" s="26"/>
      <c r="T1211" s="26"/>
      <c r="U1211" s="26"/>
      <c r="V1211" s="26"/>
      <c r="W1211" s="27"/>
    </row>
    <row r="1212" spans="1:23" ht="15.75" customHeight="1" x14ac:dyDescent="0.25">
      <c r="A1212" s="23"/>
      <c r="B1212" s="23" t="str">
        <f t="shared" si="6"/>
        <v/>
      </c>
      <c r="C1212" s="23"/>
      <c r="D1212" s="44"/>
      <c r="E1212" s="23"/>
      <c r="F1212" s="45"/>
      <c r="G1212" s="23"/>
      <c r="H1212" s="23"/>
      <c r="I1212" s="23"/>
      <c r="J1212" s="25"/>
      <c r="K1212" s="23"/>
      <c r="L1212" s="51"/>
      <c r="M1212" s="23"/>
      <c r="N1212" s="26"/>
      <c r="O1212" s="26"/>
      <c r="P1212" s="26"/>
      <c r="Q1212" s="26"/>
      <c r="R1212" s="26"/>
      <c r="S1212" s="26"/>
      <c r="T1212" s="26"/>
      <c r="U1212" s="26"/>
      <c r="V1212" s="26"/>
      <c r="W1212" s="27"/>
    </row>
    <row r="1213" spans="1:23" ht="15.75" customHeight="1" x14ac:dyDescent="0.25">
      <c r="A1213" s="23"/>
      <c r="B1213" s="23" t="str">
        <f t="shared" si="6"/>
        <v/>
      </c>
      <c r="C1213" s="23"/>
      <c r="D1213" s="44"/>
      <c r="E1213" s="23"/>
      <c r="F1213" s="45"/>
      <c r="G1213" s="23"/>
      <c r="H1213" s="23"/>
      <c r="I1213" s="23"/>
      <c r="J1213" s="25"/>
      <c r="K1213" s="23"/>
      <c r="L1213" s="51"/>
      <c r="M1213" s="23"/>
      <c r="N1213" s="26"/>
      <c r="O1213" s="26"/>
      <c r="P1213" s="26"/>
      <c r="Q1213" s="26"/>
      <c r="R1213" s="26"/>
      <c r="S1213" s="26"/>
      <c r="T1213" s="26"/>
      <c r="U1213" s="26"/>
      <c r="V1213" s="26"/>
      <c r="W1213" s="27"/>
    </row>
    <row r="1214" spans="1:23" ht="15.75" customHeight="1" x14ac:dyDescent="0.25">
      <c r="A1214" s="23"/>
      <c r="B1214" s="23" t="str">
        <f t="shared" si="6"/>
        <v/>
      </c>
      <c r="C1214" s="23"/>
      <c r="D1214" s="44"/>
      <c r="E1214" s="23"/>
      <c r="F1214" s="45"/>
      <c r="G1214" s="23"/>
      <c r="H1214" s="23"/>
      <c r="I1214" s="23"/>
      <c r="J1214" s="25"/>
      <c r="K1214" s="23"/>
      <c r="L1214" s="51"/>
      <c r="M1214" s="23"/>
      <c r="N1214" s="26"/>
      <c r="O1214" s="26"/>
      <c r="P1214" s="26"/>
      <c r="Q1214" s="26"/>
      <c r="R1214" s="26"/>
      <c r="S1214" s="26"/>
      <c r="T1214" s="26"/>
      <c r="U1214" s="26"/>
      <c r="V1214" s="26"/>
      <c r="W1214" s="27"/>
    </row>
    <row r="1215" spans="1:23" ht="15.75" customHeight="1" x14ac:dyDescent="0.25">
      <c r="A1215" s="23"/>
      <c r="B1215" s="23" t="str">
        <f t="shared" si="6"/>
        <v/>
      </c>
      <c r="C1215" s="23"/>
      <c r="D1215" s="44"/>
      <c r="E1215" s="23"/>
      <c r="F1215" s="45"/>
      <c r="G1215" s="23"/>
      <c r="H1215" s="23"/>
      <c r="I1215" s="23"/>
      <c r="J1215" s="25"/>
      <c r="K1215" s="23"/>
      <c r="L1215" s="51"/>
      <c r="M1215" s="23"/>
      <c r="N1215" s="26"/>
      <c r="O1215" s="26"/>
      <c r="P1215" s="26"/>
      <c r="Q1215" s="26"/>
      <c r="R1215" s="26"/>
      <c r="S1215" s="26"/>
      <c r="T1215" s="26"/>
      <c r="U1215" s="26"/>
      <c r="V1215" s="26"/>
      <c r="W1215" s="27"/>
    </row>
    <row r="1216" spans="1:23" ht="15.75" customHeight="1" x14ac:dyDescent="0.25">
      <c r="A1216" s="23"/>
      <c r="B1216" s="23" t="str">
        <f t="shared" si="6"/>
        <v/>
      </c>
      <c r="C1216" s="23"/>
      <c r="D1216" s="44"/>
      <c r="E1216" s="23"/>
      <c r="F1216" s="45"/>
      <c r="G1216" s="23"/>
      <c r="H1216" s="23"/>
      <c r="I1216" s="23"/>
      <c r="J1216" s="25"/>
      <c r="K1216" s="23"/>
      <c r="L1216" s="51"/>
      <c r="M1216" s="23"/>
      <c r="N1216" s="26"/>
      <c r="O1216" s="26"/>
      <c r="P1216" s="26"/>
      <c r="Q1216" s="26"/>
      <c r="R1216" s="26"/>
      <c r="S1216" s="26"/>
      <c r="T1216" s="26"/>
      <c r="U1216" s="26"/>
      <c r="V1216" s="26"/>
      <c r="W1216" s="27"/>
    </row>
    <row r="1217" spans="1:23" ht="15.75" customHeight="1" x14ac:dyDescent="0.25">
      <c r="A1217" s="23"/>
      <c r="B1217" s="23" t="str">
        <f t="shared" si="6"/>
        <v/>
      </c>
      <c r="C1217" s="23"/>
      <c r="D1217" s="44"/>
      <c r="E1217" s="23"/>
      <c r="F1217" s="45"/>
      <c r="G1217" s="23"/>
      <c r="H1217" s="23"/>
      <c r="I1217" s="23"/>
      <c r="J1217" s="25"/>
      <c r="K1217" s="23"/>
      <c r="L1217" s="51"/>
      <c r="M1217" s="23"/>
      <c r="N1217" s="26"/>
      <c r="O1217" s="26"/>
      <c r="P1217" s="26"/>
      <c r="Q1217" s="26"/>
      <c r="R1217" s="26"/>
      <c r="S1217" s="26"/>
      <c r="T1217" s="26"/>
      <c r="U1217" s="26"/>
      <c r="V1217" s="26"/>
      <c r="W1217" s="27"/>
    </row>
    <row r="1218" spans="1:23" ht="15.75" customHeight="1" x14ac:dyDescent="0.25">
      <c r="A1218" s="23"/>
      <c r="B1218" s="23" t="str">
        <f t="shared" si="6"/>
        <v/>
      </c>
      <c r="C1218" s="23"/>
      <c r="D1218" s="44"/>
      <c r="E1218" s="23"/>
      <c r="F1218" s="45"/>
      <c r="G1218" s="23"/>
      <c r="H1218" s="23"/>
      <c r="I1218" s="23"/>
      <c r="J1218" s="25"/>
      <c r="K1218" s="23"/>
      <c r="L1218" s="51"/>
      <c r="M1218" s="23"/>
      <c r="N1218" s="26"/>
      <c r="O1218" s="26"/>
      <c r="P1218" s="26"/>
      <c r="Q1218" s="26"/>
      <c r="R1218" s="26"/>
      <c r="S1218" s="26"/>
      <c r="T1218" s="26"/>
      <c r="U1218" s="26"/>
      <c r="V1218" s="26"/>
      <c r="W1218" s="27"/>
    </row>
    <row r="1219" spans="1:23" ht="15.75" customHeight="1" x14ac:dyDescent="0.25">
      <c r="A1219" s="23"/>
      <c r="B1219" s="23" t="str">
        <f t="shared" si="6"/>
        <v/>
      </c>
      <c r="C1219" s="23"/>
      <c r="D1219" s="44"/>
      <c r="E1219" s="23"/>
      <c r="F1219" s="45"/>
      <c r="G1219" s="23"/>
      <c r="H1219" s="23"/>
      <c r="I1219" s="23"/>
      <c r="J1219" s="25"/>
      <c r="K1219" s="23"/>
      <c r="L1219" s="51"/>
      <c r="M1219" s="23"/>
      <c r="N1219" s="26"/>
      <c r="O1219" s="26"/>
      <c r="P1219" s="26"/>
      <c r="Q1219" s="26"/>
      <c r="R1219" s="26"/>
      <c r="S1219" s="26"/>
      <c r="T1219" s="26"/>
      <c r="U1219" s="26"/>
      <c r="V1219" s="26"/>
      <c r="W1219" s="27"/>
    </row>
    <row r="1220" spans="1:23" ht="15.75" customHeight="1" x14ac:dyDescent="0.25">
      <c r="A1220" s="23"/>
      <c r="B1220" s="23" t="str">
        <f t="shared" si="6"/>
        <v/>
      </c>
      <c r="C1220" s="23"/>
      <c r="D1220" s="44"/>
      <c r="E1220" s="23"/>
      <c r="F1220" s="45"/>
      <c r="G1220" s="23"/>
      <c r="H1220" s="23"/>
      <c r="I1220" s="23"/>
      <c r="J1220" s="25"/>
      <c r="K1220" s="23"/>
      <c r="L1220" s="51"/>
      <c r="M1220" s="23"/>
      <c r="N1220" s="26"/>
      <c r="O1220" s="26"/>
      <c r="P1220" s="26"/>
      <c r="Q1220" s="26"/>
      <c r="R1220" s="26"/>
      <c r="S1220" s="26"/>
      <c r="T1220" s="26"/>
      <c r="U1220" s="26"/>
      <c r="V1220" s="26"/>
      <c r="W1220" s="27"/>
    </row>
    <row r="1221" spans="1:23" ht="15.75" customHeight="1" x14ac:dyDescent="0.25">
      <c r="A1221" s="23"/>
      <c r="B1221" s="23" t="str">
        <f t="shared" si="6"/>
        <v/>
      </c>
      <c r="C1221" s="23"/>
      <c r="D1221" s="44"/>
      <c r="E1221" s="23"/>
      <c r="F1221" s="45"/>
      <c r="G1221" s="23"/>
      <c r="H1221" s="23"/>
      <c r="I1221" s="23"/>
      <c r="J1221" s="25"/>
      <c r="K1221" s="23"/>
      <c r="L1221" s="51"/>
      <c r="M1221" s="23"/>
      <c r="N1221" s="26"/>
      <c r="O1221" s="26"/>
      <c r="P1221" s="26"/>
      <c r="Q1221" s="26"/>
      <c r="R1221" s="26"/>
      <c r="S1221" s="26"/>
      <c r="T1221" s="26"/>
      <c r="U1221" s="26"/>
      <c r="V1221" s="26"/>
      <c r="W1221" s="27"/>
    </row>
    <row r="1222" spans="1:23" ht="15.75" customHeight="1" x14ac:dyDescent="0.25">
      <c r="A1222" s="23"/>
      <c r="B1222" s="23" t="str">
        <f t="shared" si="6"/>
        <v/>
      </c>
      <c r="C1222" s="23"/>
      <c r="D1222" s="44"/>
      <c r="E1222" s="23"/>
      <c r="F1222" s="45"/>
      <c r="G1222" s="23"/>
      <c r="H1222" s="23"/>
      <c r="I1222" s="23"/>
      <c r="J1222" s="25"/>
      <c r="K1222" s="23"/>
      <c r="L1222" s="51"/>
      <c r="M1222" s="23"/>
      <c r="N1222" s="26"/>
      <c r="O1222" s="26"/>
      <c r="P1222" s="26"/>
      <c r="Q1222" s="26"/>
      <c r="R1222" s="26"/>
      <c r="S1222" s="26"/>
      <c r="T1222" s="26"/>
      <c r="U1222" s="26"/>
      <c r="V1222" s="26"/>
      <c r="W1222" s="27"/>
    </row>
    <row r="1223" spans="1:23" ht="15.75" customHeight="1" x14ac:dyDescent="0.25">
      <c r="A1223" s="23"/>
      <c r="B1223" s="23" t="str">
        <f t="shared" si="6"/>
        <v/>
      </c>
      <c r="C1223" s="23"/>
      <c r="D1223" s="44"/>
      <c r="E1223" s="23"/>
      <c r="F1223" s="45"/>
      <c r="G1223" s="23"/>
      <c r="H1223" s="23"/>
      <c r="I1223" s="23"/>
      <c r="J1223" s="25"/>
      <c r="K1223" s="23"/>
      <c r="L1223" s="51"/>
      <c r="M1223" s="23"/>
      <c r="N1223" s="26"/>
      <c r="O1223" s="26"/>
      <c r="P1223" s="26"/>
      <c r="Q1223" s="26"/>
      <c r="R1223" s="26"/>
      <c r="S1223" s="26"/>
      <c r="T1223" s="26"/>
      <c r="U1223" s="26"/>
      <c r="V1223" s="26"/>
      <c r="W1223" s="27"/>
    </row>
    <row r="1224" spans="1:23" ht="15.75" customHeight="1" x14ac:dyDescent="0.25">
      <c r="A1224" s="23"/>
      <c r="B1224" s="23" t="str">
        <f t="shared" si="6"/>
        <v/>
      </c>
      <c r="C1224" s="23"/>
      <c r="D1224" s="44"/>
      <c r="E1224" s="23"/>
      <c r="F1224" s="45"/>
      <c r="G1224" s="23"/>
      <c r="H1224" s="23"/>
      <c r="I1224" s="23"/>
      <c r="J1224" s="25"/>
      <c r="K1224" s="23"/>
      <c r="L1224" s="51"/>
      <c r="M1224" s="23"/>
      <c r="N1224" s="26"/>
      <c r="O1224" s="26"/>
      <c r="P1224" s="26"/>
      <c r="Q1224" s="26"/>
      <c r="R1224" s="26"/>
      <c r="S1224" s="26"/>
      <c r="T1224" s="26"/>
      <c r="U1224" s="26"/>
      <c r="V1224" s="26"/>
      <c r="W1224" s="27"/>
    </row>
    <row r="1225" spans="1:23" ht="15.75" customHeight="1" x14ac:dyDescent="0.25">
      <c r="A1225" s="23"/>
      <c r="B1225" s="23" t="str">
        <f t="shared" si="6"/>
        <v/>
      </c>
      <c r="C1225" s="23"/>
      <c r="D1225" s="44"/>
      <c r="E1225" s="23"/>
      <c r="F1225" s="45"/>
      <c r="G1225" s="23"/>
      <c r="H1225" s="23"/>
      <c r="I1225" s="23"/>
      <c r="J1225" s="25"/>
      <c r="K1225" s="23"/>
      <c r="L1225" s="51"/>
      <c r="M1225" s="23"/>
      <c r="N1225" s="26"/>
      <c r="O1225" s="26"/>
      <c r="P1225" s="26"/>
      <c r="Q1225" s="26"/>
      <c r="R1225" s="26"/>
      <c r="S1225" s="26"/>
      <c r="T1225" s="26"/>
      <c r="U1225" s="26"/>
      <c r="V1225" s="26"/>
      <c r="W1225" s="27"/>
    </row>
    <row r="1226" spans="1:23" ht="15.75" customHeight="1" x14ac:dyDescent="0.25">
      <c r="A1226" s="23"/>
      <c r="B1226" s="23" t="str">
        <f t="shared" si="6"/>
        <v/>
      </c>
      <c r="C1226" s="23"/>
      <c r="D1226" s="44"/>
      <c r="E1226" s="23"/>
      <c r="F1226" s="45"/>
      <c r="G1226" s="23"/>
      <c r="H1226" s="23"/>
      <c r="I1226" s="23"/>
      <c r="J1226" s="25"/>
      <c r="K1226" s="23"/>
      <c r="L1226" s="51"/>
      <c r="M1226" s="23"/>
      <c r="N1226" s="26"/>
      <c r="O1226" s="26"/>
      <c r="P1226" s="26"/>
      <c r="Q1226" s="26"/>
      <c r="R1226" s="26"/>
      <c r="S1226" s="26"/>
      <c r="T1226" s="26"/>
      <c r="U1226" s="26"/>
      <c r="V1226" s="26"/>
      <c r="W1226" s="27"/>
    </row>
    <row r="1227" spans="1:23" ht="15.75" customHeight="1" x14ac:dyDescent="0.25">
      <c r="A1227" s="23"/>
      <c r="B1227" s="23" t="str">
        <f t="shared" si="6"/>
        <v/>
      </c>
      <c r="C1227" s="23"/>
      <c r="D1227" s="44"/>
      <c r="E1227" s="23"/>
      <c r="F1227" s="45"/>
      <c r="G1227" s="23"/>
      <c r="H1227" s="23"/>
      <c r="I1227" s="23"/>
      <c r="J1227" s="25"/>
      <c r="K1227" s="23"/>
      <c r="L1227" s="51"/>
      <c r="M1227" s="23"/>
      <c r="N1227" s="26"/>
      <c r="O1227" s="26"/>
      <c r="P1227" s="26"/>
      <c r="Q1227" s="26"/>
      <c r="R1227" s="26"/>
      <c r="S1227" s="26"/>
      <c r="T1227" s="26"/>
      <c r="U1227" s="26"/>
      <c r="V1227" s="26"/>
      <c r="W1227" s="27"/>
    </row>
    <row r="1228" spans="1:23" ht="15.75" customHeight="1" x14ac:dyDescent="0.25">
      <c r="A1228" s="23"/>
      <c r="B1228" s="23" t="str">
        <f t="shared" si="6"/>
        <v/>
      </c>
      <c r="C1228" s="23"/>
      <c r="D1228" s="44"/>
      <c r="E1228" s="23"/>
      <c r="F1228" s="45"/>
      <c r="G1228" s="23"/>
      <c r="H1228" s="23"/>
      <c r="I1228" s="23"/>
      <c r="J1228" s="25"/>
      <c r="K1228" s="23"/>
      <c r="L1228" s="51"/>
      <c r="M1228" s="23"/>
      <c r="N1228" s="26"/>
      <c r="O1228" s="26"/>
      <c r="P1228" s="26"/>
      <c r="Q1228" s="26"/>
      <c r="R1228" s="26"/>
      <c r="S1228" s="26"/>
      <c r="T1228" s="26"/>
      <c r="U1228" s="26"/>
      <c r="V1228" s="26"/>
      <c r="W1228" s="27"/>
    </row>
    <row r="1229" spans="1:23" ht="15.75" customHeight="1" x14ac:dyDescent="0.25">
      <c r="A1229" s="23"/>
      <c r="B1229" s="23" t="str">
        <f t="shared" si="6"/>
        <v/>
      </c>
      <c r="C1229" s="23"/>
      <c r="D1229" s="44"/>
      <c r="E1229" s="23"/>
      <c r="F1229" s="45"/>
      <c r="G1229" s="23"/>
      <c r="H1229" s="23"/>
      <c r="I1229" s="23"/>
      <c r="J1229" s="25"/>
      <c r="K1229" s="23"/>
      <c r="L1229" s="51"/>
      <c r="M1229" s="23"/>
      <c r="N1229" s="26"/>
      <c r="O1229" s="26"/>
      <c r="P1229" s="26"/>
      <c r="Q1229" s="26"/>
      <c r="R1229" s="26"/>
      <c r="S1229" s="26"/>
      <c r="T1229" s="26"/>
      <c r="U1229" s="26"/>
      <c r="V1229" s="26"/>
      <c r="W1229" s="27"/>
    </row>
    <row r="1230" spans="1:23" ht="15.75" customHeight="1" x14ac:dyDescent="0.25">
      <c r="A1230" s="23"/>
      <c r="B1230" s="23" t="str">
        <f t="shared" si="6"/>
        <v/>
      </c>
      <c r="C1230" s="23"/>
      <c r="D1230" s="44"/>
      <c r="E1230" s="23"/>
      <c r="F1230" s="45"/>
      <c r="G1230" s="23"/>
      <c r="H1230" s="23"/>
      <c r="I1230" s="23"/>
      <c r="J1230" s="25"/>
      <c r="K1230" s="23"/>
      <c r="L1230" s="51"/>
      <c r="M1230" s="23"/>
      <c r="N1230" s="26"/>
      <c r="O1230" s="26"/>
      <c r="P1230" s="26"/>
      <c r="Q1230" s="26"/>
      <c r="R1230" s="26"/>
      <c r="S1230" s="26"/>
      <c r="T1230" s="26"/>
      <c r="U1230" s="26"/>
      <c r="V1230" s="26"/>
      <c r="W1230" s="27"/>
    </row>
    <row r="1231" spans="1:23" ht="15.75" customHeight="1" x14ac:dyDescent="0.25">
      <c r="A1231" s="23"/>
      <c r="B1231" s="23" t="str">
        <f t="shared" si="6"/>
        <v/>
      </c>
      <c r="C1231" s="23"/>
      <c r="D1231" s="44"/>
      <c r="E1231" s="23"/>
      <c r="F1231" s="45"/>
      <c r="G1231" s="23"/>
      <c r="H1231" s="23"/>
      <c r="I1231" s="23"/>
      <c r="J1231" s="25"/>
      <c r="K1231" s="23"/>
      <c r="L1231" s="51"/>
      <c r="M1231" s="23"/>
      <c r="N1231" s="26"/>
      <c r="O1231" s="26"/>
      <c r="P1231" s="26"/>
      <c r="Q1231" s="26"/>
      <c r="R1231" s="26"/>
      <c r="S1231" s="26"/>
      <c r="T1231" s="26"/>
      <c r="U1231" s="26"/>
      <c r="V1231" s="26"/>
      <c r="W1231" s="27"/>
    </row>
    <row r="1232" spans="1:23" ht="15.75" customHeight="1" x14ac:dyDescent="0.25">
      <c r="A1232" s="23"/>
      <c r="B1232" s="23" t="str">
        <f t="shared" si="6"/>
        <v/>
      </c>
      <c r="C1232" s="23"/>
      <c r="D1232" s="44"/>
      <c r="E1232" s="23"/>
      <c r="F1232" s="45"/>
      <c r="G1232" s="23"/>
      <c r="H1232" s="23"/>
      <c r="I1232" s="23"/>
      <c r="J1232" s="25"/>
      <c r="K1232" s="23"/>
      <c r="L1232" s="51"/>
      <c r="M1232" s="23"/>
      <c r="N1232" s="26"/>
      <c r="O1232" s="26"/>
      <c r="P1232" s="26"/>
      <c r="Q1232" s="26"/>
      <c r="R1232" s="26"/>
      <c r="S1232" s="26"/>
      <c r="T1232" s="26"/>
      <c r="U1232" s="26"/>
      <c r="V1232" s="26"/>
      <c r="W1232" s="27"/>
    </row>
    <row r="1233" spans="1:23" ht="15.75" customHeight="1" x14ac:dyDescent="0.25">
      <c r="A1233" s="23"/>
      <c r="B1233" s="23" t="str">
        <f t="shared" si="6"/>
        <v/>
      </c>
      <c r="C1233" s="23"/>
      <c r="D1233" s="44"/>
      <c r="E1233" s="23"/>
      <c r="F1233" s="45"/>
      <c r="G1233" s="23"/>
      <c r="H1233" s="23"/>
      <c r="I1233" s="23"/>
      <c r="J1233" s="25"/>
      <c r="K1233" s="23"/>
      <c r="L1233" s="51"/>
      <c r="M1233" s="23"/>
      <c r="N1233" s="26"/>
      <c r="O1233" s="26"/>
      <c r="P1233" s="26"/>
      <c r="Q1233" s="26"/>
      <c r="R1233" s="26"/>
      <c r="S1233" s="26"/>
      <c r="T1233" s="26"/>
      <c r="U1233" s="26"/>
      <c r="V1233" s="26"/>
      <c r="W1233" s="27"/>
    </row>
    <row r="1234" spans="1:23" ht="15.75" customHeight="1" x14ac:dyDescent="0.25">
      <c r="A1234" s="23"/>
      <c r="B1234" s="23" t="str">
        <f t="shared" si="6"/>
        <v/>
      </c>
      <c r="C1234" s="23"/>
      <c r="D1234" s="44"/>
      <c r="E1234" s="23"/>
      <c r="F1234" s="45"/>
      <c r="G1234" s="23"/>
      <c r="H1234" s="23"/>
      <c r="I1234" s="23"/>
      <c r="J1234" s="25"/>
      <c r="K1234" s="23"/>
      <c r="L1234" s="51"/>
      <c r="M1234" s="23"/>
      <c r="N1234" s="26"/>
      <c r="O1234" s="26"/>
      <c r="P1234" s="26"/>
      <c r="Q1234" s="26"/>
      <c r="R1234" s="26"/>
      <c r="S1234" s="26"/>
      <c r="T1234" s="26"/>
      <c r="U1234" s="26"/>
      <c r="V1234" s="26"/>
      <c r="W1234" s="27"/>
    </row>
    <row r="1235" spans="1:23" ht="15.75" customHeight="1" x14ac:dyDescent="0.25">
      <c r="A1235" s="23"/>
      <c r="B1235" s="23" t="str">
        <f t="shared" si="6"/>
        <v/>
      </c>
      <c r="C1235" s="23"/>
      <c r="D1235" s="44"/>
      <c r="E1235" s="23"/>
      <c r="F1235" s="45"/>
      <c r="G1235" s="23"/>
      <c r="H1235" s="23"/>
      <c r="I1235" s="23"/>
      <c r="J1235" s="25"/>
      <c r="K1235" s="23"/>
      <c r="L1235" s="51"/>
      <c r="M1235" s="23"/>
      <c r="N1235" s="26"/>
      <c r="O1235" s="26"/>
      <c r="P1235" s="26"/>
      <c r="Q1235" s="26"/>
      <c r="R1235" s="26"/>
      <c r="S1235" s="26"/>
      <c r="T1235" s="26"/>
      <c r="U1235" s="26"/>
      <c r="V1235" s="26"/>
      <c r="W1235" s="27"/>
    </row>
    <row r="1236" spans="1:23" ht="15.75" customHeight="1" x14ac:dyDescent="0.25">
      <c r="A1236" s="23"/>
      <c r="B1236" s="23" t="str">
        <f t="shared" si="6"/>
        <v/>
      </c>
      <c r="C1236" s="23"/>
      <c r="D1236" s="44"/>
      <c r="E1236" s="23"/>
      <c r="F1236" s="45"/>
      <c r="G1236" s="23"/>
      <c r="H1236" s="23"/>
      <c r="I1236" s="23"/>
      <c r="J1236" s="25"/>
      <c r="K1236" s="23"/>
      <c r="L1236" s="51"/>
      <c r="M1236" s="23"/>
      <c r="N1236" s="26"/>
      <c r="O1236" s="26"/>
      <c r="P1236" s="26"/>
      <c r="Q1236" s="26"/>
      <c r="R1236" s="26"/>
      <c r="S1236" s="26"/>
      <c r="T1236" s="26"/>
      <c r="U1236" s="26"/>
      <c r="V1236" s="26"/>
      <c r="W1236" s="27"/>
    </row>
    <row r="1237" spans="1:23" ht="15.75" customHeight="1" x14ac:dyDescent="0.25">
      <c r="A1237" s="23"/>
      <c r="B1237" s="23" t="str">
        <f t="shared" si="6"/>
        <v/>
      </c>
      <c r="C1237" s="23"/>
      <c r="D1237" s="44"/>
      <c r="E1237" s="23"/>
      <c r="F1237" s="45"/>
      <c r="G1237" s="23"/>
      <c r="H1237" s="23"/>
      <c r="I1237" s="23"/>
      <c r="J1237" s="25"/>
      <c r="K1237" s="23"/>
      <c r="L1237" s="51"/>
      <c r="M1237" s="23"/>
      <c r="N1237" s="26"/>
      <c r="O1237" s="26"/>
      <c r="P1237" s="26"/>
      <c r="Q1237" s="26"/>
      <c r="R1237" s="26"/>
      <c r="S1237" s="26"/>
      <c r="T1237" s="26"/>
      <c r="U1237" s="26"/>
      <c r="V1237" s="26"/>
      <c r="W1237" s="27"/>
    </row>
    <row r="1238" spans="1:23" ht="15.75" customHeight="1" x14ac:dyDescent="0.25">
      <c r="A1238" s="23"/>
      <c r="B1238" s="23" t="str">
        <f t="shared" si="6"/>
        <v/>
      </c>
      <c r="C1238" s="23"/>
      <c r="D1238" s="44"/>
      <c r="E1238" s="23"/>
      <c r="F1238" s="45"/>
      <c r="G1238" s="23"/>
      <c r="H1238" s="23"/>
      <c r="I1238" s="23"/>
      <c r="J1238" s="25"/>
      <c r="K1238" s="23"/>
      <c r="L1238" s="51"/>
      <c r="M1238" s="23"/>
      <c r="N1238" s="26"/>
      <c r="O1238" s="26"/>
      <c r="P1238" s="26"/>
      <c r="Q1238" s="26"/>
      <c r="R1238" s="26"/>
      <c r="S1238" s="26"/>
      <c r="T1238" s="26"/>
      <c r="U1238" s="26"/>
      <c r="V1238" s="26"/>
      <c r="W1238" s="27"/>
    </row>
    <row r="1239" spans="1:23" ht="15.75" customHeight="1" x14ac:dyDescent="0.25">
      <c r="A1239" s="23"/>
      <c r="B1239" s="23" t="str">
        <f t="shared" si="6"/>
        <v/>
      </c>
      <c r="C1239" s="23"/>
      <c r="D1239" s="44"/>
      <c r="E1239" s="23"/>
      <c r="F1239" s="45"/>
      <c r="G1239" s="23"/>
      <c r="H1239" s="23"/>
      <c r="I1239" s="23"/>
      <c r="J1239" s="25"/>
      <c r="K1239" s="23"/>
      <c r="L1239" s="51"/>
      <c r="M1239" s="23"/>
      <c r="N1239" s="26"/>
      <c r="O1239" s="26"/>
      <c r="P1239" s="26"/>
      <c r="Q1239" s="26"/>
      <c r="R1239" s="26"/>
      <c r="S1239" s="26"/>
      <c r="T1239" s="26"/>
      <c r="U1239" s="26"/>
      <c r="V1239" s="26"/>
      <c r="W1239" s="27"/>
    </row>
    <row r="1240" spans="1:23" ht="15.75" customHeight="1" x14ac:dyDescent="0.25">
      <c r="A1240" s="23"/>
      <c r="B1240" s="23" t="str">
        <f t="shared" si="6"/>
        <v/>
      </c>
      <c r="C1240" s="23"/>
      <c r="D1240" s="44"/>
      <c r="E1240" s="23"/>
      <c r="F1240" s="45"/>
      <c r="G1240" s="23"/>
      <c r="H1240" s="23"/>
      <c r="I1240" s="23"/>
      <c r="J1240" s="25"/>
      <c r="K1240" s="23"/>
      <c r="L1240" s="51"/>
      <c r="M1240" s="23"/>
      <c r="N1240" s="26"/>
      <c r="O1240" s="26"/>
      <c r="P1240" s="26"/>
      <c r="Q1240" s="26"/>
      <c r="R1240" s="26"/>
      <c r="S1240" s="26"/>
      <c r="T1240" s="26"/>
      <c r="U1240" s="26"/>
      <c r="V1240" s="26"/>
      <c r="W1240" s="27"/>
    </row>
    <row r="1241" spans="1:23" ht="15.75" customHeight="1" x14ac:dyDescent="0.25">
      <c r="A1241" s="23"/>
      <c r="B1241" s="23" t="str">
        <f t="shared" si="6"/>
        <v/>
      </c>
      <c r="C1241" s="23"/>
      <c r="D1241" s="44"/>
      <c r="E1241" s="23"/>
      <c r="F1241" s="45"/>
      <c r="G1241" s="23"/>
      <c r="H1241" s="23"/>
      <c r="I1241" s="23"/>
      <c r="J1241" s="25"/>
      <c r="K1241" s="23"/>
      <c r="L1241" s="51"/>
      <c r="M1241" s="23"/>
      <c r="N1241" s="26"/>
      <c r="O1241" s="26"/>
      <c r="P1241" s="26"/>
      <c r="Q1241" s="26"/>
      <c r="R1241" s="26"/>
      <c r="S1241" s="26"/>
      <c r="T1241" s="26"/>
      <c r="U1241" s="26"/>
      <c r="V1241" s="26"/>
      <c r="W1241" s="27"/>
    </row>
    <row r="1242" spans="1:23" ht="15.75" customHeight="1" x14ac:dyDescent="0.25">
      <c r="A1242" s="23"/>
      <c r="B1242" s="23" t="str">
        <f t="shared" si="6"/>
        <v/>
      </c>
      <c r="C1242" s="23"/>
      <c r="D1242" s="44"/>
      <c r="E1242" s="23"/>
      <c r="F1242" s="45"/>
      <c r="G1242" s="23"/>
      <c r="H1242" s="23"/>
      <c r="I1242" s="23"/>
      <c r="J1242" s="25"/>
      <c r="K1242" s="23"/>
      <c r="L1242" s="51"/>
      <c r="M1242" s="23"/>
      <c r="N1242" s="26"/>
      <c r="O1242" s="26"/>
      <c r="P1242" s="26"/>
      <c r="Q1242" s="26"/>
      <c r="R1242" s="26"/>
      <c r="S1242" s="26"/>
      <c r="T1242" s="26"/>
      <c r="U1242" s="26"/>
      <c r="V1242" s="26"/>
      <c r="W1242" s="27"/>
    </row>
    <row r="1243" spans="1:23" ht="15.75" customHeight="1" x14ac:dyDescent="0.25">
      <c r="A1243" s="23"/>
      <c r="B1243" s="23" t="str">
        <f t="shared" si="6"/>
        <v/>
      </c>
      <c r="C1243" s="23"/>
      <c r="D1243" s="44"/>
      <c r="E1243" s="23"/>
      <c r="F1243" s="45"/>
      <c r="G1243" s="23"/>
      <c r="H1243" s="23"/>
      <c r="I1243" s="23"/>
      <c r="J1243" s="25"/>
      <c r="K1243" s="23"/>
      <c r="L1243" s="51"/>
      <c r="M1243" s="23"/>
      <c r="N1243" s="26"/>
      <c r="O1243" s="26"/>
      <c r="P1243" s="26"/>
      <c r="Q1243" s="26"/>
      <c r="R1243" s="26"/>
      <c r="S1243" s="26"/>
      <c r="T1243" s="26"/>
      <c r="U1243" s="26"/>
      <c r="V1243" s="26"/>
      <c r="W1243" s="27"/>
    </row>
    <row r="1244" spans="1:23" ht="15.75" customHeight="1" x14ac:dyDescent="0.25">
      <c r="A1244" s="23"/>
      <c r="B1244" s="23" t="str">
        <f t="shared" si="6"/>
        <v/>
      </c>
      <c r="C1244" s="23"/>
      <c r="D1244" s="44"/>
      <c r="E1244" s="23"/>
      <c r="F1244" s="45"/>
      <c r="G1244" s="23"/>
      <c r="H1244" s="23"/>
      <c r="I1244" s="23"/>
      <c r="J1244" s="25"/>
      <c r="K1244" s="23"/>
      <c r="L1244" s="51"/>
      <c r="M1244" s="23"/>
      <c r="N1244" s="26"/>
      <c r="O1244" s="26"/>
      <c r="P1244" s="26"/>
      <c r="Q1244" s="26"/>
      <c r="R1244" s="26"/>
      <c r="S1244" s="26"/>
      <c r="T1244" s="26"/>
      <c r="U1244" s="26"/>
      <c r="V1244" s="26"/>
      <c r="W1244" s="27"/>
    </row>
    <row r="1245" spans="1:23" ht="15.75" customHeight="1" x14ac:dyDescent="0.25">
      <c r="A1245" s="23"/>
      <c r="B1245" s="23" t="str">
        <f t="shared" si="6"/>
        <v/>
      </c>
      <c r="C1245" s="23"/>
      <c r="D1245" s="44"/>
      <c r="E1245" s="23"/>
      <c r="F1245" s="45"/>
      <c r="G1245" s="23"/>
      <c r="H1245" s="23"/>
      <c r="I1245" s="23"/>
      <c r="J1245" s="25"/>
      <c r="K1245" s="23"/>
      <c r="L1245" s="51"/>
      <c r="M1245" s="23"/>
      <c r="N1245" s="26"/>
      <c r="O1245" s="26"/>
      <c r="P1245" s="26"/>
      <c r="Q1245" s="26"/>
      <c r="R1245" s="26"/>
      <c r="S1245" s="26"/>
      <c r="T1245" s="26"/>
      <c r="U1245" s="26"/>
      <c r="V1245" s="26"/>
      <c r="W1245" s="27"/>
    </row>
    <row r="1246" spans="1:23" ht="15.75" customHeight="1" x14ac:dyDescent="0.25">
      <c r="A1246" s="23"/>
      <c r="B1246" s="23" t="str">
        <f t="shared" si="6"/>
        <v/>
      </c>
      <c r="C1246" s="23"/>
      <c r="D1246" s="44"/>
      <c r="E1246" s="23"/>
      <c r="F1246" s="45"/>
      <c r="G1246" s="23"/>
      <c r="H1246" s="23"/>
      <c r="I1246" s="23"/>
      <c r="J1246" s="25"/>
      <c r="K1246" s="23"/>
      <c r="L1246" s="51"/>
      <c r="M1246" s="23"/>
      <c r="N1246" s="26"/>
      <c r="O1246" s="26"/>
      <c r="P1246" s="26"/>
      <c r="Q1246" s="26"/>
      <c r="R1246" s="26"/>
      <c r="S1246" s="26"/>
      <c r="T1246" s="26"/>
      <c r="U1246" s="26"/>
      <c r="V1246" s="26"/>
      <c r="W1246" s="27"/>
    </row>
    <row r="1247" spans="1:23" ht="15.75" customHeight="1" x14ac:dyDescent="0.25">
      <c r="A1247" s="23"/>
      <c r="B1247" s="23" t="str">
        <f t="shared" si="6"/>
        <v/>
      </c>
      <c r="C1247" s="23"/>
      <c r="D1247" s="44"/>
      <c r="E1247" s="23"/>
      <c r="F1247" s="45"/>
      <c r="G1247" s="23"/>
      <c r="H1247" s="23"/>
      <c r="I1247" s="23"/>
      <c r="J1247" s="25"/>
      <c r="K1247" s="23"/>
      <c r="L1247" s="51"/>
      <c r="M1247" s="23"/>
      <c r="N1247" s="26"/>
      <c r="O1247" s="26"/>
      <c r="P1247" s="26"/>
      <c r="Q1247" s="26"/>
      <c r="R1247" s="26"/>
      <c r="S1247" s="26"/>
      <c r="T1247" s="26"/>
      <c r="U1247" s="26"/>
      <c r="V1247" s="26"/>
      <c r="W1247" s="27"/>
    </row>
    <row r="1248" spans="1:23" ht="15.75" customHeight="1" x14ac:dyDescent="0.25">
      <c r="A1248" s="23"/>
      <c r="B1248" s="23" t="str">
        <f t="shared" si="6"/>
        <v/>
      </c>
      <c r="C1248" s="23"/>
      <c r="D1248" s="44"/>
      <c r="E1248" s="23"/>
      <c r="F1248" s="45"/>
      <c r="G1248" s="23"/>
      <c r="H1248" s="23"/>
      <c r="I1248" s="23"/>
      <c r="J1248" s="25"/>
      <c r="K1248" s="23"/>
      <c r="L1248" s="51"/>
      <c r="M1248" s="23"/>
      <c r="N1248" s="26"/>
      <c r="O1248" s="26"/>
      <c r="P1248" s="26"/>
      <c r="Q1248" s="26"/>
      <c r="R1248" s="26"/>
      <c r="S1248" s="26"/>
      <c r="T1248" s="26"/>
      <c r="U1248" s="26"/>
      <c r="V1248" s="26"/>
      <c r="W1248" s="27"/>
    </row>
    <row r="1249" spans="1:23" ht="15.75" customHeight="1" x14ac:dyDescent="0.25">
      <c r="A1249" s="23"/>
      <c r="B1249" s="23" t="str">
        <f t="shared" si="6"/>
        <v/>
      </c>
      <c r="C1249" s="23"/>
      <c r="D1249" s="44"/>
      <c r="E1249" s="23"/>
      <c r="F1249" s="45"/>
      <c r="G1249" s="23"/>
      <c r="H1249" s="23"/>
      <c r="I1249" s="23"/>
      <c r="J1249" s="25"/>
      <c r="K1249" s="23"/>
      <c r="L1249" s="51"/>
      <c r="M1249" s="23"/>
      <c r="N1249" s="26"/>
      <c r="O1249" s="26"/>
      <c r="P1249" s="26"/>
      <c r="Q1249" s="26"/>
      <c r="R1249" s="26"/>
      <c r="S1249" s="26"/>
      <c r="T1249" s="26"/>
      <c r="U1249" s="26"/>
      <c r="V1249" s="26"/>
      <c r="W1249" s="27"/>
    </row>
    <row r="1250" spans="1:23" ht="15.75" customHeight="1" x14ac:dyDescent="0.25">
      <c r="A1250" s="23"/>
      <c r="B1250" s="23" t="str">
        <f t="shared" si="6"/>
        <v/>
      </c>
      <c r="C1250" s="23"/>
      <c r="D1250" s="44"/>
      <c r="E1250" s="23"/>
      <c r="F1250" s="45"/>
      <c r="G1250" s="23"/>
      <c r="H1250" s="23"/>
      <c r="I1250" s="23"/>
      <c r="J1250" s="25"/>
      <c r="K1250" s="23"/>
      <c r="L1250" s="51"/>
      <c r="M1250" s="23"/>
      <c r="N1250" s="26"/>
      <c r="O1250" s="26"/>
      <c r="P1250" s="26"/>
      <c r="Q1250" s="26"/>
      <c r="R1250" s="26"/>
      <c r="S1250" s="26"/>
      <c r="T1250" s="26"/>
      <c r="U1250" s="26"/>
      <c r="V1250" s="26"/>
      <c r="W1250" s="27"/>
    </row>
    <row r="1251" spans="1:23" ht="15.75" customHeight="1" x14ac:dyDescent="0.25">
      <c r="A1251" s="23"/>
      <c r="B1251" s="23" t="str">
        <f t="shared" si="6"/>
        <v/>
      </c>
      <c r="C1251" s="23"/>
      <c r="D1251" s="44"/>
      <c r="E1251" s="23"/>
      <c r="F1251" s="45"/>
      <c r="G1251" s="23"/>
      <c r="H1251" s="23"/>
      <c r="I1251" s="23"/>
      <c r="J1251" s="25"/>
      <c r="K1251" s="23"/>
      <c r="L1251" s="51"/>
      <c r="M1251" s="23"/>
      <c r="N1251" s="26"/>
      <c r="O1251" s="26"/>
      <c r="P1251" s="26"/>
      <c r="Q1251" s="26"/>
      <c r="R1251" s="26"/>
      <c r="S1251" s="26"/>
      <c r="T1251" s="26"/>
      <c r="U1251" s="26"/>
      <c r="V1251" s="26"/>
      <c r="W1251" s="27"/>
    </row>
    <row r="1252" spans="1:23" ht="15.75" customHeight="1" x14ac:dyDescent="0.25">
      <c r="A1252" s="23"/>
      <c r="B1252" s="23" t="str">
        <f t="shared" si="6"/>
        <v/>
      </c>
      <c r="C1252" s="23"/>
      <c r="D1252" s="44"/>
      <c r="E1252" s="23"/>
      <c r="F1252" s="45"/>
      <c r="G1252" s="23"/>
      <c r="H1252" s="23"/>
      <c r="I1252" s="23"/>
      <c r="J1252" s="25"/>
      <c r="K1252" s="23"/>
      <c r="L1252" s="51"/>
      <c r="M1252" s="23"/>
      <c r="N1252" s="26"/>
      <c r="O1252" s="26"/>
      <c r="P1252" s="26"/>
      <c r="Q1252" s="26"/>
      <c r="R1252" s="26"/>
      <c r="S1252" s="26"/>
      <c r="T1252" s="26"/>
      <c r="U1252" s="26"/>
      <c r="V1252" s="26"/>
      <c r="W1252" s="27"/>
    </row>
    <row r="1253" spans="1:23" ht="15.75" customHeight="1" x14ac:dyDescent="0.25">
      <c r="A1253" s="23"/>
      <c r="B1253" s="23" t="str">
        <f t="shared" si="6"/>
        <v/>
      </c>
      <c r="C1253" s="23"/>
      <c r="D1253" s="44"/>
      <c r="E1253" s="23"/>
      <c r="F1253" s="45"/>
      <c r="G1253" s="23"/>
      <c r="H1253" s="23"/>
      <c r="I1253" s="23"/>
      <c r="J1253" s="25"/>
      <c r="K1253" s="23"/>
      <c r="L1253" s="51"/>
      <c r="M1253" s="23"/>
      <c r="N1253" s="26"/>
      <c r="O1253" s="26"/>
      <c r="P1253" s="26"/>
      <c r="Q1253" s="26"/>
      <c r="R1253" s="26"/>
      <c r="S1253" s="26"/>
      <c r="T1253" s="26"/>
      <c r="U1253" s="26"/>
      <c r="V1253" s="26"/>
      <c r="W1253" s="27"/>
    </row>
    <row r="1254" spans="1:23" ht="15.75" customHeight="1" x14ac:dyDescent="0.25">
      <c r="A1254" s="23"/>
      <c r="B1254" s="23" t="str">
        <f t="shared" si="6"/>
        <v/>
      </c>
      <c r="C1254" s="23"/>
      <c r="D1254" s="44"/>
      <c r="E1254" s="23"/>
      <c r="F1254" s="45"/>
      <c r="G1254" s="23"/>
      <c r="H1254" s="23"/>
      <c r="I1254" s="23"/>
      <c r="J1254" s="25"/>
      <c r="K1254" s="23"/>
      <c r="L1254" s="51"/>
      <c r="M1254" s="23"/>
      <c r="N1254" s="26"/>
      <c r="O1254" s="26"/>
      <c r="P1254" s="26"/>
      <c r="Q1254" s="26"/>
      <c r="R1254" s="26"/>
      <c r="S1254" s="26"/>
      <c r="T1254" s="26"/>
      <c r="U1254" s="26"/>
      <c r="V1254" s="26"/>
      <c r="W1254" s="27"/>
    </row>
    <row r="1255" spans="1:23" ht="15.75" customHeight="1" x14ac:dyDescent="0.25">
      <c r="A1255" s="23"/>
      <c r="B1255" s="23" t="str">
        <f t="shared" si="6"/>
        <v/>
      </c>
      <c r="C1255" s="23"/>
      <c r="D1255" s="44"/>
      <c r="E1255" s="23"/>
      <c r="F1255" s="45"/>
      <c r="G1255" s="23"/>
      <c r="H1255" s="23"/>
      <c r="I1255" s="23"/>
      <c r="J1255" s="25"/>
      <c r="K1255" s="23"/>
      <c r="L1255" s="51"/>
      <c r="M1255" s="23"/>
      <c r="N1255" s="26"/>
      <c r="O1255" s="26"/>
      <c r="P1255" s="26"/>
      <c r="Q1255" s="26"/>
      <c r="R1255" s="26"/>
      <c r="S1255" s="26"/>
      <c r="T1255" s="26"/>
      <c r="U1255" s="26"/>
      <c r="V1255" s="26"/>
      <c r="W1255" s="27"/>
    </row>
    <row r="1256" spans="1:23" ht="15.75" customHeight="1" x14ac:dyDescent="0.25">
      <c r="A1256" s="23"/>
      <c r="B1256" s="23" t="str">
        <f t="shared" si="6"/>
        <v/>
      </c>
      <c r="C1256" s="23"/>
      <c r="D1256" s="44"/>
      <c r="E1256" s="23"/>
      <c r="F1256" s="45"/>
      <c r="G1256" s="23"/>
      <c r="H1256" s="23"/>
      <c r="I1256" s="23"/>
      <c r="J1256" s="25"/>
      <c r="K1256" s="23"/>
      <c r="L1256" s="51"/>
      <c r="M1256" s="23"/>
      <c r="N1256" s="26"/>
      <c r="O1256" s="26"/>
      <c r="P1256" s="26"/>
      <c r="Q1256" s="26"/>
      <c r="R1256" s="26"/>
      <c r="S1256" s="26"/>
      <c r="T1256" s="26"/>
      <c r="U1256" s="26"/>
      <c r="V1256" s="26"/>
      <c r="W1256" s="27"/>
    </row>
    <row r="1257" spans="1:23" ht="15.75" customHeight="1" x14ac:dyDescent="0.25">
      <c r="A1257" s="23"/>
      <c r="B1257" s="23" t="str">
        <f t="shared" si="6"/>
        <v/>
      </c>
      <c r="C1257" s="23"/>
      <c r="D1257" s="44"/>
      <c r="E1257" s="23"/>
      <c r="F1257" s="45"/>
      <c r="G1257" s="23"/>
      <c r="H1257" s="23"/>
      <c r="I1257" s="23"/>
      <c r="J1257" s="25"/>
      <c r="K1257" s="23"/>
      <c r="L1257" s="51"/>
      <c r="M1257" s="23"/>
      <c r="N1257" s="26"/>
      <c r="O1257" s="26"/>
      <c r="P1257" s="26"/>
      <c r="Q1257" s="26"/>
      <c r="R1257" s="26"/>
      <c r="S1257" s="26"/>
      <c r="T1257" s="26"/>
      <c r="U1257" s="26"/>
      <c r="V1257" s="26"/>
      <c r="W1257" s="27"/>
    </row>
    <row r="1258" spans="1:23" ht="15.75" customHeight="1" x14ac:dyDescent="0.25">
      <c r="A1258" s="23"/>
      <c r="B1258" s="23" t="str">
        <f t="shared" si="6"/>
        <v/>
      </c>
      <c r="C1258" s="23"/>
      <c r="D1258" s="44"/>
      <c r="E1258" s="23"/>
      <c r="F1258" s="45"/>
      <c r="G1258" s="23"/>
      <c r="H1258" s="23"/>
      <c r="I1258" s="23"/>
      <c r="J1258" s="25"/>
      <c r="K1258" s="23"/>
      <c r="L1258" s="51"/>
      <c r="M1258" s="23"/>
      <c r="N1258" s="26"/>
      <c r="O1258" s="26"/>
      <c r="P1258" s="26"/>
      <c r="Q1258" s="26"/>
      <c r="R1258" s="26"/>
      <c r="S1258" s="26"/>
      <c r="T1258" s="26"/>
      <c r="U1258" s="26"/>
      <c r="V1258" s="26"/>
      <c r="W1258" s="27"/>
    </row>
    <row r="1259" spans="1:23" ht="15.75" customHeight="1" x14ac:dyDescent="0.25">
      <c r="A1259" s="23"/>
      <c r="B1259" s="23" t="str">
        <f t="shared" si="6"/>
        <v/>
      </c>
      <c r="C1259" s="23"/>
      <c r="D1259" s="44"/>
      <c r="E1259" s="23"/>
      <c r="F1259" s="45"/>
      <c r="G1259" s="23"/>
      <c r="H1259" s="23"/>
      <c r="I1259" s="23"/>
      <c r="J1259" s="25"/>
      <c r="K1259" s="23"/>
      <c r="L1259" s="51"/>
      <c r="M1259" s="23"/>
      <c r="N1259" s="26"/>
      <c r="O1259" s="26"/>
      <c r="P1259" s="26"/>
      <c r="Q1259" s="26"/>
      <c r="R1259" s="26"/>
      <c r="S1259" s="26"/>
      <c r="T1259" s="26"/>
      <c r="U1259" s="26"/>
      <c r="V1259" s="26"/>
      <c r="W1259" s="27"/>
    </row>
    <row r="1260" spans="1:23" ht="15.75" customHeight="1" x14ac:dyDescent="0.25">
      <c r="A1260" s="23"/>
      <c r="B1260" s="23" t="str">
        <f t="shared" si="6"/>
        <v/>
      </c>
      <c r="C1260" s="23"/>
      <c r="D1260" s="44"/>
      <c r="E1260" s="23"/>
      <c r="F1260" s="45"/>
      <c r="G1260" s="23"/>
      <c r="H1260" s="23"/>
      <c r="I1260" s="23"/>
      <c r="J1260" s="25"/>
      <c r="K1260" s="23"/>
      <c r="L1260" s="51"/>
      <c r="M1260" s="23"/>
      <c r="N1260" s="26"/>
      <c r="O1260" s="26"/>
      <c r="P1260" s="26"/>
      <c r="Q1260" s="26"/>
      <c r="R1260" s="26"/>
      <c r="S1260" s="26"/>
      <c r="T1260" s="26"/>
      <c r="U1260" s="26"/>
      <c r="V1260" s="26"/>
      <c r="W1260" s="27"/>
    </row>
    <row r="1261" spans="1:23" ht="15.75" customHeight="1" x14ac:dyDescent="0.25">
      <c r="A1261" s="23"/>
      <c r="B1261" s="23" t="str">
        <f t="shared" si="6"/>
        <v/>
      </c>
      <c r="C1261" s="23"/>
      <c r="D1261" s="44"/>
      <c r="E1261" s="23"/>
      <c r="F1261" s="45"/>
      <c r="G1261" s="23"/>
      <c r="H1261" s="23"/>
      <c r="I1261" s="23"/>
      <c r="J1261" s="25"/>
      <c r="K1261" s="23"/>
      <c r="L1261" s="51"/>
      <c r="M1261" s="23"/>
      <c r="N1261" s="26"/>
      <c r="O1261" s="26"/>
      <c r="P1261" s="26"/>
      <c r="Q1261" s="26"/>
      <c r="R1261" s="26"/>
      <c r="S1261" s="26"/>
      <c r="T1261" s="26"/>
      <c r="U1261" s="26"/>
      <c r="V1261" s="26"/>
      <c r="W1261" s="27"/>
    </row>
    <row r="1262" spans="1:23" ht="15.75" customHeight="1" x14ac:dyDescent="0.25">
      <c r="A1262" s="23"/>
      <c r="B1262" s="23" t="str">
        <f t="shared" si="6"/>
        <v/>
      </c>
      <c r="C1262" s="23"/>
      <c r="D1262" s="44"/>
      <c r="E1262" s="23"/>
      <c r="F1262" s="45"/>
      <c r="G1262" s="23"/>
      <c r="H1262" s="23"/>
      <c r="I1262" s="23"/>
      <c r="J1262" s="25"/>
      <c r="K1262" s="23"/>
      <c r="L1262" s="51"/>
      <c r="M1262" s="23"/>
      <c r="N1262" s="26"/>
      <c r="O1262" s="26"/>
      <c r="P1262" s="26"/>
      <c r="Q1262" s="26"/>
      <c r="R1262" s="26"/>
      <c r="S1262" s="26"/>
      <c r="T1262" s="26"/>
      <c r="U1262" s="26"/>
      <c r="V1262" s="26"/>
      <c r="W1262" s="27"/>
    </row>
    <row r="1263" spans="1:23" ht="15.75" customHeight="1" x14ac:dyDescent="0.25">
      <c r="A1263" s="23"/>
      <c r="B1263" s="23" t="str">
        <f t="shared" si="6"/>
        <v/>
      </c>
      <c r="C1263" s="23"/>
      <c r="D1263" s="44"/>
      <c r="E1263" s="23"/>
      <c r="F1263" s="45"/>
      <c r="G1263" s="23"/>
      <c r="H1263" s="23"/>
      <c r="I1263" s="23"/>
      <c r="J1263" s="25"/>
      <c r="K1263" s="23"/>
      <c r="L1263" s="51"/>
      <c r="M1263" s="23"/>
      <c r="N1263" s="26"/>
      <c r="O1263" s="26"/>
      <c r="P1263" s="26"/>
      <c r="Q1263" s="26"/>
      <c r="R1263" s="26"/>
      <c r="S1263" s="26"/>
      <c r="T1263" s="26"/>
      <c r="U1263" s="26"/>
      <c r="V1263" s="26"/>
      <c r="W1263" s="27"/>
    </row>
    <row r="1264" spans="1:23" ht="15.75" customHeight="1" x14ac:dyDescent="0.25">
      <c r="A1264" s="23"/>
      <c r="B1264" s="23" t="str">
        <f t="shared" si="6"/>
        <v/>
      </c>
      <c r="C1264" s="23"/>
      <c r="D1264" s="44"/>
      <c r="E1264" s="23"/>
      <c r="F1264" s="45"/>
      <c r="G1264" s="23"/>
      <c r="H1264" s="23"/>
      <c r="I1264" s="23"/>
      <c r="J1264" s="25"/>
      <c r="K1264" s="23"/>
      <c r="L1264" s="51"/>
      <c r="M1264" s="23"/>
      <c r="N1264" s="26"/>
      <c r="O1264" s="26"/>
      <c r="P1264" s="26"/>
      <c r="Q1264" s="26"/>
      <c r="R1264" s="26"/>
      <c r="S1264" s="26"/>
      <c r="T1264" s="26"/>
      <c r="U1264" s="26"/>
      <c r="V1264" s="26"/>
      <c r="W1264" s="27"/>
    </row>
    <row r="1265" spans="1:23" ht="15.75" customHeight="1" x14ac:dyDescent="0.25">
      <c r="A1265" s="23"/>
      <c r="B1265" s="23" t="str">
        <f t="shared" si="6"/>
        <v/>
      </c>
      <c r="C1265" s="23"/>
      <c r="D1265" s="44"/>
      <c r="E1265" s="23"/>
      <c r="F1265" s="45"/>
      <c r="G1265" s="23"/>
      <c r="H1265" s="23"/>
      <c r="I1265" s="23"/>
      <c r="J1265" s="25"/>
      <c r="K1265" s="23"/>
      <c r="L1265" s="51"/>
      <c r="M1265" s="23"/>
      <c r="N1265" s="26"/>
      <c r="O1265" s="26"/>
      <c r="P1265" s="26"/>
      <c r="Q1265" s="26"/>
      <c r="R1265" s="26"/>
      <c r="S1265" s="26"/>
      <c r="T1265" s="26"/>
      <c r="U1265" s="26"/>
      <c r="V1265" s="26"/>
      <c r="W1265" s="27"/>
    </row>
    <row r="1266" spans="1:23" ht="15.75" customHeight="1" x14ac:dyDescent="0.25">
      <c r="A1266" s="23"/>
      <c r="B1266" s="23" t="str">
        <f t="shared" si="6"/>
        <v/>
      </c>
      <c r="C1266" s="23"/>
      <c r="D1266" s="44"/>
      <c r="E1266" s="23"/>
      <c r="F1266" s="45"/>
      <c r="G1266" s="23"/>
      <c r="H1266" s="23"/>
      <c r="I1266" s="23"/>
      <c r="J1266" s="25"/>
      <c r="K1266" s="23"/>
      <c r="L1266" s="51"/>
      <c r="M1266" s="23"/>
      <c r="N1266" s="26"/>
      <c r="O1266" s="26"/>
      <c r="P1266" s="26"/>
      <c r="Q1266" s="26"/>
      <c r="R1266" s="26"/>
      <c r="S1266" s="26"/>
      <c r="T1266" s="26"/>
      <c r="U1266" s="26"/>
      <c r="V1266" s="26"/>
      <c r="W1266" s="27"/>
    </row>
    <row r="1267" spans="1:23" ht="15.75" customHeight="1" x14ac:dyDescent="0.25">
      <c r="A1267" s="23"/>
      <c r="B1267" s="23" t="str">
        <f t="shared" si="6"/>
        <v/>
      </c>
      <c r="C1267" s="23"/>
      <c r="D1267" s="44"/>
      <c r="E1267" s="23"/>
      <c r="F1267" s="45"/>
      <c r="G1267" s="23"/>
      <c r="H1267" s="23"/>
      <c r="I1267" s="23"/>
      <c r="J1267" s="25"/>
      <c r="K1267" s="23"/>
      <c r="L1267" s="51"/>
      <c r="M1267" s="23"/>
      <c r="N1267" s="26"/>
      <c r="O1267" s="26"/>
      <c r="P1267" s="26"/>
      <c r="Q1267" s="26"/>
      <c r="R1267" s="26"/>
      <c r="S1267" s="26"/>
      <c r="T1267" s="26"/>
      <c r="U1267" s="26"/>
      <c r="V1267" s="26"/>
      <c r="W1267" s="27"/>
    </row>
    <row r="1268" spans="1:23" ht="15.75" customHeight="1" x14ac:dyDescent="0.25">
      <c r="A1268" s="23"/>
      <c r="B1268" s="23" t="str">
        <f t="shared" si="6"/>
        <v/>
      </c>
      <c r="C1268" s="23"/>
      <c r="D1268" s="44"/>
      <c r="E1268" s="23"/>
      <c r="F1268" s="45"/>
      <c r="G1268" s="23"/>
      <c r="H1268" s="23"/>
      <c r="I1268" s="23"/>
      <c r="J1268" s="25"/>
      <c r="K1268" s="23"/>
      <c r="L1268" s="51"/>
      <c r="M1268" s="23"/>
      <c r="N1268" s="26"/>
      <c r="O1268" s="26"/>
      <c r="P1268" s="26"/>
      <c r="Q1268" s="26"/>
      <c r="R1268" s="26"/>
      <c r="S1268" s="26"/>
      <c r="T1268" s="26"/>
      <c r="U1268" s="26"/>
      <c r="V1268" s="26"/>
      <c r="W1268" s="27"/>
    </row>
    <row r="1269" spans="1:23" ht="15.75" customHeight="1" x14ac:dyDescent="0.25">
      <c r="A1269" s="23"/>
      <c r="B1269" s="23" t="str">
        <f t="shared" si="6"/>
        <v/>
      </c>
      <c r="C1269" s="23"/>
      <c r="D1269" s="44"/>
      <c r="E1269" s="23"/>
      <c r="F1269" s="45"/>
      <c r="G1269" s="23"/>
      <c r="H1269" s="23"/>
      <c r="I1269" s="23"/>
      <c r="J1269" s="25"/>
      <c r="K1269" s="23"/>
      <c r="L1269" s="51"/>
      <c r="M1269" s="23"/>
      <c r="N1269" s="26"/>
      <c r="O1269" s="26"/>
      <c r="P1269" s="26"/>
      <c r="Q1269" s="26"/>
      <c r="R1269" s="26"/>
      <c r="S1269" s="26"/>
      <c r="T1269" s="26"/>
      <c r="U1269" s="26"/>
      <c r="V1269" s="26"/>
      <c r="W1269" s="27"/>
    </row>
    <row r="1270" spans="1:23" ht="15.75" customHeight="1" x14ac:dyDescent="0.25">
      <c r="A1270" s="23"/>
      <c r="B1270" s="23" t="str">
        <f t="shared" si="6"/>
        <v/>
      </c>
      <c r="C1270" s="23"/>
      <c r="D1270" s="44"/>
      <c r="E1270" s="23"/>
      <c r="F1270" s="45"/>
      <c r="G1270" s="23"/>
      <c r="H1270" s="23"/>
      <c r="I1270" s="23"/>
      <c r="J1270" s="25"/>
      <c r="K1270" s="23"/>
      <c r="L1270" s="51"/>
      <c r="M1270" s="23"/>
      <c r="N1270" s="26"/>
      <c r="O1270" s="26"/>
      <c r="P1270" s="26"/>
      <c r="Q1270" s="26"/>
      <c r="R1270" s="26"/>
      <c r="S1270" s="26"/>
      <c r="T1270" s="26"/>
      <c r="U1270" s="26"/>
      <c r="V1270" s="26"/>
      <c r="W1270" s="27"/>
    </row>
    <row r="1271" spans="1:23" ht="15.75" customHeight="1" x14ac:dyDescent="0.25">
      <c r="A1271" s="23"/>
      <c r="B1271" s="23" t="str">
        <f t="shared" si="6"/>
        <v/>
      </c>
      <c r="C1271" s="23"/>
      <c r="D1271" s="44"/>
      <c r="E1271" s="23"/>
      <c r="F1271" s="45"/>
      <c r="G1271" s="23"/>
      <c r="H1271" s="23"/>
      <c r="I1271" s="23"/>
      <c r="J1271" s="25"/>
      <c r="K1271" s="23"/>
      <c r="L1271" s="51"/>
      <c r="M1271" s="23"/>
      <c r="N1271" s="26"/>
      <c r="O1271" s="26"/>
      <c r="P1271" s="26"/>
      <c r="Q1271" s="26"/>
      <c r="R1271" s="26"/>
      <c r="S1271" s="26"/>
      <c r="T1271" s="26"/>
      <c r="U1271" s="26"/>
      <c r="V1271" s="26"/>
      <c r="W1271" s="27"/>
    </row>
    <row r="1272" spans="1:23" ht="15.75" customHeight="1" x14ac:dyDescent="0.25">
      <c r="A1272" s="23"/>
      <c r="B1272" s="23" t="str">
        <f t="shared" si="6"/>
        <v/>
      </c>
      <c r="C1272" s="23"/>
      <c r="D1272" s="44"/>
      <c r="E1272" s="23"/>
      <c r="F1272" s="45"/>
      <c r="G1272" s="23"/>
      <c r="H1272" s="23"/>
      <c r="I1272" s="23"/>
      <c r="J1272" s="25"/>
      <c r="K1272" s="23"/>
      <c r="L1272" s="51"/>
      <c r="M1272" s="23"/>
      <c r="N1272" s="26"/>
      <c r="O1272" s="26"/>
      <c r="P1272" s="26"/>
      <c r="Q1272" s="26"/>
      <c r="R1272" s="26"/>
      <c r="S1272" s="26"/>
      <c r="T1272" s="26"/>
      <c r="U1272" s="26"/>
      <c r="V1272" s="26"/>
      <c r="W1272" s="27"/>
    </row>
    <row r="1273" spans="1:23" ht="15.75" customHeight="1" x14ac:dyDescent="0.25">
      <c r="A1273" s="23"/>
      <c r="B1273" s="23" t="str">
        <f t="shared" si="6"/>
        <v/>
      </c>
      <c r="C1273" s="23"/>
      <c r="D1273" s="44"/>
      <c r="E1273" s="23"/>
      <c r="F1273" s="45"/>
      <c r="G1273" s="23"/>
      <c r="H1273" s="23"/>
      <c r="I1273" s="23"/>
      <c r="J1273" s="25"/>
      <c r="K1273" s="23"/>
      <c r="L1273" s="51"/>
      <c r="M1273" s="23"/>
      <c r="N1273" s="26"/>
      <c r="O1273" s="26"/>
      <c r="P1273" s="26"/>
      <c r="Q1273" s="26"/>
      <c r="R1273" s="26"/>
      <c r="S1273" s="26"/>
      <c r="T1273" s="26"/>
      <c r="U1273" s="26"/>
      <c r="V1273" s="26"/>
      <c r="W1273" s="27"/>
    </row>
    <row r="1274" spans="1:23" ht="15.75" customHeight="1" x14ac:dyDescent="0.25">
      <c r="A1274" s="23"/>
      <c r="B1274" s="23" t="str">
        <f t="shared" si="6"/>
        <v/>
      </c>
      <c r="C1274" s="23"/>
      <c r="D1274" s="44"/>
      <c r="E1274" s="23"/>
      <c r="F1274" s="45"/>
      <c r="G1274" s="23"/>
      <c r="H1274" s="23"/>
      <c r="I1274" s="23"/>
      <c r="J1274" s="25"/>
      <c r="K1274" s="23"/>
      <c r="L1274" s="51"/>
      <c r="M1274" s="23"/>
      <c r="N1274" s="26"/>
      <c r="O1274" s="26"/>
      <c r="P1274" s="26"/>
      <c r="Q1274" s="26"/>
      <c r="R1274" s="26"/>
      <c r="S1274" s="26"/>
      <c r="T1274" s="26"/>
      <c r="U1274" s="26"/>
      <c r="V1274" s="26"/>
      <c r="W1274" s="27"/>
    </row>
    <row r="1275" spans="1:23" ht="15.75" customHeight="1" x14ac:dyDescent="0.25">
      <c r="A1275" s="23"/>
      <c r="B1275" s="23" t="str">
        <f t="shared" si="6"/>
        <v/>
      </c>
      <c r="C1275" s="23"/>
      <c r="D1275" s="44"/>
      <c r="E1275" s="23"/>
      <c r="F1275" s="45"/>
      <c r="G1275" s="23"/>
      <c r="H1275" s="23"/>
      <c r="I1275" s="23"/>
      <c r="J1275" s="25"/>
      <c r="K1275" s="23"/>
      <c r="L1275" s="51"/>
      <c r="M1275" s="23"/>
      <c r="N1275" s="26"/>
      <c r="O1275" s="26"/>
      <c r="P1275" s="26"/>
      <c r="Q1275" s="26"/>
      <c r="R1275" s="26"/>
      <c r="S1275" s="26"/>
      <c r="T1275" s="26"/>
      <c r="U1275" s="26"/>
      <c r="V1275" s="26"/>
      <c r="W1275" s="27"/>
    </row>
    <row r="1276" spans="1:23" ht="15.75" customHeight="1" x14ac:dyDescent="0.25">
      <c r="A1276" s="23"/>
      <c r="B1276" s="23" t="str">
        <f t="shared" si="6"/>
        <v/>
      </c>
      <c r="C1276" s="23"/>
      <c r="D1276" s="44"/>
      <c r="E1276" s="23"/>
      <c r="F1276" s="45"/>
      <c r="G1276" s="23"/>
      <c r="H1276" s="23"/>
      <c r="I1276" s="23"/>
      <c r="J1276" s="25"/>
      <c r="K1276" s="23"/>
      <c r="L1276" s="51"/>
      <c r="M1276" s="23"/>
      <c r="N1276" s="26"/>
      <c r="O1276" s="26"/>
      <c r="P1276" s="26"/>
      <c r="Q1276" s="26"/>
      <c r="R1276" s="26"/>
      <c r="S1276" s="26"/>
      <c r="T1276" s="26"/>
      <c r="U1276" s="26"/>
      <c r="V1276" s="26"/>
      <c r="W1276" s="27"/>
    </row>
    <row r="1277" spans="1:23" ht="15.75" customHeight="1" x14ac:dyDescent="0.25">
      <c r="A1277" s="23"/>
      <c r="B1277" s="23" t="str">
        <f t="shared" si="6"/>
        <v/>
      </c>
      <c r="C1277" s="23"/>
      <c r="D1277" s="44"/>
      <c r="E1277" s="23"/>
      <c r="F1277" s="45"/>
      <c r="G1277" s="23"/>
      <c r="H1277" s="23"/>
      <c r="I1277" s="23"/>
      <c r="J1277" s="25"/>
      <c r="K1277" s="23"/>
      <c r="L1277" s="51"/>
      <c r="M1277" s="23"/>
      <c r="N1277" s="26"/>
      <c r="O1277" s="26"/>
      <c r="P1277" s="26"/>
      <c r="Q1277" s="26"/>
      <c r="R1277" s="26"/>
      <c r="S1277" s="26"/>
      <c r="T1277" s="26"/>
      <c r="U1277" s="26"/>
      <c r="V1277" s="26"/>
      <c r="W1277" s="27"/>
    </row>
    <row r="1278" spans="1:23" ht="15.75" customHeight="1" x14ac:dyDescent="0.25">
      <c r="A1278" s="23"/>
      <c r="B1278" s="23" t="str">
        <f t="shared" si="6"/>
        <v/>
      </c>
      <c r="C1278" s="23"/>
      <c r="D1278" s="44"/>
      <c r="E1278" s="23"/>
      <c r="F1278" s="45"/>
      <c r="G1278" s="23"/>
      <c r="H1278" s="23"/>
      <c r="I1278" s="23"/>
      <c r="J1278" s="25"/>
      <c r="K1278" s="23"/>
      <c r="L1278" s="51"/>
      <c r="M1278" s="23"/>
      <c r="N1278" s="26"/>
      <c r="O1278" s="26"/>
      <c r="P1278" s="26"/>
      <c r="Q1278" s="26"/>
      <c r="R1278" s="26"/>
      <c r="S1278" s="26"/>
      <c r="T1278" s="26"/>
      <c r="U1278" s="26"/>
      <c r="V1278" s="26"/>
      <c r="W1278" s="27"/>
    </row>
    <row r="1279" spans="1:23" ht="15.75" customHeight="1" x14ac:dyDescent="0.25">
      <c r="A1279" s="23"/>
      <c r="B1279" s="23" t="str">
        <f t="shared" si="6"/>
        <v/>
      </c>
      <c r="C1279" s="23"/>
      <c r="D1279" s="44"/>
      <c r="E1279" s="23"/>
      <c r="F1279" s="45"/>
      <c r="G1279" s="23"/>
      <c r="H1279" s="23"/>
      <c r="I1279" s="23"/>
      <c r="J1279" s="25"/>
      <c r="K1279" s="23"/>
      <c r="L1279" s="51"/>
      <c r="M1279" s="23"/>
      <c r="N1279" s="26"/>
      <c r="O1279" s="26"/>
      <c r="P1279" s="26"/>
      <c r="Q1279" s="26"/>
      <c r="R1279" s="26"/>
      <c r="S1279" s="26"/>
      <c r="T1279" s="26"/>
      <c r="U1279" s="26"/>
      <c r="V1279" s="26"/>
      <c r="W1279" s="27"/>
    </row>
    <row r="1280" spans="1:23" ht="15.75" customHeight="1" x14ac:dyDescent="0.25">
      <c r="A1280" s="23"/>
      <c r="B1280" s="23" t="str">
        <f t="shared" si="6"/>
        <v/>
      </c>
      <c r="C1280" s="23"/>
      <c r="D1280" s="44"/>
      <c r="E1280" s="23"/>
      <c r="F1280" s="45"/>
      <c r="G1280" s="23"/>
      <c r="H1280" s="23"/>
      <c r="I1280" s="23"/>
      <c r="J1280" s="25"/>
      <c r="K1280" s="23"/>
      <c r="L1280" s="51"/>
      <c r="M1280" s="23"/>
      <c r="N1280" s="26"/>
      <c r="O1280" s="26"/>
      <c r="P1280" s="26"/>
      <c r="Q1280" s="26"/>
      <c r="R1280" s="26"/>
      <c r="S1280" s="26"/>
      <c r="T1280" s="26"/>
      <c r="U1280" s="26"/>
      <c r="V1280" s="26"/>
      <c r="W1280" s="27"/>
    </row>
    <row r="1281" spans="1:23" ht="15.75" customHeight="1" x14ac:dyDescent="0.25">
      <c r="A1281" s="23"/>
      <c r="B1281" s="23" t="str">
        <f t="shared" si="6"/>
        <v/>
      </c>
      <c r="C1281" s="23"/>
      <c r="D1281" s="44"/>
      <c r="E1281" s="23"/>
      <c r="F1281" s="45"/>
      <c r="G1281" s="23"/>
      <c r="H1281" s="23"/>
      <c r="I1281" s="23"/>
      <c r="J1281" s="25"/>
      <c r="K1281" s="23"/>
      <c r="L1281" s="51"/>
      <c r="M1281" s="23"/>
      <c r="N1281" s="26"/>
      <c r="O1281" s="26"/>
      <c r="P1281" s="26"/>
      <c r="Q1281" s="26"/>
      <c r="R1281" s="26"/>
      <c r="S1281" s="26"/>
      <c r="T1281" s="26"/>
      <c r="U1281" s="26"/>
      <c r="V1281" s="26"/>
      <c r="W1281" s="27"/>
    </row>
    <row r="1282" spans="1:23" ht="15.75" customHeight="1" x14ac:dyDescent="0.25">
      <c r="A1282" s="23"/>
      <c r="B1282" s="23" t="str">
        <f t="shared" si="6"/>
        <v/>
      </c>
      <c r="C1282" s="23"/>
      <c r="D1282" s="44"/>
      <c r="E1282" s="23"/>
      <c r="F1282" s="45"/>
      <c r="G1282" s="23"/>
      <c r="H1282" s="23"/>
      <c r="I1282" s="23"/>
      <c r="J1282" s="25"/>
      <c r="K1282" s="23"/>
      <c r="L1282" s="51"/>
      <c r="M1282" s="23"/>
      <c r="N1282" s="26"/>
      <c r="O1282" s="26"/>
      <c r="P1282" s="26"/>
      <c r="Q1282" s="26"/>
      <c r="R1282" s="26"/>
      <c r="S1282" s="26"/>
      <c r="T1282" s="26"/>
      <c r="U1282" s="26"/>
      <c r="V1282" s="26"/>
      <c r="W1282" s="27"/>
    </row>
    <row r="1283" spans="1:23" ht="15.75" customHeight="1" x14ac:dyDescent="0.25">
      <c r="A1283" s="23"/>
      <c r="B1283" s="23" t="str">
        <f t="shared" si="6"/>
        <v/>
      </c>
      <c r="C1283" s="23"/>
      <c r="D1283" s="44"/>
      <c r="E1283" s="23"/>
      <c r="F1283" s="45"/>
      <c r="G1283" s="23"/>
      <c r="H1283" s="23"/>
      <c r="I1283" s="23"/>
      <c r="J1283" s="25"/>
      <c r="K1283" s="23"/>
      <c r="L1283" s="51"/>
      <c r="M1283" s="23"/>
      <c r="N1283" s="26"/>
      <c r="O1283" s="26"/>
      <c r="P1283" s="26"/>
      <c r="Q1283" s="26"/>
      <c r="R1283" s="26"/>
      <c r="S1283" s="26"/>
      <c r="T1283" s="26"/>
      <c r="U1283" s="26"/>
      <c r="V1283" s="26"/>
      <c r="W1283" s="27"/>
    </row>
    <row r="1284" spans="1:23" ht="15.75" customHeight="1" x14ac:dyDescent="0.25">
      <c r="A1284" s="23"/>
      <c r="B1284" s="23" t="str">
        <f t="shared" si="6"/>
        <v/>
      </c>
      <c r="C1284" s="23"/>
      <c r="D1284" s="44"/>
      <c r="E1284" s="23"/>
      <c r="F1284" s="45"/>
      <c r="G1284" s="23"/>
      <c r="H1284" s="23"/>
      <c r="I1284" s="23"/>
      <c r="J1284" s="25"/>
      <c r="K1284" s="23"/>
      <c r="L1284" s="51"/>
      <c r="M1284" s="23"/>
      <c r="N1284" s="26"/>
      <c r="O1284" s="26"/>
      <c r="P1284" s="26"/>
      <c r="Q1284" s="26"/>
      <c r="R1284" s="26"/>
      <c r="S1284" s="26"/>
      <c r="T1284" s="26"/>
      <c r="U1284" s="26"/>
      <c r="V1284" s="26"/>
      <c r="W1284" s="27"/>
    </row>
    <row r="1285" spans="1:23" ht="15.75" customHeight="1" x14ac:dyDescent="0.25">
      <c r="A1285" s="23"/>
      <c r="B1285" s="23" t="str">
        <f t="shared" si="6"/>
        <v/>
      </c>
      <c r="C1285" s="23"/>
      <c r="D1285" s="44"/>
      <c r="E1285" s="23"/>
      <c r="F1285" s="45"/>
      <c r="G1285" s="23"/>
      <c r="H1285" s="23"/>
      <c r="I1285" s="23"/>
      <c r="J1285" s="25"/>
      <c r="K1285" s="23"/>
      <c r="L1285" s="51"/>
      <c r="M1285" s="23"/>
      <c r="N1285" s="26"/>
      <c r="O1285" s="26"/>
      <c r="P1285" s="26"/>
      <c r="Q1285" s="26"/>
      <c r="R1285" s="26"/>
      <c r="S1285" s="26"/>
      <c r="T1285" s="26"/>
      <c r="U1285" s="26"/>
      <c r="V1285" s="26"/>
      <c r="W1285" s="27"/>
    </row>
    <row r="1286" spans="1:23" ht="15.75" customHeight="1" x14ac:dyDescent="0.25">
      <c r="A1286" s="23"/>
      <c r="B1286" s="23" t="str">
        <f t="shared" si="6"/>
        <v/>
      </c>
      <c r="C1286" s="23"/>
      <c r="D1286" s="44"/>
      <c r="E1286" s="23"/>
      <c r="F1286" s="45"/>
      <c r="G1286" s="23"/>
      <c r="H1286" s="23"/>
      <c r="I1286" s="23"/>
      <c r="J1286" s="25"/>
      <c r="K1286" s="23"/>
      <c r="L1286" s="51"/>
      <c r="M1286" s="23"/>
      <c r="N1286" s="26"/>
      <c r="O1286" s="26"/>
      <c r="P1286" s="26"/>
      <c r="Q1286" s="26"/>
      <c r="R1286" s="26"/>
      <c r="S1286" s="26"/>
      <c r="T1286" s="26"/>
      <c r="U1286" s="26"/>
      <c r="V1286" s="26"/>
      <c r="W1286" s="27"/>
    </row>
    <row r="1287" spans="1:23" ht="15.75" customHeight="1" x14ac:dyDescent="0.25">
      <c r="A1287" s="23"/>
      <c r="B1287" s="23" t="str">
        <f t="shared" si="6"/>
        <v/>
      </c>
      <c r="C1287" s="23"/>
      <c r="D1287" s="44"/>
      <c r="E1287" s="23"/>
      <c r="F1287" s="45"/>
      <c r="G1287" s="23"/>
      <c r="H1287" s="23"/>
      <c r="I1287" s="23"/>
      <c r="J1287" s="25"/>
      <c r="K1287" s="23"/>
      <c r="L1287" s="51"/>
      <c r="M1287" s="23"/>
      <c r="N1287" s="26"/>
      <c r="O1287" s="26"/>
      <c r="P1287" s="26"/>
      <c r="Q1287" s="26"/>
      <c r="R1287" s="26"/>
      <c r="S1287" s="26"/>
      <c r="T1287" s="26"/>
      <c r="U1287" s="26"/>
      <c r="V1287" s="26"/>
      <c r="W1287" s="27"/>
    </row>
    <row r="1288" spans="1:23" ht="15.75" customHeight="1" x14ac:dyDescent="0.25">
      <c r="A1288" s="23"/>
      <c r="B1288" s="23" t="str">
        <f t="shared" si="6"/>
        <v/>
      </c>
      <c r="C1288" s="23"/>
      <c r="D1288" s="44"/>
      <c r="E1288" s="23"/>
      <c r="F1288" s="45"/>
      <c r="G1288" s="23"/>
      <c r="H1288" s="23"/>
      <c r="I1288" s="23"/>
      <c r="J1288" s="25"/>
      <c r="K1288" s="23"/>
      <c r="L1288" s="51"/>
      <c r="M1288" s="23"/>
      <c r="N1288" s="26"/>
      <c r="O1288" s="26"/>
      <c r="P1288" s="26"/>
      <c r="Q1288" s="26"/>
      <c r="R1288" s="26"/>
      <c r="S1288" s="26"/>
      <c r="T1288" s="26"/>
      <c r="U1288" s="26"/>
      <c r="V1288" s="26"/>
      <c r="W1288" s="27"/>
    </row>
    <row r="1289" spans="1:23" ht="15.75" customHeight="1" x14ac:dyDescent="0.25">
      <c r="A1289" s="23"/>
      <c r="B1289" s="23" t="str">
        <f t="shared" si="6"/>
        <v/>
      </c>
      <c r="C1289" s="23"/>
      <c r="D1289" s="44"/>
      <c r="E1289" s="23"/>
      <c r="F1289" s="45"/>
      <c r="G1289" s="23"/>
      <c r="H1289" s="23"/>
      <c r="I1289" s="23"/>
      <c r="J1289" s="25"/>
      <c r="K1289" s="23"/>
      <c r="L1289" s="51"/>
      <c r="M1289" s="23"/>
      <c r="N1289" s="26"/>
      <c r="O1289" s="26"/>
      <c r="P1289" s="26"/>
      <c r="Q1289" s="26"/>
      <c r="R1289" s="26"/>
      <c r="S1289" s="26"/>
      <c r="T1289" s="26"/>
      <c r="U1289" s="26"/>
      <c r="V1289" s="26"/>
      <c r="W1289" s="27"/>
    </row>
    <row r="1290" spans="1:23" ht="15.75" customHeight="1" x14ac:dyDescent="0.25">
      <c r="A1290" s="23"/>
      <c r="B1290" s="23" t="str">
        <f t="shared" si="6"/>
        <v/>
      </c>
      <c r="C1290" s="23"/>
      <c r="D1290" s="44"/>
      <c r="E1290" s="23"/>
      <c r="F1290" s="45"/>
      <c r="G1290" s="23"/>
      <c r="H1290" s="23"/>
      <c r="I1290" s="23"/>
      <c r="J1290" s="25"/>
      <c r="K1290" s="23"/>
      <c r="L1290" s="51"/>
      <c r="M1290" s="23"/>
      <c r="N1290" s="26"/>
      <c r="O1290" s="26"/>
      <c r="P1290" s="26"/>
      <c r="Q1290" s="26"/>
      <c r="R1290" s="26"/>
      <c r="S1290" s="26"/>
      <c r="T1290" s="26"/>
      <c r="U1290" s="26"/>
      <c r="V1290" s="26"/>
      <c r="W1290" s="27"/>
    </row>
    <row r="1291" spans="1:23" ht="15.75" customHeight="1" x14ac:dyDescent="0.25">
      <c r="A1291" s="23"/>
      <c r="B1291" s="23" t="str">
        <f t="shared" si="6"/>
        <v/>
      </c>
      <c r="C1291" s="23"/>
      <c r="D1291" s="44"/>
      <c r="E1291" s="23"/>
      <c r="F1291" s="45"/>
      <c r="G1291" s="23"/>
      <c r="H1291" s="23"/>
      <c r="I1291" s="23"/>
      <c r="J1291" s="25"/>
      <c r="K1291" s="23"/>
      <c r="L1291" s="51"/>
      <c r="M1291" s="23"/>
      <c r="N1291" s="26"/>
      <c r="O1291" s="26"/>
      <c r="P1291" s="26"/>
      <c r="Q1291" s="26"/>
      <c r="R1291" s="26"/>
      <c r="S1291" s="26"/>
      <c r="T1291" s="26"/>
      <c r="U1291" s="26"/>
      <c r="V1291" s="26"/>
      <c r="W1291" s="27"/>
    </row>
    <row r="1292" spans="1:23" ht="15.75" customHeight="1" x14ac:dyDescent="0.25">
      <c r="A1292" s="23"/>
      <c r="B1292" s="23" t="str">
        <f t="shared" si="6"/>
        <v/>
      </c>
      <c r="C1292" s="23"/>
      <c r="D1292" s="44"/>
      <c r="E1292" s="23"/>
      <c r="F1292" s="45"/>
      <c r="G1292" s="23"/>
      <c r="H1292" s="23"/>
      <c r="I1292" s="23"/>
      <c r="J1292" s="25"/>
      <c r="K1292" s="23"/>
      <c r="L1292" s="51"/>
      <c r="M1292" s="23"/>
      <c r="N1292" s="26"/>
      <c r="O1292" s="26"/>
      <c r="P1292" s="26"/>
      <c r="Q1292" s="26"/>
      <c r="R1292" s="26"/>
      <c r="S1292" s="26"/>
      <c r="T1292" s="26"/>
      <c r="U1292" s="26"/>
      <c r="V1292" s="26"/>
      <c r="W1292" s="27"/>
    </row>
    <row r="1293" spans="1:23" ht="15.75" customHeight="1" x14ac:dyDescent="0.25">
      <c r="A1293" s="23"/>
      <c r="B1293" s="23" t="str">
        <f t="shared" si="6"/>
        <v/>
      </c>
      <c r="C1293" s="23"/>
      <c r="D1293" s="44"/>
      <c r="E1293" s="23"/>
      <c r="F1293" s="45"/>
      <c r="G1293" s="23"/>
      <c r="H1293" s="23"/>
      <c r="I1293" s="23"/>
      <c r="J1293" s="25"/>
      <c r="K1293" s="23"/>
      <c r="L1293" s="51"/>
      <c r="M1293" s="23"/>
      <c r="N1293" s="26"/>
      <c r="O1293" s="26"/>
      <c r="P1293" s="26"/>
      <c r="Q1293" s="26"/>
      <c r="R1293" s="26"/>
      <c r="S1293" s="26"/>
      <c r="T1293" s="26"/>
      <c r="U1293" s="26"/>
      <c r="V1293" s="26"/>
      <c r="W1293" s="27"/>
    </row>
    <row r="1294" spans="1:23" ht="15.75" customHeight="1" x14ac:dyDescent="0.25">
      <c r="A1294" s="23"/>
      <c r="B1294" s="23" t="str">
        <f t="shared" si="6"/>
        <v/>
      </c>
      <c r="C1294" s="23"/>
      <c r="D1294" s="44"/>
      <c r="E1294" s="23"/>
      <c r="F1294" s="45"/>
      <c r="G1294" s="23"/>
      <c r="H1294" s="23"/>
      <c r="I1294" s="23"/>
      <c r="J1294" s="25"/>
      <c r="K1294" s="23"/>
      <c r="L1294" s="51"/>
      <c r="M1294" s="23"/>
      <c r="N1294" s="26"/>
      <c r="O1294" s="26"/>
      <c r="P1294" s="26"/>
      <c r="Q1294" s="26"/>
      <c r="R1294" s="26"/>
      <c r="S1294" s="26"/>
      <c r="T1294" s="26"/>
      <c r="U1294" s="26"/>
      <c r="V1294" s="26"/>
      <c r="W1294" s="27"/>
    </row>
    <row r="1295" spans="1:23" ht="15.75" customHeight="1" x14ac:dyDescent="0.25">
      <c r="A1295" s="23"/>
      <c r="B1295" s="23" t="str">
        <f t="shared" si="6"/>
        <v/>
      </c>
      <c r="C1295" s="23"/>
      <c r="D1295" s="44"/>
      <c r="E1295" s="23"/>
      <c r="F1295" s="45"/>
      <c r="G1295" s="23"/>
      <c r="H1295" s="23"/>
      <c r="I1295" s="23"/>
      <c r="J1295" s="25"/>
      <c r="K1295" s="23"/>
      <c r="L1295" s="51"/>
      <c r="M1295" s="23"/>
      <c r="N1295" s="26"/>
      <c r="O1295" s="26"/>
      <c r="P1295" s="26"/>
      <c r="Q1295" s="26"/>
      <c r="R1295" s="26"/>
      <c r="S1295" s="26"/>
      <c r="T1295" s="26"/>
      <c r="U1295" s="26"/>
      <c r="V1295" s="26"/>
      <c r="W1295" s="27"/>
    </row>
    <row r="1296" spans="1:23" ht="15.75" customHeight="1" x14ac:dyDescent="0.25">
      <c r="A1296" s="23"/>
      <c r="B1296" s="23" t="str">
        <f t="shared" si="6"/>
        <v/>
      </c>
      <c r="C1296" s="23"/>
      <c r="D1296" s="44"/>
      <c r="E1296" s="23"/>
      <c r="F1296" s="45"/>
      <c r="G1296" s="23"/>
      <c r="H1296" s="23"/>
      <c r="I1296" s="23"/>
      <c r="J1296" s="25"/>
      <c r="K1296" s="23"/>
      <c r="L1296" s="51"/>
      <c r="M1296" s="23"/>
      <c r="N1296" s="26"/>
      <c r="O1296" s="26"/>
      <c r="P1296" s="26"/>
      <c r="Q1296" s="26"/>
      <c r="R1296" s="26"/>
      <c r="S1296" s="26"/>
      <c r="T1296" s="26"/>
      <c r="U1296" s="26"/>
      <c r="V1296" s="26"/>
      <c r="W1296" s="27"/>
    </row>
    <row r="1297" spans="1:23" ht="15.75" customHeight="1" x14ac:dyDescent="0.25">
      <c r="A1297" s="23"/>
      <c r="B1297" s="23" t="str">
        <f t="shared" si="6"/>
        <v/>
      </c>
      <c r="C1297" s="23"/>
      <c r="D1297" s="44"/>
      <c r="E1297" s="23"/>
      <c r="F1297" s="45"/>
      <c r="G1297" s="23"/>
      <c r="H1297" s="23"/>
      <c r="I1297" s="23"/>
      <c r="J1297" s="25"/>
      <c r="K1297" s="23"/>
      <c r="L1297" s="51"/>
      <c r="M1297" s="23"/>
      <c r="N1297" s="26"/>
      <c r="O1297" s="26"/>
      <c r="P1297" s="26"/>
      <c r="Q1297" s="26"/>
      <c r="R1297" s="26"/>
      <c r="S1297" s="26"/>
      <c r="T1297" s="26"/>
      <c r="U1297" s="26"/>
      <c r="V1297" s="26"/>
      <c r="W1297" s="27"/>
    </row>
    <row r="1298" spans="1:23" ht="15.75" customHeight="1" x14ac:dyDescent="0.25">
      <c r="A1298" s="23"/>
      <c r="B1298" s="23" t="str">
        <f t="shared" si="6"/>
        <v/>
      </c>
      <c r="C1298" s="23"/>
      <c r="D1298" s="44"/>
      <c r="E1298" s="23"/>
      <c r="F1298" s="45"/>
      <c r="G1298" s="23"/>
      <c r="H1298" s="23"/>
      <c r="I1298" s="23"/>
      <c r="J1298" s="25"/>
      <c r="K1298" s="23"/>
      <c r="L1298" s="51"/>
      <c r="M1298" s="23"/>
      <c r="N1298" s="26"/>
      <c r="O1298" s="26"/>
      <c r="P1298" s="26"/>
      <c r="Q1298" s="26"/>
      <c r="R1298" s="26"/>
      <c r="S1298" s="26"/>
      <c r="T1298" s="26"/>
      <c r="U1298" s="26"/>
      <c r="V1298" s="26"/>
      <c r="W1298" s="27"/>
    </row>
    <row r="1299" spans="1:23" ht="15.75" customHeight="1" x14ac:dyDescent="0.25">
      <c r="A1299" s="23"/>
      <c r="B1299" s="23" t="str">
        <f t="shared" si="6"/>
        <v/>
      </c>
      <c r="C1299" s="23"/>
      <c r="D1299" s="44"/>
      <c r="E1299" s="23"/>
      <c r="F1299" s="45"/>
      <c r="G1299" s="23"/>
      <c r="H1299" s="23"/>
      <c r="I1299" s="23"/>
      <c r="J1299" s="25"/>
      <c r="K1299" s="23"/>
      <c r="L1299" s="51"/>
      <c r="M1299" s="23"/>
      <c r="N1299" s="26"/>
      <c r="O1299" s="26"/>
      <c r="P1299" s="26"/>
      <c r="Q1299" s="26"/>
      <c r="R1299" s="26"/>
      <c r="S1299" s="26"/>
      <c r="T1299" s="26"/>
      <c r="U1299" s="26"/>
      <c r="V1299" s="26"/>
      <c r="W1299" s="27"/>
    </row>
    <row r="1300" spans="1:23" ht="15.75" customHeight="1" x14ac:dyDescent="0.25">
      <c r="A1300" s="23"/>
      <c r="B1300" s="23" t="str">
        <f t="shared" si="6"/>
        <v/>
      </c>
      <c r="C1300" s="23"/>
      <c r="D1300" s="44"/>
      <c r="E1300" s="23"/>
      <c r="F1300" s="45"/>
      <c r="G1300" s="23"/>
      <c r="H1300" s="23"/>
      <c r="I1300" s="23"/>
      <c r="J1300" s="25"/>
      <c r="K1300" s="23"/>
      <c r="L1300" s="51"/>
      <c r="M1300" s="23"/>
      <c r="N1300" s="26"/>
      <c r="O1300" s="26"/>
      <c r="P1300" s="26"/>
      <c r="Q1300" s="26"/>
      <c r="R1300" s="26"/>
      <c r="S1300" s="26"/>
      <c r="T1300" s="26"/>
      <c r="U1300" s="26"/>
      <c r="V1300" s="26"/>
      <c r="W1300" s="27"/>
    </row>
    <row r="1301" spans="1:23" ht="15.75" customHeight="1" x14ac:dyDescent="0.25">
      <c r="A1301" s="23"/>
      <c r="B1301" s="23" t="str">
        <f t="shared" si="6"/>
        <v/>
      </c>
      <c r="C1301" s="23"/>
      <c r="D1301" s="44"/>
      <c r="E1301" s="23"/>
      <c r="F1301" s="45"/>
      <c r="G1301" s="23"/>
      <c r="H1301" s="23"/>
      <c r="I1301" s="23"/>
      <c r="J1301" s="25"/>
      <c r="K1301" s="23"/>
      <c r="L1301" s="51"/>
      <c r="M1301" s="23"/>
      <c r="N1301" s="26"/>
      <c r="O1301" s="26"/>
      <c r="P1301" s="26"/>
      <c r="Q1301" s="26"/>
      <c r="R1301" s="26"/>
      <c r="S1301" s="26"/>
      <c r="T1301" s="26"/>
      <c r="U1301" s="26"/>
      <c r="V1301" s="26"/>
      <c r="W1301" s="27"/>
    </row>
    <row r="1302" spans="1:23" ht="15.75" customHeight="1" x14ac:dyDescent="0.25">
      <c r="A1302" s="23"/>
      <c r="B1302" s="23" t="str">
        <f t="shared" si="6"/>
        <v/>
      </c>
      <c r="C1302" s="23"/>
      <c r="D1302" s="44"/>
      <c r="E1302" s="23"/>
      <c r="F1302" s="45"/>
      <c r="G1302" s="23"/>
      <c r="H1302" s="23"/>
      <c r="I1302" s="23"/>
      <c r="J1302" s="25"/>
      <c r="K1302" s="23"/>
      <c r="L1302" s="51"/>
      <c r="M1302" s="23"/>
      <c r="N1302" s="26"/>
      <c r="O1302" s="26"/>
      <c r="P1302" s="26"/>
      <c r="Q1302" s="26"/>
      <c r="R1302" s="26"/>
      <c r="S1302" s="26"/>
      <c r="T1302" s="26"/>
      <c r="U1302" s="26"/>
      <c r="V1302" s="26"/>
      <c r="W1302" s="27"/>
    </row>
    <row r="1303" spans="1:23" ht="15.75" customHeight="1" x14ac:dyDescent="0.25">
      <c r="A1303" s="23"/>
      <c r="B1303" s="23" t="str">
        <f t="shared" si="6"/>
        <v/>
      </c>
      <c r="C1303" s="23"/>
      <c r="D1303" s="44"/>
      <c r="E1303" s="23"/>
      <c r="F1303" s="45"/>
      <c r="G1303" s="23"/>
      <c r="H1303" s="23"/>
      <c r="I1303" s="23"/>
      <c r="J1303" s="25"/>
      <c r="K1303" s="23"/>
      <c r="L1303" s="51"/>
      <c r="M1303" s="23"/>
      <c r="N1303" s="26"/>
      <c r="O1303" s="26"/>
      <c r="P1303" s="26"/>
      <c r="Q1303" s="26"/>
      <c r="R1303" s="26"/>
      <c r="S1303" s="26"/>
      <c r="T1303" s="26"/>
      <c r="U1303" s="26"/>
      <c r="V1303" s="26"/>
      <c r="W1303" s="27"/>
    </row>
    <row r="1304" spans="1:23" ht="15.75" customHeight="1" x14ac:dyDescent="0.25">
      <c r="A1304" s="23"/>
      <c r="B1304" s="23" t="str">
        <f t="shared" si="6"/>
        <v/>
      </c>
      <c r="C1304" s="23"/>
      <c r="D1304" s="44"/>
      <c r="E1304" s="23"/>
      <c r="F1304" s="45"/>
      <c r="G1304" s="23"/>
      <c r="H1304" s="23"/>
      <c r="I1304" s="23"/>
      <c r="J1304" s="25"/>
      <c r="K1304" s="23"/>
      <c r="L1304" s="51"/>
      <c r="M1304" s="23"/>
      <c r="N1304" s="26"/>
      <c r="O1304" s="26"/>
      <c r="P1304" s="26"/>
      <c r="Q1304" s="26"/>
      <c r="R1304" s="26"/>
      <c r="S1304" s="26"/>
      <c r="T1304" s="26"/>
      <c r="U1304" s="26"/>
      <c r="V1304" s="26"/>
      <c r="W1304" s="27"/>
    </row>
    <row r="1305" spans="1:23" ht="15.75" customHeight="1" x14ac:dyDescent="0.25">
      <c r="A1305" s="23"/>
      <c r="B1305" s="23" t="str">
        <f t="shared" si="6"/>
        <v/>
      </c>
      <c r="C1305" s="23"/>
      <c r="D1305" s="44"/>
      <c r="E1305" s="23"/>
      <c r="F1305" s="45"/>
      <c r="G1305" s="23"/>
      <c r="H1305" s="23"/>
      <c r="I1305" s="23"/>
      <c r="J1305" s="25"/>
      <c r="K1305" s="23"/>
      <c r="L1305" s="51"/>
      <c r="M1305" s="23"/>
      <c r="N1305" s="26"/>
      <c r="O1305" s="26"/>
      <c r="P1305" s="26"/>
      <c r="Q1305" s="26"/>
      <c r="R1305" s="26"/>
      <c r="S1305" s="26"/>
      <c r="T1305" s="26"/>
      <c r="U1305" s="26"/>
      <c r="V1305" s="26"/>
      <c r="W1305" s="27"/>
    </row>
    <row r="1306" spans="1:23" ht="15.75" customHeight="1" x14ac:dyDescent="0.25">
      <c r="A1306" s="23"/>
      <c r="B1306" s="23" t="str">
        <f t="shared" si="6"/>
        <v/>
      </c>
      <c r="C1306" s="23"/>
      <c r="D1306" s="44"/>
      <c r="E1306" s="23"/>
      <c r="F1306" s="45"/>
      <c r="G1306" s="23"/>
      <c r="H1306" s="23"/>
      <c r="I1306" s="23"/>
      <c r="J1306" s="25"/>
      <c r="K1306" s="23"/>
      <c r="L1306" s="51"/>
      <c r="M1306" s="23"/>
      <c r="N1306" s="26"/>
      <c r="O1306" s="26"/>
      <c r="P1306" s="26"/>
      <c r="Q1306" s="26"/>
      <c r="R1306" s="26"/>
      <c r="S1306" s="26"/>
      <c r="T1306" s="26"/>
      <c r="U1306" s="26"/>
      <c r="V1306" s="26"/>
      <c r="W1306" s="27"/>
    </row>
    <row r="1307" spans="1:23" ht="15.75" customHeight="1" x14ac:dyDescent="0.25">
      <c r="A1307" s="23"/>
      <c r="B1307" s="23" t="str">
        <f t="shared" si="6"/>
        <v/>
      </c>
      <c r="C1307" s="23"/>
      <c r="D1307" s="44"/>
      <c r="E1307" s="23"/>
      <c r="F1307" s="45"/>
      <c r="G1307" s="23"/>
      <c r="H1307" s="23"/>
      <c r="I1307" s="23"/>
      <c r="J1307" s="25"/>
      <c r="K1307" s="23"/>
      <c r="L1307" s="51"/>
      <c r="M1307" s="23"/>
      <c r="N1307" s="26"/>
      <c r="O1307" s="26"/>
      <c r="P1307" s="26"/>
      <c r="Q1307" s="26"/>
      <c r="R1307" s="26"/>
      <c r="S1307" s="26"/>
      <c r="T1307" s="26"/>
      <c r="U1307" s="26"/>
      <c r="V1307" s="26"/>
      <c r="W1307" s="27"/>
    </row>
    <row r="1308" spans="1:23" ht="15.75" customHeight="1" x14ac:dyDescent="0.25">
      <c r="A1308" s="23"/>
      <c r="B1308" s="23" t="str">
        <f t="shared" si="6"/>
        <v/>
      </c>
      <c r="C1308" s="23"/>
      <c r="D1308" s="44"/>
      <c r="E1308" s="23"/>
      <c r="F1308" s="45"/>
      <c r="G1308" s="23"/>
      <c r="H1308" s="23"/>
      <c r="I1308" s="23"/>
      <c r="J1308" s="25"/>
      <c r="K1308" s="23"/>
      <c r="L1308" s="51"/>
      <c r="M1308" s="23"/>
      <c r="N1308" s="26"/>
      <c r="O1308" s="26"/>
      <c r="P1308" s="26"/>
      <c r="Q1308" s="26"/>
      <c r="R1308" s="26"/>
      <c r="S1308" s="26"/>
      <c r="T1308" s="26"/>
      <c r="U1308" s="26"/>
      <c r="V1308" s="26"/>
      <c r="W1308" s="27"/>
    </row>
    <row r="1309" spans="1:23" ht="15.75" customHeight="1" x14ac:dyDescent="0.25">
      <c r="A1309" s="23"/>
      <c r="B1309" s="23" t="str">
        <f t="shared" si="6"/>
        <v/>
      </c>
      <c r="C1309" s="23"/>
      <c r="D1309" s="44"/>
      <c r="E1309" s="23"/>
      <c r="F1309" s="45"/>
      <c r="G1309" s="23"/>
      <c r="H1309" s="23"/>
      <c r="I1309" s="23"/>
      <c r="J1309" s="25"/>
      <c r="K1309" s="23"/>
      <c r="L1309" s="51"/>
      <c r="M1309" s="23"/>
      <c r="N1309" s="26"/>
      <c r="O1309" s="26"/>
      <c r="P1309" s="26"/>
      <c r="Q1309" s="26"/>
      <c r="R1309" s="26"/>
      <c r="S1309" s="26"/>
      <c r="T1309" s="26"/>
      <c r="U1309" s="26"/>
      <c r="V1309" s="26"/>
      <c r="W1309" s="27"/>
    </row>
    <row r="1310" spans="1:23" ht="15.75" customHeight="1" x14ac:dyDescent="0.25">
      <c r="A1310" s="23"/>
      <c r="B1310" s="23" t="str">
        <f t="shared" si="6"/>
        <v/>
      </c>
      <c r="C1310" s="23"/>
      <c r="D1310" s="44"/>
      <c r="E1310" s="23"/>
      <c r="F1310" s="45"/>
      <c r="G1310" s="23"/>
      <c r="H1310" s="23"/>
      <c r="I1310" s="23"/>
      <c r="J1310" s="25"/>
      <c r="K1310" s="23"/>
      <c r="L1310" s="51"/>
      <c r="M1310" s="23"/>
      <c r="N1310" s="26"/>
      <c r="O1310" s="26"/>
      <c r="P1310" s="26"/>
      <c r="Q1310" s="26"/>
      <c r="R1310" s="26"/>
      <c r="S1310" s="26"/>
      <c r="T1310" s="26"/>
      <c r="U1310" s="26"/>
      <c r="V1310" s="26"/>
      <c r="W1310" s="27"/>
    </row>
    <row r="1311" spans="1:23" ht="15.75" customHeight="1" x14ac:dyDescent="0.25">
      <c r="A1311" s="23"/>
      <c r="B1311" s="23" t="str">
        <f t="shared" si="6"/>
        <v/>
      </c>
      <c r="C1311" s="23"/>
      <c r="D1311" s="44"/>
      <c r="E1311" s="23"/>
      <c r="F1311" s="45"/>
      <c r="G1311" s="23"/>
      <c r="H1311" s="23"/>
      <c r="I1311" s="23"/>
      <c r="J1311" s="25"/>
      <c r="K1311" s="23"/>
      <c r="L1311" s="51"/>
      <c r="M1311" s="23"/>
      <c r="N1311" s="26"/>
      <c r="O1311" s="26"/>
      <c r="P1311" s="26"/>
      <c r="Q1311" s="26"/>
      <c r="R1311" s="26"/>
      <c r="S1311" s="26"/>
      <c r="T1311" s="26"/>
      <c r="U1311" s="26"/>
      <c r="V1311" s="26"/>
      <c r="W1311" s="27"/>
    </row>
    <row r="1312" spans="1:23" ht="15.75" customHeight="1" x14ac:dyDescent="0.25">
      <c r="A1312" s="23"/>
      <c r="B1312" s="23" t="str">
        <f t="shared" si="6"/>
        <v/>
      </c>
      <c r="C1312" s="23"/>
      <c r="D1312" s="44"/>
      <c r="E1312" s="23"/>
      <c r="F1312" s="45"/>
      <c r="G1312" s="23"/>
      <c r="H1312" s="23"/>
      <c r="I1312" s="23"/>
      <c r="J1312" s="25"/>
      <c r="K1312" s="23"/>
      <c r="L1312" s="51"/>
      <c r="M1312" s="23"/>
      <c r="N1312" s="26"/>
      <c r="O1312" s="26"/>
      <c r="P1312" s="26"/>
      <c r="Q1312" s="26"/>
      <c r="R1312" s="26"/>
      <c r="S1312" s="26"/>
      <c r="T1312" s="26"/>
      <c r="U1312" s="26"/>
      <c r="V1312" s="26"/>
      <c r="W1312" s="27"/>
    </row>
    <row r="1313" spans="1:23" ht="15.75" customHeight="1" x14ac:dyDescent="0.25">
      <c r="A1313" s="23"/>
      <c r="B1313" s="23" t="str">
        <f t="shared" si="6"/>
        <v/>
      </c>
      <c r="C1313" s="23"/>
      <c r="D1313" s="44"/>
      <c r="E1313" s="23"/>
      <c r="F1313" s="45"/>
      <c r="G1313" s="23"/>
      <c r="H1313" s="23"/>
      <c r="I1313" s="23"/>
      <c r="J1313" s="25"/>
      <c r="K1313" s="23"/>
      <c r="L1313" s="51"/>
      <c r="M1313" s="23"/>
      <c r="N1313" s="26"/>
      <c r="O1313" s="26"/>
      <c r="P1313" s="26"/>
      <c r="Q1313" s="26"/>
      <c r="R1313" s="26"/>
      <c r="S1313" s="26"/>
      <c r="T1313" s="26"/>
      <c r="U1313" s="26"/>
      <c r="V1313" s="26"/>
      <c r="W1313" s="27"/>
    </row>
    <row r="1314" spans="1:23" ht="15.75" customHeight="1" x14ac:dyDescent="0.25">
      <c r="A1314" s="23"/>
      <c r="B1314" s="23" t="str">
        <f t="shared" si="6"/>
        <v/>
      </c>
      <c r="C1314" s="23"/>
      <c r="D1314" s="44"/>
      <c r="E1314" s="23"/>
      <c r="F1314" s="45"/>
      <c r="G1314" s="23"/>
      <c r="H1314" s="23"/>
      <c r="I1314" s="23"/>
      <c r="J1314" s="25"/>
      <c r="K1314" s="23"/>
      <c r="L1314" s="51"/>
      <c r="M1314" s="23"/>
      <c r="N1314" s="26"/>
      <c r="O1314" s="26"/>
      <c r="P1314" s="26"/>
      <c r="Q1314" s="26"/>
      <c r="R1314" s="26"/>
      <c r="S1314" s="26"/>
      <c r="T1314" s="26"/>
      <c r="U1314" s="26"/>
      <c r="V1314" s="26"/>
      <c r="W1314" s="27"/>
    </row>
    <row r="1315" spans="1:23" ht="15.75" customHeight="1" x14ac:dyDescent="0.25">
      <c r="A1315" s="23"/>
      <c r="B1315" s="23" t="str">
        <f t="shared" si="6"/>
        <v/>
      </c>
      <c r="C1315" s="23"/>
      <c r="D1315" s="44"/>
      <c r="E1315" s="23"/>
      <c r="F1315" s="45"/>
      <c r="G1315" s="23"/>
      <c r="H1315" s="23"/>
      <c r="I1315" s="23"/>
      <c r="J1315" s="25"/>
      <c r="K1315" s="23"/>
      <c r="L1315" s="51"/>
      <c r="M1315" s="23"/>
      <c r="N1315" s="26"/>
      <c r="O1315" s="26"/>
      <c r="P1315" s="26"/>
      <c r="Q1315" s="26"/>
      <c r="R1315" s="26"/>
      <c r="S1315" s="26"/>
      <c r="T1315" s="26"/>
      <c r="U1315" s="26"/>
      <c r="V1315" s="26"/>
      <c r="W1315" s="27"/>
    </row>
    <row r="1316" spans="1:23" ht="15.75" customHeight="1" x14ac:dyDescent="0.25">
      <c r="A1316" s="23"/>
      <c r="B1316" s="23" t="str">
        <f t="shared" si="6"/>
        <v/>
      </c>
      <c r="C1316" s="23"/>
      <c r="D1316" s="44"/>
      <c r="E1316" s="23"/>
      <c r="F1316" s="45"/>
      <c r="G1316" s="23"/>
      <c r="H1316" s="23"/>
      <c r="I1316" s="23"/>
      <c r="J1316" s="25"/>
      <c r="K1316" s="23"/>
      <c r="L1316" s="51"/>
      <c r="M1316" s="23"/>
      <c r="N1316" s="26"/>
      <c r="O1316" s="26"/>
      <c r="P1316" s="26"/>
      <c r="Q1316" s="26"/>
      <c r="R1316" s="26"/>
      <c r="S1316" s="26"/>
      <c r="T1316" s="26"/>
      <c r="U1316" s="26"/>
      <c r="V1316" s="26"/>
      <c r="W1316" s="27"/>
    </row>
    <row r="1317" spans="1:23" ht="15.75" customHeight="1" x14ac:dyDescent="0.25">
      <c r="A1317" s="23"/>
      <c r="B1317" s="23" t="str">
        <f t="shared" si="6"/>
        <v/>
      </c>
      <c r="C1317" s="23"/>
      <c r="D1317" s="44"/>
      <c r="E1317" s="23"/>
      <c r="F1317" s="45"/>
      <c r="G1317" s="23"/>
      <c r="H1317" s="23"/>
      <c r="I1317" s="23"/>
      <c r="J1317" s="25"/>
      <c r="K1317" s="23"/>
      <c r="L1317" s="51"/>
      <c r="M1317" s="23"/>
      <c r="N1317" s="26"/>
      <c r="O1317" s="26"/>
      <c r="P1317" s="26"/>
      <c r="Q1317" s="26"/>
      <c r="R1317" s="26"/>
      <c r="S1317" s="26"/>
      <c r="T1317" s="26"/>
      <c r="U1317" s="26"/>
      <c r="V1317" s="26"/>
      <c r="W1317" s="27"/>
    </row>
    <row r="1318" spans="1:23" ht="15.75" customHeight="1" x14ac:dyDescent="0.25">
      <c r="A1318" s="23"/>
      <c r="B1318" s="23" t="str">
        <f t="shared" si="6"/>
        <v/>
      </c>
      <c r="C1318" s="23"/>
      <c r="D1318" s="44"/>
      <c r="E1318" s="23"/>
      <c r="F1318" s="45"/>
      <c r="G1318" s="23"/>
      <c r="H1318" s="23"/>
      <c r="I1318" s="23"/>
      <c r="J1318" s="25"/>
      <c r="K1318" s="23"/>
      <c r="L1318" s="51"/>
      <c r="M1318" s="23"/>
      <c r="N1318" s="26"/>
      <c r="O1318" s="26"/>
      <c r="P1318" s="26"/>
      <c r="Q1318" s="26"/>
      <c r="R1318" s="26"/>
      <c r="S1318" s="26"/>
      <c r="T1318" s="26"/>
      <c r="U1318" s="26"/>
      <c r="V1318" s="26"/>
      <c r="W1318" s="27"/>
    </row>
    <row r="1319" spans="1:23" ht="15.75" customHeight="1" x14ac:dyDescent="0.25">
      <c r="A1319" s="23"/>
      <c r="B1319" s="23" t="str">
        <f t="shared" si="6"/>
        <v/>
      </c>
      <c r="C1319" s="23"/>
      <c r="D1319" s="44"/>
      <c r="E1319" s="23"/>
      <c r="F1319" s="45"/>
      <c r="G1319" s="23"/>
      <c r="H1319" s="23"/>
      <c r="I1319" s="23"/>
      <c r="J1319" s="25"/>
      <c r="K1319" s="23"/>
      <c r="L1319" s="51"/>
      <c r="M1319" s="23"/>
      <c r="N1319" s="26"/>
      <c r="O1319" s="26"/>
      <c r="P1319" s="26"/>
      <c r="Q1319" s="26"/>
      <c r="R1319" s="26"/>
      <c r="S1319" s="26"/>
      <c r="T1319" s="26"/>
      <c r="U1319" s="26"/>
      <c r="V1319" s="26"/>
      <c r="W1319" s="27"/>
    </row>
    <row r="1320" spans="1:23" ht="15.75" customHeight="1" x14ac:dyDescent="0.25">
      <c r="A1320" s="23"/>
      <c r="B1320" s="23" t="str">
        <f t="shared" si="6"/>
        <v/>
      </c>
      <c r="C1320" s="23"/>
      <c r="D1320" s="44"/>
      <c r="E1320" s="23"/>
      <c r="F1320" s="45"/>
      <c r="G1320" s="23"/>
      <c r="H1320" s="23"/>
      <c r="I1320" s="23"/>
      <c r="J1320" s="25"/>
      <c r="K1320" s="23"/>
      <c r="L1320" s="51"/>
      <c r="M1320" s="23"/>
      <c r="N1320" s="26"/>
      <c r="O1320" s="26"/>
      <c r="P1320" s="26"/>
      <c r="Q1320" s="26"/>
      <c r="R1320" s="26"/>
      <c r="S1320" s="26"/>
      <c r="T1320" s="26"/>
      <c r="U1320" s="26"/>
      <c r="V1320" s="26"/>
      <c r="W1320" s="27"/>
    </row>
    <row r="1321" spans="1:23" ht="15.75" customHeight="1" x14ac:dyDescent="0.25">
      <c r="A1321" s="23"/>
      <c r="B1321" s="23" t="str">
        <f t="shared" si="6"/>
        <v/>
      </c>
      <c r="C1321" s="23"/>
      <c r="D1321" s="44"/>
      <c r="E1321" s="23"/>
      <c r="F1321" s="45"/>
      <c r="G1321" s="23"/>
      <c r="H1321" s="23"/>
      <c r="I1321" s="23"/>
      <c r="J1321" s="25"/>
      <c r="K1321" s="23"/>
      <c r="L1321" s="51"/>
      <c r="M1321" s="23"/>
      <c r="N1321" s="26"/>
      <c r="O1321" s="26"/>
      <c r="P1321" s="26"/>
      <c r="Q1321" s="26"/>
      <c r="R1321" s="26"/>
      <c r="S1321" s="26"/>
      <c r="T1321" s="26"/>
      <c r="U1321" s="26"/>
      <c r="V1321" s="26"/>
      <c r="W1321" s="27"/>
    </row>
    <row r="1322" spans="1:23" ht="15.75" customHeight="1" x14ac:dyDescent="0.25">
      <c r="A1322" s="23"/>
      <c r="B1322" s="23" t="str">
        <f t="shared" si="6"/>
        <v/>
      </c>
      <c r="C1322" s="23"/>
      <c r="D1322" s="44"/>
      <c r="E1322" s="23"/>
      <c r="F1322" s="45"/>
      <c r="G1322" s="23"/>
      <c r="H1322" s="23"/>
      <c r="I1322" s="23"/>
      <c r="J1322" s="25"/>
      <c r="K1322" s="23"/>
      <c r="L1322" s="51"/>
      <c r="M1322" s="23"/>
      <c r="N1322" s="26"/>
      <c r="O1322" s="26"/>
      <c r="P1322" s="26"/>
      <c r="Q1322" s="26"/>
      <c r="R1322" s="26"/>
      <c r="S1322" s="26"/>
      <c r="T1322" s="26"/>
      <c r="U1322" s="26"/>
      <c r="V1322" s="26"/>
      <c r="W1322" s="27"/>
    </row>
    <row r="1323" spans="1:23" ht="15.75" customHeight="1" x14ac:dyDescent="0.25">
      <c r="A1323" s="23"/>
      <c r="B1323" s="23" t="str">
        <f t="shared" si="6"/>
        <v/>
      </c>
      <c r="C1323" s="23"/>
      <c r="D1323" s="44"/>
      <c r="E1323" s="23"/>
      <c r="F1323" s="45"/>
      <c r="G1323" s="23"/>
      <c r="H1323" s="23"/>
      <c r="I1323" s="23"/>
      <c r="J1323" s="25"/>
      <c r="K1323" s="23"/>
      <c r="L1323" s="51"/>
      <c r="M1323" s="23"/>
      <c r="N1323" s="26"/>
      <c r="O1323" s="26"/>
      <c r="P1323" s="26"/>
      <c r="Q1323" s="26"/>
      <c r="R1323" s="26"/>
      <c r="S1323" s="26"/>
      <c r="T1323" s="26"/>
      <c r="U1323" s="26"/>
      <c r="V1323" s="26"/>
      <c r="W1323" s="27"/>
    </row>
    <row r="1324" spans="1:23" ht="15.75" customHeight="1" x14ac:dyDescent="0.25">
      <c r="A1324" s="23"/>
      <c r="B1324" s="23" t="str">
        <f t="shared" si="6"/>
        <v/>
      </c>
      <c r="C1324" s="23"/>
      <c r="D1324" s="44"/>
      <c r="E1324" s="23"/>
      <c r="F1324" s="45"/>
      <c r="G1324" s="23"/>
      <c r="H1324" s="23"/>
      <c r="I1324" s="23"/>
      <c r="J1324" s="25"/>
      <c r="K1324" s="23"/>
      <c r="L1324" s="51"/>
      <c r="M1324" s="23"/>
      <c r="N1324" s="26"/>
      <c r="O1324" s="26"/>
      <c r="P1324" s="26"/>
      <c r="Q1324" s="26"/>
      <c r="R1324" s="26"/>
      <c r="S1324" s="26"/>
      <c r="T1324" s="26"/>
      <c r="U1324" s="26"/>
      <c r="V1324" s="26"/>
      <c r="W1324" s="27"/>
    </row>
    <row r="1325" spans="1:23" ht="15.75" customHeight="1" x14ac:dyDescent="0.25">
      <c r="A1325" s="23"/>
      <c r="B1325" s="23" t="str">
        <f t="shared" ref="B1325:B1579" si="7">MID(X1325,17,30)</f>
        <v/>
      </c>
      <c r="C1325" s="23"/>
      <c r="D1325" s="44"/>
      <c r="E1325" s="23"/>
      <c r="F1325" s="45"/>
      <c r="G1325" s="23"/>
      <c r="H1325" s="23"/>
      <c r="I1325" s="23"/>
      <c r="J1325" s="25"/>
      <c r="K1325" s="23"/>
      <c r="L1325" s="51"/>
      <c r="M1325" s="23"/>
      <c r="N1325" s="26"/>
      <c r="O1325" s="26"/>
      <c r="P1325" s="26"/>
      <c r="Q1325" s="26"/>
      <c r="R1325" s="26"/>
      <c r="S1325" s="26"/>
      <c r="T1325" s="26"/>
      <c r="U1325" s="26"/>
      <c r="V1325" s="26"/>
      <c r="W1325" s="27"/>
    </row>
    <row r="1326" spans="1:23" ht="15.75" customHeight="1" x14ac:dyDescent="0.25">
      <c r="A1326" s="23"/>
      <c r="B1326" s="23" t="str">
        <f t="shared" si="7"/>
        <v/>
      </c>
      <c r="C1326" s="23"/>
      <c r="D1326" s="44"/>
      <c r="E1326" s="23"/>
      <c r="F1326" s="45"/>
      <c r="G1326" s="23"/>
      <c r="H1326" s="23"/>
      <c r="I1326" s="23"/>
      <c r="J1326" s="25"/>
      <c r="K1326" s="23"/>
      <c r="L1326" s="51"/>
      <c r="M1326" s="23"/>
      <c r="N1326" s="26"/>
      <c r="O1326" s="26"/>
      <c r="P1326" s="26"/>
      <c r="Q1326" s="26"/>
      <c r="R1326" s="26"/>
      <c r="S1326" s="26"/>
      <c r="T1326" s="26"/>
      <c r="U1326" s="26"/>
      <c r="V1326" s="26"/>
      <c r="W1326" s="27"/>
    </row>
    <row r="1327" spans="1:23" ht="15.75" customHeight="1" x14ac:dyDescent="0.25">
      <c r="A1327" s="23"/>
      <c r="B1327" s="23" t="str">
        <f t="shared" si="7"/>
        <v/>
      </c>
      <c r="C1327" s="23"/>
      <c r="D1327" s="44"/>
      <c r="E1327" s="23"/>
      <c r="F1327" s="45"/>
      <c r="G1327" s="23"/>
      <c r="H1327" s="23"/>
      <c r="I1327" s="23"/>
      <c r="J1327" s="25"/>
      <c r="K1327" s="23"/>
      <c r="L1327" s="51"/>
      <c r="M1327" s="23"/>
      <c r="N1327" s="26"/>
      <c r="O1327" s="26"/>
      <c r="P1327" s="26"/>
      <c r="Q1327" s="26"/>
      <c r="R1327" s="26"/>
      <c r="S1327" s="26"/>
      <c r="T1327" s="26"/>
      <c r="U1327" s="26"/>
      <c r="V1327" s="26"/>
      <c r="W1327" s="27"/>
    </row>
    <row r="1328" spans="1:23" ht="15.75" customHeight="1" x14ac:dyDescent="0.25">
      <c r="A1328" s="23"/>
      <c r="B1328" s="23" t="str">
        <f t="shared" si="7"/>
        <v/>
      </c>
      <c r="C1328" s="23"/>
      <c r="D1328" s="44"/>
      <c r="E1328" s="23"/>
      <c r="F1328" s="45"/>
      <c r="G1328" s="23"/>
      <c r="H1328" s="23"/>
      <c r="I1328" s="23"/>
      <c r="J1328" s="25"/>
      <c r="K1328" s="23"/>
      <c r="L1328" s="51"/>
      <c r="M1328" s="23"/>
      <c r="N1328" s="26"/>
      <c r="O1328" s="26"/>
      <c r="P1328" s="26"/>
      <c r="Q1328" s="26"/>
      <c r="R1328" s="26"/>
      <c r="S1328" s="26"/>
      <c r="T1328" s="26"/>
      <c r="U1328" s="26"/>
      <c r="V1328" s="26"/>
      <c r="W1328" s="27"/>
    </row>
    <row r="1329" spans="1:23" ht="15.75" customHeight="1" x14ac:dyDescent="0.25">
      <c r="A1329" s="23"/>
      <c r="B1329" s="23" t="str">
        <f t="shared" si="7"/>
        <v/>
      </c>
      <c r="C1329" s="23"/>
      <c r="D1329" s="44"/>
      <c r="E1329" s="23"/>
      <c r="F1329" s="45"/>
      <c r="G1329" s="23"/>
      <c r="H1329" s="23"/>
      <c r="I1329" s="23"/>
      <c r="J1329" s="25"/>
      <c r="K1329" s="23"/>
      <c r="L1329" s="51"/>
      <c r="M1329" s="23"/>
      <c r="N1329" s="26"/>
      <c r="O1329" s="26"/>
      <c r="P1329" s="26"/>
      <c r="Q1329" s="26"/>
      <c r="R1329" s="26"/>
      <c r="S1329" s="26"/>
      <c r="T1329" s="26"/>
      <c r="U1329" s="26"/>
      <c r="V1329" s="26"/>
      <c r="W1329" s="27"/>
    </row>
    <row r="1330" spans="1:23" ht="15.75" customHeight="1" x14ac:dyDescent="0.25">
      <c r="A1330" s="23"/>
      <c r="B1330" s="23" t="str">
        <f t="shared" si="7"/>
        <v/>
      </c>
      <c r="C1330" s="23"/>
      <c r="D1330" s="44"/>
      <c r="E1330" s="23"/>
      <c r="F1330" s="45"/>
      <c r="G1330" s="23"/>
      <c r="H1330" s="23"/>
      <c r="I1330" s="23"/>
      <c r="J1330" s="25"/>
      <c r="K1330" s="23"/>
      <c r="L1330" s="51"/>
      <c r="M1330" s="23"/>
      <c r="N1330" s="26"/>
      <c r="O1330" s="26"/>
      <c r="P1330" s="26"/>
      <c r="Q1330" s="26"/>
      <c r="R1330" s="26"/>
      <c r="S1330" s="26"/>
      <c r="T1330" s="26"/>
      <c r="U1330" s="26"/>
      <c r="V1330" s="26"/>
      <c r="W1330" s="27"/>
    </row>
    <row r="1331" spans="1:23" ht="15.75" customHeight="1" x14ac:dyDescent="0.25">
      <c r="A1331" s="23"/>
      <c r="B1331" s="23" t="str">
        <f t="shared" si="7"/>
        <v/>
      </c>
      <c r="C1331" s="23"/>
      <c r="D1331" s="44"/>
      <c r="E1331" s="23"/>
      <c r="F1331" s="45"/>
      <c r="G1331" s="23"/>
      <c r="H1331" s="23"/>
      <c r="I1331" s="23"/>
      <c r="J1331" s="25"/>
      <c r="K1331" s="23"/>
      <c r="L1331" s="51"/>
      <c r="M1331" s="23"/>
      <c r="N1331" s="26"/>
      <c r="O1331" s="26"/>
      <c r="P1331" s="26"/>
      <c r="Q1331" s="26"/>
      <c r="R1331" s="26"/>
      <c r="S1331" s="26"/>
      <c r="T1331" s="26"/>
      <c r="U1331" s="26"/>
      <c r="V1331" s="26"/>
      <c r="W1331" s="27"/>
    </row>
    <row r="1332" spans="1:23" ht="15.75" customHeight="1" x14ac:dyDescent="0.25">
      <c r="A1332" s="23"/>
      <c r="B1332" s="23" t="str">
        <f t="shared" si="7"/>
        <v/>
      </c>
      <c r="C1332" s="23"/>
      <c r="D1332" s="44"/>
      <c r="E1332" s="23"/>
      <c r="F1332" s="45"/>
      <c r="G1332" s="23"/>
      <c r="H1332" s="23"/>
      <c r="I1332" s="23"/>
      <c r="J1332" s="25"/>
      <c r="K1332" s="23"/>
      <c r="L1332" s="51"/>
      <c r="M1332" s="23"/>
      <c r="N1332" s="26"/>
      <c r="O1332" s="26"/>
      <c r="P1332" s="26"/>
      <c r="Q1332" s="26"/>
      <c r="R1332" s="26"/>
      <c r="S1332" s="26"/>
      <c r="T1332" s="26"/>
      <c r="U1332" s="26"/>
      <c r="V1332" s="26"/>
      <c r="W1332" s="27"/>
    </row>
    <row r="1333" spans="1:23" ht="15.75" customHeight="1" x14ac:dyDescent="0.25">
      <c r="A1333" s="23"/>
      <c r="B1333" s="23" t="str">
        <f t="shared" si="7"/>
        <v/>
      </c>
      <c r="C1333" s="23"/>
      <c r="D1333" s="44"/>
      <c r="E1333" s="23"/>
      <c r="F1333" s="45"/>
      <c r="G1333" s="23"/>
      <c r="H1333" s="23"/>
      <c r="I1333" s="23"/>
      <c r="J1333" s="25"/>
      <c r="K1333" s="23"/>
      <c r="L1333" s="51"/>
      <c r="M1333" s="23"/>
      <c r="N1333" s="26"/>
      <c r="O1333" s="26"/>
      <c r="P1333" s="26"/>
      <c r="Q1333" s="26"/>
      <c r="R1333" s="26"/>
      <c r="S1333" s="26"/>
      <c r="T1333" s="26"/>
      <c r="U1333" s="26"/>
      <c r="V1333" s="26"/>
      <c r="W1333" s="27"/>
    </row>
    <row r="1334" spans="1:23" ht="15.75" customHeight="1" x14ac:dyDescent="0.25">
      <c r="A1334" s="23"/>
      <c r="B1334" s="23" t="str">
        <f t="shared" si="7"/>
        <v/>
      </c>
      <c r="C1334" s="23"/>
      <c r="D1334" s="44"/>
      <c r="E1334" s="23"/>
      <c r="F1334" s="45"/>
      <c r="G1334" s="23"/>
      <c r="H1334" s="23"/>
      <c r="I1334" s="23"/>
      <c r="J1334" s="25"/>
      <c r="K1334" s="23"/>
      <c r="L1334" s="51"/>
      <c r="M1334" s="23"/>
      <c r="N1334" s="26"/>
      <c r="O1334" s="26"/>
      <c r="P1334" s="26"/>
      <c r="Q1334" s="26"/>
      <c r="R1334" s="26"/>
      <c r="S1334" s="26"/>
      <c r="T1334" s="26"/>
      <c r="U1334" s="26"/>
      <c r="V1334" s="26"/>
      <c r="W1334" s="27"/>
    </row>
    <row r="1335" spans="1:23" ht="15.75" customHeight="1" x14ac:dyDescent="0.25">
      <c r="A1335" s="23"/>
      <c r="B1335" s="23" t="str">
        <f t="shared" si="7"/>
        <v/>
      </c>
      <c r="C1335" s="23"/>
      <c r="D1335" s="44"/>
      <c r="E1335" s="23"/>
      <c r="F1335" s="45"/>
      <c r="G1335" s="23"/>
      <c r="H1335" s="23"/>
      <c r="I1335" s="23"/>
      <c r="J1335" s="25"/>
      <c r="K1335" s="23"/>
      <c r="L1335" s="51"/>
      <c r="M1335" s="23"/>
      <c r="N1335" s="26"/>
      <c r="O1335" s="26"/>
      <c r="P1335" s="26"/>
      <c r="Q1335" s="26"/>
      <c r="R1335" s="26"/>
      <c r="S1335" s="26"/>
      <c r="T1335" s="26"/>
      <c r="U1335" s="26"/>
      <c r="V1335" s="26"/>
      <c r="W1335" s="27"/>
    </row>
    <row r="1336" spans="1:23" ht="15.75" customHeight="1" x14ac:dyDescent="0.25">
      <c r="A1336" s="23"/>
      <c r="B1336" s="23" t="str">
        <f t="shared" si="7"/>
        <v/>
      </c>
      <c r="C1336" s="23"/>
      <c r="D1336" s="44"/>
      <c r="E1336" s="23"/>
      <c r="F1336" s="45"/>
      <c r="G1336" s="23"/>
      <c r="H1336" s="23"/>
      <c r="I1336" s="23"/>
      <c r="J1336" s="25"/>
      <c r="K1336" s="23"/>
      <c r="L1336" s="51"/>
      <c r="M1336" s="23"/>
      <c r="N1336" s="26"/>
      <c r="O1336" s="26"/>
      <c r="P1336" s="26"/>
      <c r="Q1336" s="26"/>
      <c r="R1336" s="26"/>
      <c r="S1336" s="26"/>
      <c r="T1336" s="26"/>
      <c r="U1336" s="26"/>
      <c r="V1336" s="26"/>
      <c r="W1336" s="27"/>
    </row>
    <row r="1337" spans="1:23" ht="15.75" customHeight="1" x14ac:dyDescent="0.25">
      <c r="A1337" s="23"/>
      <c r="B1337" s="23" t="str">
        <f t="shared" si="7"/>
        <v/>
      </c>
      <c r="C1337" s="23"/>
      <c r="D1337" s="44"/>
      <c r="E1337" s="23"/>
      <c r="F1337" s="45"/>
      <c r="G1337" s="23"/>
      <c r="H1337" s="23"/>
      <c r="I1337" s="23"/>
      <c r="J1337" s="25"/>
      <c r="K1337" s="23"/>
      <c r="L1337" s="51"/>
      <c r="M1337" s="23"/>
      <c r="N1337" s="26"/>
      <c r="O1337" s="26"/>
      <c r="P1337" s="26"/>
      <c r="Q1337" s="26"/>
      <c r="R1337" s="26"/>
      <c r="S1337" s="26"/>
      <c r="T1337" s="26"/>
      <c r="U1337" s="26"/>
      <c r="V1337" s="26"/>
      <c r="W1337" s="27"/>
    </row>
    <row r="1338" spans="1:23" ht="15.75" customHeight="1" x14ac:dyDescent="0.25">
      <c r="A1338" s="23"/>
      <c r="B1338" s="23" t="str">
        <f t="shared" si="7"/>
        <v/>
      </c>
      <c r="C1338" s="23"/>
      <c r="D1338" s="44"/>
      <c r="E1338" s="23"/>
      <c r="F1338" s="45"/>
      <c r="G1338" s="23"/>
      <c r="H1338" s="23"/>
      <c r="I1338" s="23"/>
      <c r="J1338" s="25"/>
      <c r="K1338" s="23"/>
      <c r="L1338" s="51"/>
      <c r="M1338" s="23"/>
      <c r="N1338" s="26"/>
      <c r="O1338" s="26"/>
      <c r="P1338" s="26"/>
      <c r="Q1338" s="26"/>
      <c r="R1338" s="26"/>
      <c r="S1338" s="26"/>
      <c r="T1338" s="26"/>
      <c r="U1338" s="26"/>
      <c r="V1338" s="26"/>
      <c r="W1338" s="27"/>
    </row>
    <row r="1339" spans="1:23" ht="15.75" customHeight="1" x14ac:dyDescent="0.25">
      <c r="A1339" s="23"/>
      <c r="B1339" s="23" t="str">
        <f t="shared" si="7"/>
        <v/>
      </c>
      <c r="C1339" s="23"/>
      <c r="D1339" s="44"/>
      <c r="E1339" s="23"/>
      <c r="F1339" s="45"/>
      <c r="G1339" s="23"/>
      <c r="H1339" s="23"/>
      <c r="I1339" s="23"/>
      <c r="J1339" s="25"/>
      <c r="K1339" s="23"/>
      <c r="L1339" s="51"/>
      <c r="M1339" s="23"/>
      <c r="N1339" s="26"/>
      <c r="O1339" s="26"/>
      <c r="P1339" s="26"/>
      <c r="Q1339" s="26"/>
      <c r="R1339" s="26"/>
      <c r="S1339" s="26"/>
      <c r="T1339" s="26"/>
      <c r="U1339" s="26"/>
      <c r="V1339" s="26"/>
      <c r="W1339" s="27"/>
    </row>
    <row r="1340" spans="1:23" ht="15.75" customHeight="1" x14ac:dyDescent="0.25">
      <c r="A1340" s="23"/>
      <c r="B1340" s="23" t="str">
        <f t="shared" si="7"/>
        <v/>
      </c>
      <c r="C1340" s="23"/>
      <c r="D1340" s="44"/>
      <c r="E1340" s="23"/>
      <c r="F1340" s="45"/>
      <c r="G1340" s="23"/>
      <c r="H1340" s="23"/>
      <c r="I1340" s="23"/>
      <c r="J1340" s="25"/>
      <c r="K1340" s="23"/>
      <c r="L1340" s="51"/>
      <c r="M1340" s="23"/>
      <c r="N1340" s="26"/>
      <c r="O1340" s="26"/>
      <c r="P1340" s="26"/>
      <c r="Q1340" s="26"/>
      <c r="R1340" s="26"/>
      <c r="S1340" s="26"/>
      <c r="T1340" s="26"/>
      <c r="U1340" s="26"/>
      <c r="V1340" s="26"/>
      <c r="W1340" s="27"/>
    </row>
    <row r="1341" spans="1:23" ht="15.75" customHeight="1" x14ac:dyDescent="0.25">
      <c r="A1341" s="23"/>
      <c r="B1341" s="23" t="str">
        <f t="shared" si="7"/>
        <v/>
      </c>
      <c r="C1341" s="23"/>
      <c r="D1341" s="44"/>
      <c r="E1341" s="23"/>
      <c r="F1341" s="45"/>
      <c r="G1341" s="23"/>
      <c r="H1341" s="23"/>
      <c r="I1341" s="23"/>
      <c r="J1341" s="25"/>
      <c r="K1341" s="23"/>
      <c r="L1341" s="51"/>
      <c r="M1341" s="23"/>
      <c r="N1341" s="26"/>
      <c r="O1341" s="26"/>
      <c r="P1341" s="26"/>
      <c r="Q1341" s="26"/>
      <c r="R1341" s="26"/>
      <c r="S1341" s="26"/>
      <c r="T1341" s="26"/>
      <c r="U1341" s="26"/>
      <c r="V1341" s="26"/>
      <c r="W1341" s="27"/>
    </row>
    <row r="1342" spans="1:23" ht="15.75" customHeight="1" x14ac:dyDescent="0.25">
      <c r="A1342" s="23"/>
      <c r="B1342" s="23" t="str">
        <f t="shared" si="7"/>
        <v/>
      </c>
      <c r="C1342" s="23"/>
      <c r="D1342" s="44"/>
      <c r="E1342" s="23"/>
      <c r="F1342" s="45"/>
      <c r="G1342" s="23"/>
      <c r="H1342" s="23"/>
      <c r="I1342" s="23"/>
      <c r="J1342" s="25"/>
      <c r="K1342" s="23"/>
      <c r="L1342" s="51"/>
      <c r="M1342" s="23"/>
      <c r="N1342" s="26"/>
      <c r="O1342" s="26"/>
      <c r="P1342" s="26"/>
      <c r="Q1342" s="26"/>
      <c r="R1342" s="26"/>
      <c r="S1342" s="26"/>
      <c r="T1342" s="26"/>
      <c r="U1342" s="26"/>
      <c r="V1342" s="26"/>
      <c r="W1342" s="27"/>
    </row>
    <row r="1343" spans="1:23" ht="15.75" customHeight="1" x14ac:dyDescent="0.25">
      <c r="A1343" s="23"/>
      <c r="B1343" s="23" t="str">
        <f t="shared" si="7"/>
        <v/>
      </c>
      <c r="C1343" s="23"/>
      <c r="D1343" s="44"/>
      <c r="E1343" s="23"/>
      <c r="F1343" s="45"/>
      <c r="G1343" s="23"/>
      <c r="H1343" s="23"/>
      <c r="I1343" s="23"/>
      <c r="J1343" s="25"/>
      <c r="K1343" s="23"/>
      <c r="L1343" s="51"/>
      <c r="M1343" s="23"/>
      <c r="N1343" s="26"/>
      <c r="O1343" s="26"/>
      <c r="P1343" s="26"/>
      <c r="Q1343" s="26"/>
      <c r="R1343" s="26"/>
      <c r="S1343" s="26"/>
      <c r="T1343" s="26"/>
      <c r="U1343" s="26"/>
      <c r="V1343" s="26"/>
      <c r="W1343" s="27"/>
    </row>
    <row r="1344" spans="1:23" ht="15.75" customHeight="1" x14ac:dyDescent="0.25">
      <c r="A1344" s="23"/>
      <c r="B1344" s="23" t="str">
        <f t="shared" si="7"/>
        <v/>
      </c>
      <c r="C1344" s="23"/>
      <c r="D1344" s="44"/>
      <c r="E1344" s="23"/>
      <c r="F1344" s="45"/>
      <c r="G1344" s="23"/>
      <c r="H1344" s="23"/>
      <c r="I1344" s="23"/>
      <c r="J1344" s="25"/>
      <c r="K1344" s="23"/>
      <c r="L1344" s="51"/>
      <c r="M1344" s="23"/>
      <c r="N1344" s="26"/>
      <c r="O1344" s="26"/>
      <c r="P1344" s="26"/>
      <c r="Q1344" s="26"/>
      <c r="R1344" s="26"/>
      <c r="S1344" s="26"/>
      <c r="T1344" s="26"/>
      <c r="U1344" s="26"/>
      <c r="V1344" s="26"/>
      <c r="W1344" s="27"/>
    </row>
    <row r="1345" spans="1:23" ht="15.75" customHeight="1" x14ac:dyDescent="0.25">
      <c r="A1345" s="23"/>
      <c r="B1345" s="23" t="str">
        <f t="shared" si="7"/>
        <v/>
      </c>
      <c r="C1345" s="23"/>
      <c r="D1345" s="44"/>
      <c r="E1345" s="23"/>
      <c r="F1345" s="45"/>
      <c r="G1345" s="23"/>
      <c r="H1345" s="23"/>
      <c r="I1345" s="23"/>
      <c r="J1345" s="25"/>
      <c r="K1345" s="23"/>
      <c r="L1345" s="51"/>
      <c r="M1345" s="23"/>
      <c r="N1345" s="26"/>
      <c r="O1345" s="26"/>
      <c r="P1345" s="26"/>
      <c r="Q1345" s="26"/>
      <c r="R1345" s="26"/>
      <c r="S1345" s="26"/>
      <c r="T1345" s="26"/>
      <c r="U1345" s="26"/>
      <c r="V1345" s="26"/>
      <c r="W1345" s="27"/>
    </row>
    <row r="1346" spans="1:23" ht="15.75" customHeight="1" x14ac:dyDescent="0.25">
      <c r="A1346" s="23"/>
      <c r="B1346" s="23" t="str">
        <f t="shared" si="7"/>
        <v/>
      </c>
      <c r="C1346" s="23"/>
      <c r="D1346" s="44"/>
      <c r="E1346" s="23"/>
      <c r="F1346" s="45"/>
      <c r="G1346" s="23"/>
      <c r="H1346" s="23"/>
      <c r="I1346" s="23"/>
      <c r="J1346" s="25"/>
      <c r="K1346" s="23"/>
      <c r="L1346" s="51"/>
      <c r="M1346" s="23"/>
      <c r="N1346" s="26"/>
      <c r="O1346" s="26"/>
      <c r="P1346" s="26"/>
      <c r="Q1346" s="26"/>
      <c r="R1346" s="26"/>
      <c r="S1346" s="26"/>
      <c r="T1346" s="26"/>
      <c r="U1346" s="26"/>
      <c r="V1346" s="26"/>
      <c r="W1346" s="27"/>
    </row>
    <row r="1347" spans="1:23" ht="15.75" customHeight="1" x14ac:dyDescent="0.25">
      <c r="A1347" s="23"/>
      <c r="B1347" s="23" t="str">
        <f t="shared" si="7"/>
        <v/>
      </c>
      <c r="C1347" s="23"/>
      <c r="D1347" s="44"/>
      <c r="E1347" s="23"/>
      <c r="F1347" s="45"/>
      <c r="G1347" s="23"/>
      <c r="H1347" s="23"/>
      <c r="I1347" s="23"/>
      <c r="J1347" s="25"/>
      <c r="K1347" s="23"/>
      <c r="L1347" s="51"/>
      <c r="M1347" s="23"/>
      <c r="N1347" s="26"/>
      <c r="O1347" s="26"/>
      <c r="P1347" s="26"/>
      <c r="Q1347" s="26"/>
      <c r="R1347" s="26"/>
      <c r="S1347" s="26"/>
      <c r="T1347" s="26"/>
      <c r="U1347" s="26"/>
      <c r="V1347" s="26"/>
      <c r="W1347" s="27"/>
    </row>
    <row r="1348" spans="1:23" ht="15.75" customHeight="1" x14ac:dyDescent="0.25">
      <c r="A1348" s="23"/>
      <c r="B1348" s="23" t="str">
        <f t="shared" si="7"/>
        <v/>
      </c>
      <c r="C1348" s="23"/>
      <c r="D1348" s="44"/>
      <c r="E1348" s="23"/>
      <c r="F1348" s="45"/>
      <c r="G1348" s="23"/>
      <c r="H1348" s="23"/>
      <c r="I1348" s="23"/>
      <c r="J1348" s="25"/>
      <c r="K1348" s="23"/>
      <c r="L1348" s="51"/>
      <c r="M1348" s="23"/>
      <c r="N1348" s="26"/>
      <c r="O1348" s="26"/>
      <c r="P1348" s="26"/>
      <c r="Q1348" s="26"/>
      <c r="R1348" s="26"/>
      <c r="S1348" s="26"/>
      <c r="T1348" s="26"/>
      <c r="U1348" s="26"/>
      <c r="V1348" s="26"/>
      <c r="W1348" s="27"/>
    </row>
    <row r="1349" spans="1:23" ht="15.75" customHeight="1" x14ac:dyDescent="0.25">
      <c r="A1349" s="23"/>
      <c r="B1349" s="23" t="str">
        <f t="shared" si="7"/>
        <v/>
      </c>
      <c r="C1349" s="23"/>
      <c r="D1349" s="44"/>
      <c r="E1349" s="23"/>
      <c r="F1349" s="45"/>
      <c r="G1349" s="23"/>
      <c r="H1349" s="23"/>
      <c r="I1349" s="23"/>
      <c r="J1349" s="25"/>
      <c r="K1349" s="23"/>
      <c r="L1349" s="51"/>
      <c r="M1349" s="23"/>
      <c r="N1349" s="26"/>
      <c r="O1349" s="26"/>
      <c r="P1349" s="26"/>
      <c r="Q1349" s="26"/>
      <c r="R1349" s="26"/>
      <c r="S1349" s="26"/>
      <c r="T1349" s="26"/>
      <c r="U1349" s="26"/>
      <c r="V1349" s="26"/>
      <c r="W1349" s="27"/>
    </row>
    <row r="1350" spans="1:23" ht="15.75" customHeight="1" x14ac:dyDescent="0.25">
      <c r="A1350" s="23"/>
      <c r="B1350" s="23" t="str">
        <f t="shared" si="7"/>
        <v/>
      </c>
      <c r="C1350" s="23"/>
      <c r="D1350" s="44"/>
      <c r="E1350" s="23"/>
      <c r="F1350" s="45"/>
      <c r="G1350" s="23"/>
      <c r="H1350" s="23"/>
      <c r="I1350" s="23"/>
      <c r="J1350" s="25"/>
      <c r="K1350" s="23"/>
      <c r="L1350" s="51"/>
      <c r="M1350" s="23"/>
      <c r="N1350" s="26"/>
      <c r="O1350" s="26"/>
      <c r="P1350" s="26"/>
      <c r="Q1350" s="26"/>
      <c r="R1350" s="26"/>
      <c r="S1350" s="26"/>
      <c r="T1350" s="26"/>
      <c r="U1350" s="26"/>
      <c r="V1350" s="26"/>
      <c r="W1350" s="27"/>
    </row>
    <row r="1351" spans="1:23" ht="15.75" customHeight="1" x14ac:dyDescent="0.25">
      <c r="A1351" s="23"/>
      <c r="B1351" s="23" t="str">
        <f t="shared" si="7"/>
        <v/>
      </c>
      <c r="C1351" s="23"/>
      <c r="D1351" s="44"/>
      <c r="E1351" s="23"/>
      <c r="F1351" s="45"/>
      <c r="G1351" s="23"/>
      <c r="H1351" s="23"/>
      <c r="I1351" s="23"/>
      <c r="J1351" s="25"/>
      <c r="K1351" s="23"/>
      <c r="L1351" s="51"/>
      <c r="M1351" s="23"/>
      <c r="N1351" s="26"/>
      <c r="O1351" s="26"/>
      <c r="P1351" s="26"/>
      <c r="Q1351" s="26"/>
      <c r="R1351" s="26"/>
      <c r="S1351" s="26"/>
      <c r="T1351" s="26"/>
      <c r="U1351" s="26"/>
      <c r="V1351" s="26"/>
      <c r="W1351" s="27"/>
    </row>
    <row r="1352" spans="1:23" ht="15.75" customHeight="1" x14ac:dyDescent="0.25">
      <c r="A1352" s="23"/>
      <c r="B1352" s="23" t="str">
        <f t="shared" si="7"/>
        <v/>
      </c>
      <c r="C1352" s="23"/>
      <c r="D1352" s="44"/>
      <c r="E1352" s="23"/>
      <c r="F1352" s="45"/>
      <c r="G1352" s="23"/>
      <c r="H1352" s="23"/>
      <c r="I1352" s="23"/>
      <c r="J1352" s="25"/>
      <c r="K1352" s="23"/>
      <c r="L1352" s="51"/>
      <c r="M1352" s="23"/>
      <c r="N1352" s="26"/>
      <c r="O1352" s="26"/>
      <c r="P1352" s="26"/>
      <c r="Q1352" s="26"/>
      <c r="R1352" s="26"/>
      <c r="S1352" s="26"/>
      <c r="T1352" s="26"/>
      <c r="U1352" s="26"/>
      <c r="V1352" s="26"/>
      <c r="W1352" s="27"/>
    </row>
    <row r="1353" spans="1:23" ht="15.75" customHeight="1" x14ac:dyDescent="0.25">
      <c r="A1353" s="23"/>
      <c r="B1353" s="23" t="str">
        <f t="shared" si="7"/>
        <v/>
      </c>
      <c r="C1353" s="23"/>
      <c r="D1353" s="44"/>
      <c r="E1353" s="23"/>
      <c r="F1353" s="45"/>
      <c r="G1353" s="23"/>
      <c r="H1353" s="23"/>
      <c r="I1353" s="23"/>
      <c r="J1353" s="25"/>
      <c r="K1353" s="23"/>
      <c r="L1353" s="51"/>
      <c r="M1353" s="23"/>
      <c r="N1353" s="26"/>
      <c r="O1353" s="26"/>
      <c r="P1353" s="26"/>
      <c r="Q1353" s="26"/>
      <c r="R1353" s="26"/>
      <c r="S1353" s="26"/>
      <c r="T1353" s="26"/>
      <c r="U1353" s="26"/>
      <c r="V1353" s="26"/>
      <c r="W1353" s="27"/>
    </row>
    <row r="1354" spans="1:23" ht="15.75" customHeight="1" x14ac:dyDescent="0.25">
      <c r="A1354" s="23"/>
      <c r="B1354" s="23" t="str">
        <f t="shared" si="7"/>
        <v/>
      </c>
      <c r="C1354" s="23"/>
      <c r="D1354" s="44"/>
      <c r="E1354" s="23"/>
      <c r="F1354" s="45"/>
      <c r="G1354" s="23"/>
      <c r="H1354" s="23"/>
      <c r="I1354" s="23"/>
      <c r="J1354" s="25"/>
      <c r="K1354" s="23"/>
      <c r="L1354" s="51"/>
      <c r="M1354" s="23"/>
      <c r="N1354" s="26"/>
      <c r="O1354" s="26"/>
      <c r="P1354" s="26"/>
      <c r="Q1354" s="26"/>
      <c r="R1354" s="26"/>
      <c r="S1354" s="26"/>
      <c r="T1354" s="26"/>
      <c r="U1354" s="26"/>
      <c r="V1354" s="26"/>
      <c r="W1354" s="27"/>
    </row>
    <row r="1355" spans="1:23" ht="15.75" customHeight="1" x14ac:dyDescent="0.25">
      <c r="A1355" s="23"/>
      <c r="B1355" s="23" t="str">
        <f t="shared" si="7"/>
        <v/>
      </c>
      <c r="C1355" s="23"/>
      <c r="D1355" s="44"/>
      <c r="E1355" s="23"/>
      <c r="F1355" s="45"/>
      <c r="G1355" s="23"/>
      <c r="H1355" s="23"/>
      <c r="I1355" s="23"/>
      <c r="J1355" s="25"/>
      <c r="K1355" s="23"/>
      <c r="L1355" s="51"/>
      <c r="M1355" s="23"/>
      <c r="N1355" s="26"/>
      <c r="O1355" s="26"/>
      <c r="P1355" s="26"/>
      <c r="Q1355" s="26"/>
      <c r="R1355" s="26"/>
      <c r="S1355" s="26"/>
      <c r="T1355" s="26"/>
      <c r="U1355" s="26"/>
      <c r="V1355" s="26"/>
      <c r="W1355" s="27"/>
    </row>
    <row r="1356" spans="1:23" ht="15.75" customHeight="1" x14ac:dyDescent="0.25">
      <c r="A1356" s="23"/>
      <c r="B1356" s="23" t="str">
        <f t="shared" si="7"/>
        <v/>
      </c>
      <c r="C1356" s="23"/>
      <c r="D1356" s="44"/>
      <c r="E1356" s="23"/>
      <c r="F1356" s="45"/>
      <c r="G1356" s="23"/>
      <c r="H1356" s="23"/>
      <c r="I1356" s="23"/>
      <c r="J1356" s="25"/>
      <c r="K1356" s="23"/>
      <c r="L1356" s="51"/>
      <c r="M1356" s="23"/>
      <c r="N1356" s="26"/>
      <c r="O1356" s="26"/>
      <c r="P1356" s="26"/>
      <c r="Q1356" s="26"/>
      <c r="R1356" s="26"/>
      <c r="S1356" s="26"/>
      <c r="T1356" s="26"/>
      <c r="U1356" s="26"/>
      <c r="V1356" s="26"/>
      <c r="W1356" s="27"/>
    </row>
    <row r="1357" spans="1:23" ht="15.75" customHeight="1" x14ac:dyDescent="0.25">
      <c r="A1357" s="23"/>
      <c r="B1357" s="23" t="str">
        <f t="shared" si="7"/>
        <v/>
      </c>
      <c r="C1357" s="23"/>
      <c r="D1357" s="44"/>
      <c r="E1357" s="23"/>
      <c r="F1357" s="45"/>
      <c r="G1357" s="23"/>
      <c r="H1357" s="23"/>
      <c r="I1357" s="23"/>
      <c r="J1357" s="25"/>
      <c r="K1357" s="23"/>
      <c r="L1357" s="51"/>
      <c r="M1357" s="23"/>
      <c r="N1357" s="26"/>
      <c r="O1357" s="26"/>
      <c r="P1357" s="26"/>
      <c r="Q1357" s="26"/>
      <c r="R1357" s="26"/>
      <c r="S1357" s="26"/>
      <c r="T1357" s="26"/>
      <c r="U1357" s="26"/>
      <c r="V1357" s="26"/>
      <c r="W1357" s="27"/>
    </row>
    <row r="1358" spans="1:23" ht="15.75" customHeight="1" x14ac:dyDescent="0.25">
      <c r="A1358" s="23"/>
      <c r="B1358" s="23" t="str">
        <f t="shared" si="7"/>
        <v/>
      </c>
      <c r="C1358" s="23"/>
      <c r="D1358" s="44"/>
      <c r="E1358" s="23"/>
      <c r="F1358" s="45"/>
      <c r="G1358" s="23"/>
      <c r="H1358" s="23"/>
      <c r="I1358" s="23"/>
      <c r="J1358" s="25"/>
      <c r="K1358" s="23"/>
      <c r="L1358" s="51"/>
      <c r="M1358" s="23"/>
      <c r="N1358" s="26"/>
      <c r="O1358" s="26"/>
      <c r="P1358" s="26"/>
      <c r="Q1358" s="26"/>
      <c r="R1358" s="26"/>
      <c r="S1358" s="26"/>
      <c r="T1358" s="26"/>
      <c r="U1358" s="26"/>
      <c r="V1358" s="26"/>
      <c r="W1358" s="27"/>
    </row>
    <row r="1359" spans="1:23" ht="15.75" customHeight="1" x14ac:dyDescent="0.25">
      <c r="A1359" s="23"/>
      <c r="B1359" s="23" t="str">
        <f t="shared" si="7"/>
        <v/>
      </c>
      <c r="C1359" s="23"/>
      <c r="D1359" s="44"/>
      <c r="E1359" s="23"/>
      <c r="F1359" s="45"/>
      <c r="G1359" s="23"/>
      <c r="H1359" s="23"/>
      <c r="I1359" s="23"/>
      <c r="J1359" s="25"/>
      <c r="K1359" s="23"/>
      <c r="L1359" s="51"/>
      <c r="M1359" s="23"/>
      <c r="N1359" s="26"/>
      <c r="O1359" s="26"/>
      <c r="P1359" s="26"/>
      <c r="Q1359" s="26"/>
      <c r="R1359" s="26"/>
      <c r="S1359" s="26"/>
      <c r="T1359" s="26"/>
      <c r="U1359" s="26"/>
      <c r="V1359" s="26"/>
      <c r="W1359" s="27"/>
    </row>
    <row r="1360" spans="1:23" ht="15.75" customHeight="1" x14ac:dyDescent="0.25">
      <c r="A1360" s="23"/>
      <c r="B1360" s="23" t="str">
        <f t="shared" si="7"/>
        <v/>
      </c>
      <c r="C1360" s="23"/>
      <c r="D1360" s="44"/>
      <c r="E1360" s="23"/>
      <c r="F1360" s="45"/>
      <c r="G1360" s="23"/>
      <c r="H1360" s="23"/>
      <c r="I1360" s="23"/>
      <c r="J1360" s="25"/>
      <c r="K1360" s="23"/>
      <c r="L1360" s="51"/>
      <c r="M1360" s="23"/>
      <c r="N1360" s="26"/>
      <c r="O1360" s="26"/>
      <c r="P1360" s="26"/>
      <c r="Q1360" s="26"/>
      <c r="R1360" s="26"/>
      <c r="S1360" s="26"/>
      <c r="T1360" s="26"/>
      <c r="U1360" s="26"/>
      <c r="V1360" s="26"/>
      <c r="W1360" s="27"/>
    </row>
    <row r="1361" spans="1:23" ht="15.75" customHeight="1" x14ac:dyDescent="0.25">
      <c r="A1361" s="23"/>
      <c r="B1361" s="23" t="str">
        <f t="shared" si="7"/>
        <v/>
      </c>
      <c r="C1361" s="23"/>
      <c r="D1361" s="44"/>
      <c r="E1361" s="23"/>
      <c r="F1361" s="45"/>
      <c r="G1361" s="23"/>
      <c r="H1361" s="23"/>
      <c r="I1361" s="23"/>
      <c r="J1361" s="25"/>
      <c r="K1361" s="23"/>
      <c r="L1361" s="51"/>
      <c r="M1361" s="23"/>
      <c r="N1361" s="26"/>
      <c r="O1361" s="26"/>
      <c r="P1361" s="26"/>
      <c r="Q1361" s="26"/>
      <c r="R1361" s="26"/>
      <c r="S1361" s="26"/>
      <c r="T1361" s="26"/>
      <c r="U1361" s="26"/>
      <c r="V1361" s="26"/>
      <c r="W1361" s="27"/>
    </row>
    <row r="1362" spans="1:23" ht="15.75" customHeight="1" x14ac:dyDescent="0.25">
      <c r="A1362" s="23"/>
      <c r="B1362" s="23" t="str">
        <f t="shared" si="7"/>
        <v/>
      </c>
      <c r="C1362" s="23"/>
      <c r="D1362" s="44"/>
      <c r="E1362" s="23"/>
      <c r="F1362" s="45"/>
      <c r="G1362" s="23"/>
      <c r="H1362" s="23"/>
      <c r="I1362" s="23"/>
      <c r="J1362" s="25"/>
      <c r="K1362" s="23"/>
      <c r="L1362" s="51"/>
      <c r="M1362" s="23"/>
      <c r="N1362" s="26"/>
      <c r="O1362" s="26"/>
      <c r="P1362" s="26"/>
      <c r="Q1362" s="26"/>
      <c r="R1362" s="26"/>
      <c r="S1362" s="26"/>
      <c r="T1362" s="26"/>
      <c r="U1362" s="26"/>
      <c r="V1362" s="26"/>
      <c r="W1362" s="27"/>
    </row>
    <row r="1363" spans="1:23" ht="15.75" customHeight="1" x14ac:dyDescent="0.25">
      <c r="A1363" s="23"/>
      <c r="B1363" s="23" t="str">
        <f t="shared" si="7"/>
        <v/>
      </c>
      <c r="C1363" s="23"/>
      <c r="D1363" s="44"/>
      <c r="E1363" s="23"/>
      <c r="F1363" s="45"/>
      <c r="G1363" s="23"/>
      <c r="H1363" s="23"/>
      <c r="I1363" s="23"/>
      <c r="J1363" s="25"/>
      <c r="K1363" s="23"/>
      <c r="L1363" s="51"/>
      <c r="M1363" s="23"/>
      <c r="N1363" s="26"/>
      <c r="O1363" s="26"/>
      <c r="P1363" s="26"/>
      <c r="Q1363" s="26"/>
      <c r="R1363" s="26"/>
      <c r="S1363" s="26"/>
      <c r="T1363" s="26"/>
      <c r="U1363" s="26"/>
      <c r="V1363" s="26"/>
      <c r="W1363" s="27"/>
    </row>
    <row r="1364" spans="1:23" ht="15.75" customHeight="1" x14ac:dyDescent="0.25">
      <c r="A1364" s="23"/>
      <c r="B1364" s="23" t="str">
        <f t="shared" si="7"/>
        <v/>
      </c>
      <c r="C1364" s="23"/>
      <c r="D1364" s="44"/>
      <c r="E1364" s="23"/>
      <c r="F1364" s="45"/>
      <c r="G1364" s="23"/>
      <c r="H1364" s="23"/>
      <c r="I1364" s="23"/>
      <c r="J1364" s="25"/>
      <c r="K1364" s="23"/>
      <c r="L1364" s="51"/>
      <c r="M1364" s="23"/>
      <c r="N1364" s="26"/>
      <c r="O1364" s="26"/>
      <c r="P1364" s="26"/>
      <c r="Q1364" s="26"/>
      <c r="R1364" s="26"/>
      <c r="S1364" s="26"/>
      <c r="T1364" s="26"/>
      <c r="U1364" s="26"/>
      <c r="V1364" s="26"/>
      <c r="W1364" s="27"/>
    </row>
    <row r="1365" spans="1:23" ht="15.75" customHeight="1" x14ac:dyDescent="0.25">
      <c r="A1365" s="23"/>
      <c r="B1365" s="23" t="str">
        <f t="shared" si="7"/>
        <v/>
      </c>
      <c r="C1365" s="23"/>
      <c r="D1365" s="44"/>
      <c r="E1365" s="23"/>
      <c r="F1365" s="45"/>
      <c r="G1365" s="23"/>
      <c r="H1365" s="23"/>
      <c r="I1365" s="23"/>
      <c r="J1365" s="25"/>
      <c r="K1365" s="23"/>
      <c r="L1365" s="51"/>
      <c r="M1365" s="23"/>
      <c r="N1365" s="26"/>
      <c r="O1365" s="26"/>
      <c r="P1365" s="26"/>
      <c r="Q1365" s="26"/>
      <c r="R1365" s="26"/>
      <c r="S1365" s="26"/>
      <c r="T1365" s="26"/>
      <c r="U1365" s="26"/>
      <c r="V1365" s="26"/>
      <c r="W1365" s="27"/>
    </row>
    <row r="1366" spans="1:23" ht="15.75" customHeight="1" x14ac:dyDescent="0.25">
      <c r="A1366" s="23"/>
      <c r="B1366" s="23" t="str">
        <f t="shared" si="7"/>
        <v/>
      </c>
      <c r="C1366" s="23"/>
      <c r="D1366" s="44"/>
      <c r="E1366" s="23"/>
      <c r="F1366" s="45"/>
      <c r="G1366" s="23"/>
      <c r="H1366" s="23"/>
      <c r="I1366" s="23"/>
      <c r="J1366" s="25"/>
      <c r="K1366" s="23"/>
      <c r="L1366" s="51"/>
      <c r="M1366" s="23"/>
      <c r="N1366" s="26"/>
      <c r="O1366" s="26"/>
      <c r="P1366" s="26"/>
      <c r="Q1366" s="26"/>
      <c r="R1366" s="26"/>
      <c r="S1366" s="26"/>
      <c r="T1366" s="26"/>
      <c r="U1366" s="26"/>
      <c r="V1366" s="26"/>
      <c r="W1366" s="27"/>
    </row>
    <row r="1367" spans="1:23" ht="15.75" customHeight="1" x14ac:dyDescent="0.25">
      <c r="A1367" s="23"/>
      <c r="B1367" s="23" t="str">
        <f t="shared" si="7"/>
        <v/>
      </c>
      <c r="C1367" s="23"/>
      <c r="D1367" s="44"/>
      <c r="E1367" s="23"/>
      <c r="F1367" s="45"/>
      <c r="G1367" s="23"/>
      <c r="H1367" s="23"/>
      <c r="I1367" s="23"/>
      <c r="J1367" s="25"/>
      <c r="K1367" s="23"/>
      <c r="L1367" s="51"/>
      <c r="M1367" s="23"/>
      <c r="N1367" s="26"/>
      <c r="O1367" s="26"/>
      <c r="P1367" s="26"/>
      <c r="Q1367" s="26"/>
      <c r="R1367" s="26"/>
      <c r="S1367" s="26"/>
      <c r="T1367" s="26"/>
      <c r="U1367" s="26"/>
      <c r="V1367" s="26"/>
      <c r="W1367" s="27"/>
    </row>
    <row r="1368" spans="1:23" ht="15.75" customHeight="1" x14ac:dyDescent="0.25">
      <c r="A1368" s="23"/>
      <c r="B1368" s="23" t="str">
        <f t="shared" si="7"/>
        <v/>
      </c>
      <c r="C1368" s="23"/>
      <c r="D1368" s="44"/>
      <c r="E1368" s="23"/>
      <c r="F1368" s="45"/>
      <c r="G1368" s="23"/>
      <c r="H1368" s="23"/>
      <c r="I1368" s="23"/>
      <c r="J1368" s="25"/>
      <c r="K1368" s="23"/>
      <c r="L1368" s="51"/>
      <c r="M1368" s="23"/>
      <c r="N1368" s="26"/>
      <c r="O1368" s="26"/>
      <c r="P1368" s="26"/>
      <c r="Q1368" s="26"/>
      <c r="R1368" s="26"/>
      <c r="S1368" s="26"/>
      <c r="T1368" s="26"/>
      <c r="U1368" s="26"/>
      <c r="V1368" s="26"/>
      <c r="W1368" s="27"/>
    </row>
    <row r="1369" spans="1:23" ht="15.75" customHeight="1" x14ac:dyDescent="0.25">
      <c r="A1369" s="23"/>
      <c r="B1369" s="23" t="str">
        <f t="shared" si="7"/>
        <v/>
      </c>
      <c r="C1369" s="23"/>
      <c r="D1369" s="44"/>
      <c r="E1369" s="23"/>
      <c r="F1369" s="45"/>
      <c r="G1369" s="23"/>
      <c r="H1369" s="23"/>
      <c r="I1369" s="23"/>
      <c r="J1369" s="25"/>
      <c r="K1369" s="23"/>
      <c r="L1369" s="51"/>
      <c r="M1369" s="23"/>
      <c r="N1369" s="26"/>
      <c r="O1369" s="26"/>
      <c r="P1369" s="26"/>
      <c r="Q1369" s="26"/>
      <c r="R1369" s="26"/>
      <c r="S1369" s="26"/>
      <c r="T1369" s="26"/>
      <c r="U1369" s="26"/>
      <c r="V1369" s="26"/>
      <c r="W1369" s="27"/>
    </row>
    <row r="1370" spans="1:23" ht="15.75" customHeight="1" x14ac:dyDescent="0.25">
      <c r="A1370" s="23"/>
      <c r="B1370" s="23" t="str">
        <f t="shared" si="7"/>
        <v/>
      </c>
      <c r="C1370" s="23"/>
      <c r="D1370" s="44"/>
      <c r="E1370" s="23"/>
      <c r="F1370" s="45"/>
      <c r="G1370" s="23"/>
      <c r="H1370" s="23"/>
      <c r="I1370" s="23"/>
      <c r="J1370" s="25"/>
      <c r="K1370" s="23"/>
      <c r="L1370" s="51"/>
      <c r="M1370" s="23"/>
      <c r="N1370" s="26"/>
      <c r="O1370" s="26"/>
      <c r="P1370" s="26"/>
      <c r="Q1370" s="26"/>
      <c r="R1370" s="26"/>
      <c r="S1370" s="26"/>
      <c r="T1370" s="26"/>
      <c r="U1370" s="26"/>
      <c r="V1370" s="26"/>
      <c r="W1370" s="27"/>
    </row>
    <row r="1371" spans="1:23" ht="15.75" customHeight="1" x14ac:dyDescent="0.25">
      <c r="A1371" s="23"/>
      <c r="B1371" s="23" t="str">
        <f t="shared" si="7"/>
        <v/>
      </c>
      <c r="C1371" s="23"/>
      <c r="D1371" s="44"/>
      <c r="E1371" s="23"/>
      <c r="F1371" s="45"/>
      <c r="G1371" s="23"/>
      <c r="H1371" s="23"/>
      <c r="I1371" s="23"/>
      <c r="J1371" s="25"/>
      <c r="K1371" s="23"/>
      <c r="L1371" s="51"/>
      <c r="M1371" s="23"/>
      <c r="N1371" s="26"/>
      <c r="O1371" s="26"/>
      <c r="P1371" s="26"/>
      <c r="Q1371" s="26"/>
      <c r="R1371" s="26"/>
      <c r="S1371" s="26"/>
      <c r="T1371" s="26"/>
      <c r="U1371" s="26"/>
      <c r="V1371" s="26"/>
      <c r="W1371" s="27"/>
    </row>
    <row r="1372" spans="1:23" ht="15.75" customHeight="1" x14ac:dyDescent="0.25">
      <c r="A1372" s="23"/>
      <c r="B1372" s="23" t="str">
        <f t="shared" si="7"/>
        <v/>
      </c>
      <c r="C1372" s="23"/>
      <c r="D1372" s="44"/>
      <c r="E1372" s="23"/>
      <c r="F1372" s="45"/>
      <c r="G1372" s="23"/>
      <c r="H1372" s="23"/>
      <c r="I1372" s="23"/>
      <c r="J1372" s="25"/>
      <c r="K1372" s="23"/>
      <c r="L1372" s="51"/>
      <c r="M1372" s="23"/>
      <c r="N1372" s="26"/>
      <c r="O1372" s="26"/>
      <c r="P1372" s="26"/>
      <c r="Q1372" s="26"/>
      <c r="R1372" s="26"/>
      <c r="S1372" s="26"/>
      <c r="T1372" s="26"/>
      <c r="U1372" s="26"/>
      <c r="V1372" s="26"/>
      <c r="W1372" s="27"/>
    </row>
    <row r="1373" spans="1:23" ht="15.75" customHeight="1" x14ac:dyDescent="0.25">
      <c r="A1373" s="23"/>
      <c r="B1373" s="23" t="str">
        <f t="shared" si="7"/>
        <v/>
      </c>
      <c r="C1373" s="23"/>
      <c r="D1373" s="44"/>
      <c r="E1373" s="23"/>
      <c r="F1373" s="45"/>
      <c r="G1373" s="23"/>
      <c r="H1373" s="23"/>
      <c r="I1373" s="23"/>
      <c r="J1373" s="25"/>
      <c r="K1373" s="23"/>
      <c r="L1373" s="51"/>
      <c r="M1373" s="23"/>
      <c r="N1373" s="26"/>
      <c r="O1373" s="26"/>
      <c r="P1373" s="26"/>
      <c r="Q1373" s="26"/>
      <c r="R1373" s="26"/>
      <c r="S1373" s="26"/>
      <c r="T1373" s="26"/>
      <c r="U1373" s="26"/>
      <c r="V1373" s="26"/>
      <c r="W1373" s="27"/>
    </row>
    <row r="1374" spans="1:23" ht="15.75" customHeight="1" x14ac:dyDescent="0.25">
      <c r="A1374" s="23"/>
      <c r="B1374" s="23" t="str">
        <f t="shared" si="7"/>
        <v/>
      </c>
      <c r="C1374" s="23"/>
      <c r="D1374" s="44"/>
      <c r="E1374" s="23"/>
      <c r="F1374" s="45"/>
      <c r="G1374" s="23"/>
      <c r="H1374" s="23"/>
      <c r="I1374" s="23"/>
      <c r="J1374" s="25"/>
      <c r="K1374" s="23"/>
      <c r="L1374" s="51"/>
      <c r="M1374" s="23"/>
      <c r="N1374" s="26"/>
      <c r="O1374" s="26"/>
      <c r="P1374" s="26"/>
      <c r="Q1374" s="26"/>
      <c r="R1374" s="26"/>
      <c r="S1374" s="26"/>
      <c r="T1374" s="26"/>
      <c r="U1374" s="26"/>
      <c r="V1374" s="26"/>
      <c r="W1374" s="27"/>
    </row>
    <row r="1375" spans="1:23" ht="15.75" customHeight="1" x14ac:dyDescent="0.25">
      <c r="A1375" s="23"/>
      <c r="B1375" s="23" t="str">
        <f t="shared" si="7"/>
        <v/>
      </c>
      <c r="C1375" s="23"/>
      <c r="D1375" s="44"/>
      <c r="E1375" s="23"/>
      <c r="F1375" s="45"/>
      <c r="G1375" s="23"/>
      <c r="H1375" s="23"/>
      <c r="I1375" s="23"/>
      <c r="J1375" s="25"/>
      <c r="K1375" s="23"/>
      <c r="L1375" s="51"/>
      <c r="M1375" s="23"/>
      <c r="N1375" s="26"/>
      <c r="O1375" s="26"/>
      <c r="P1375" s="26"/>
      <c r="Q1375" s="26"/>
      <c r="R1375" s="26"/>
      <c r="S1375" s="26"/>
      <c r="T1375" s="26"/>
      <c r="U1375" s="26"/>
      <c r="V1375" s="26"/>
      <c r="W1375" s="27"/>
    </row>
    <row r="1376" spans="1:23" ht="15.75" customHeight="1" x14ac:dyDescent="0.25">
      <c r="A1376" s="23"/>
      <c r="B1376" s="23" t="str">
        <f t="shared" si="7"/>
        <v/>
      </c>
      <c r="C1376" s="23"/>
      <c r="D1376" s="44"/>
      <c r="E1376" s="23"/>
      <c r="F1376" s="45"/>
      <c r="G1376" s="23"/>
      <c r="H1376" s="23"/>
      <c r="I1376" s="23"/>
      <c r="J1376" s="25"/>
      <c r="K1376" s="23"/>
      <c r="L1376" s="51"/>
      <c r="M1376" s="23"/>
      <c r="N1376" s="26"/>
      <c r="O1376" s="26"/>
      <c r="P1376" s="26"/>
      <c r="Q1376" s="26"/>
      <c r="R1376" s="26"/>
      <c r="S1376" s="26"/>
      <c r="T1376" s="26"/>
      <c r="U1376" s="26"/>
      <c r="V1376" s="26"/>
      <c r="W1376" s="27"/>
    </row>
    <row r="1377" spans="1:23" ht="15.75" customHeight="1" x14ac:dyDescent="0.25">
      <c r="A1377" s="23"/>
      <c r="B1377" s="23" t="str">
        <f t="shared" si="7"/>
        <v/>
      </c>
      <c r="C1377" s="23"/>
      <c r="D1377" s="44"/>
      <c r="E1377" s="23"/>
      <c r="F1377" s="45"/>
      <c r="G1377" s="23"/>
      <c r="H1377" s="23"/>
      <c r="I1377" s="23"/>
      <c r="J1377" s="25"/>
      <c r="K1377" s="23"/>
      <c r="L1377" s="51"/>
      <c r="M1377" s="23"/>
      <c r="N1377" s="26"/>
      <c r="O1377" s="26"/>
      <c r="P1377" s="26"/>
      <c r="Q1377" s="26"/>
      <c r="R1377" s="26"/>
      <c r="S1377" s="26"/>
      <c r="T1377" s="26"/>
      <c r="U1377" s="26"/>
      <c r="V1377" s="26"/>
      <c r="W1377" s="27"/>
    </row>
    <row r="1378" spans="1:23" ht="15.75" customHeight="1" x14ac:dyDescent="0.25">
      <c r="A1378" s="23"/>
      <c r="B1378" s="23" t="str">
        <f t="shared" si="7"/>
        <v/>
      </c>
      <c r="C1378" s="23"/>
      <c r="D1378" s="44"/>
      <c r="E1378" s="23"/>
      <c r="F1378" s="45"/>
      <c r="G1378" s="23"/>
      <c r="H1378" s="23"/>
      <c r="I1378" s="23"/>
      <c r="J1378" s="25"/>
      <c r="K1378" s="23"/>
      <c r="L1378" s="51"/>
      <c r="M1378" s="23"/>
      <c r="N1378" s="26"/>
      <c r="O1378" s="26"/>
      <c r="P1378" s="26"/>
      <c r="Q1378" s="26"/>
      <c r="R1378" s="26"/>
      <c r="S1378" s="26"/>
      <c r="T1378" s="26"/>
      <c r="U1378" s="26"/>
      <c r="V1378" s="26"/>
      <c r="W1378" s="27"/>
    </row>
    <row r="1379" spans="1:23" ht="15.75" customHeight="1" x14ac:dyDescent="0.25">
      <c r="A1379" s="23"/>
      <c r="B1379" s="23" t="str">
        <f t="shared" si="7"/>
        <v/>
      </c>
      <c r="C1379" s="23"/>
      <c r="D1379" s="44"/>
      <c r="E1379" s="23"/>
      <c r="F1379" s="45"/>
      <c r="G1379" s="23"/>
      <c r="H1379" s="23"/>
      <c r="I1379" s="23"/>
      <c r="J1379" s="25"/>
      <c r="K1379" s="23"/>
      <c r="L1379" s="51"/>
      <c r="M1379" s="23"/>
      <c r="N1379" s="26"/>
      <c r="O1379" s="26"/>
      <c r="P1379" s="26"/>
      <c r="Q1379" s="26"/>
      <c r="R1379" s="26"/>
      <c r="S1379" s="26"/>
      <c r="T1379" s="26"/>
      <c r="U1379" s="26"/>
      <c r="V1379" s="26"/>
      <c r="W1379" s="27"/>
    </row>
    <row r="1380" spans="1:23" ht="15.75" customHeight="1" x14ac:dyDescent="0.25">
      <c r="A1380" s="23"/>
      <c r="B1380" s="23" t="str">
        <f t="shared" si="7"/>
        <v/>
      </c>
      <c r="C1380" s="23"/>
      <c r="D1380" s="44"/>
      <c r="E1380" s="23"/>
      <c r="F1380" s="45"/>
      <c r="G1380" s="23"/>
      <c r="H1380" s="23"/>
      <c r="I1380" s="23"/>
      <c r="J1380" s="25"/>
      <c r="K1380" s="23"/>
      <c r="L1380" s="51"/>
      <c r="M1380" s="23"/>
      <c r="N1380" s="26"/>
      <c r="O1380" s="26"/>
      <c r="P1380" s="26"/>
      <c r="Q1380" s="26"/>
      <c r="R1380" s="26"/>
      <c r="S1380" s="26"/>
      <c r="T1380" s="26"/>
      <c r="U1380" s="26"/>
      <c r="V1380" s="26"/>
      <c r="W1380" s="27"/>
    </row>
    <row r="1381" spans="1:23" ht="15.75" customHeight="1" x14ac:dyDescent="0.25">
      <c r="A1381" s="23"/>
      <c r="B1381" s="23" t="str">
        <f t="shared" si="7"/>
        <v/>
      </c>
      <c r="C1381" s="23"/>
      <c r="D1381" s="44"/>
      <c r="E1381" s="23"/>
      <c r="F1381" s="45"/>
      <c r="G1381" s="23"/>
      <c r="H1381" s="23"/>
      <c r="I1381" s="23"/>
      <c r="J1381" s="25"/>
      <c r="K1381" s="23"/>
      <c r="L1381" s="51"/>
      <c r="M1381" s="23"/>
      <c r="N1381" s="26"/>
      <c r="O1381" s="26"/>
      <c r="P1381" s="26"/>
      <c r="Q1381" s="26"/>
      <c r="R1381" s="26"/>
      <c r="S1381" s="26"/>
      <c r="T1381" s="26"/>
      <c r="U1381" s="26"/>
      <c r="V1381" s="26"/>
      <c r="W1381" s="27"/>
    </row>
    <row r="1382" spans="1:23" ht="15.75" customHeight="1" x14ac:dyDescent="0.25">
      <c r="A1382" s="23"/>
      <c r="B1382" s="23" t="str">
        <f t="shared" si="7"/>
        <v/>
      </c>
      <c r="C1382" s="23"/>
      <c r="D1382" s="44"/>
      <c r="E1382" s="23"/>
      <c r="F1382" s="45"/>
      <c r="G1382" s="23"/>
      <c r="H1382" s="23"/>
      <c r="I1382" s="23"/>
      <c r="J1382" s="25"/>
      <c r="K1382" s="23"/>
      <c r="L1382" s="51"/>
      <c r="M1382" s="23"/>
      <c r="N1382" s="26"/>
      <c r="O1382" s="26"/>
      <c r="P1382" s="26"/>
      <c r="Q1382" s="26"/>
      <c r="R1382" s="26"/>
      <c r="S1382" s="26"/>
      <c r="T1382" s="26"/>
      <c r="U1382" s="26"/>
      <c r="V1382" s="26"/>
      <c r="W1382" s="27"/>
    </row>
    <row r="1383" spans="1:23" ht="15.75" customHeight="1" x14ac:dyDescent="0.25">
      <c r="A1383" s="23"/>
      <c r="B1383" s="23" t="str">
        <f t="shared" si="7"/>
        <v/>
      </c>
      <c r="C1383" s="23"/>
      <c r="D1383" s="44"/>
      <c r="E1383" s="23"/>
      <c r="F1383" s="45"/>
      <c r="G1383" s="23"/>
      <c r="H1383" s="23"/>
      <c r="I1383" s="23"/>
      <c r="J1383" s="25"/>
      <c r="K1383" s="23"/>
      <c r="L1383" s="51"/>
      <c r="M1383" s="23"/>
      <c r="N1383" s="26"/>
      <c r="O1383" s="26"/>
      <c r="P1383" s="26"/>
      <c r="Q1383" s="26"/>
      <c r="R1383" s="26"/>
      <c r="S1383" s="26"/>
      <c r="T1383" s="26"/>
      <c r="U1383" s="26"/>
      <c r="V1383" s="26"/>
      <c r="W1383" s="27"/>
    </row>
    <row r="1384" spans="1:23" ht="15.75" customHeight="1" x14ac:dyDescent="0.25">
      <c r="A1384" s="23"/>
      <c r="B1384" s="23" t="str">
        <f t="shared" si="7"/>
        <v/>
      </c>
      <c r="C1384" s="23"/>
      <c r="D1384" s="44"/>
      <c r="E1384" s="23"/>
      <c r="F1384" s="45"/>
      <c r="G1384" s="23"/>
      <c r="H1384" s="23"/>
      <c r="I1384" s="23"/>
      <c r="J1384" s="25"/>
      <c r="K1384" s="23"/>
      <c r="L1384" s="51"/>
      <c r="M1384" s="23"/>
      <c r="N1384" s="26"/>
      <c r="O1384" s="26"/>
      <c r="P1384" s="26"/>
      <c r="Q1384" s="26"/>
      <c r="R1384" s="26"/>
      <c r="S1384" s="26"/>
      <c r="T1384" s="26"/>
      <c r="U1384" s="26"/>
      <c r="V1384" s="26"/>
      <c r="W1384" s="27"/>
    </row>
    <row r="1385" spans="1:23" ht="15.75" customHeight="1" x14ac:dyDescent="0.25">
      <c r="A1385" s="23"/>
      <c r="B1385" s="23" t="str">
        <f t="shared" si="7"/>
        <v/>
      </c>
      <c r="C1385" s="23"/>
      <c r="D1385" s="44"/>
      <c r="E1385" s="23"/>
      <c r="F1385" s="45"/>
      <c r="G1385" s="23"/>
      <c r="H1385" s="23"/>
      <c r="I1385" s="23"/>
      <c r="J1385" s="25"/>
      <c r="K1385" s="23"/>
      <c r="L1385" s="51"/>
      <c r="M1385" s="23"/>
      <c r="N1385" s="26"/>
      <c r="O1385" s="26"/>
      <c r="P1385" s="26"/>
      <c r="Q1385" s="26"/>
      <c r="R1385" s="26"/>
      <c r="S1385" s="26"/>
      <c r="T1385" s="26"/>
      <c r="U1385" s="26"/>
      <c r="V1385" s="26"/>
      <c r="W1385" s="27"/>
    </row>
    <row r="1386" spans="1:23" ht="15.75" customHeight="1" x14ac:dyDescent="0.25">
      <c r="A1386" s="23"/>
      <c r="B1386" s="23" t="str">
        <f t="shared" si="7"/>
        <v/>
      </c>
      <c r="C1386" s="23"/>
      <c r="D1386" s="44"/>
      <c r="E1386" s="23"/>
      <c r="F1386" s="45"/>
      <c r="G1386" s="23"/>
      <c r="H1386" s="23"/>
      <c r="I1386" s="23"/>
      <c r="J1386" s="25"/>
      <c r="K1386" s="23"/>
      <c r="L1386" s="51"/>
      <c r="M1386" s="23"/>
      <c r="N1386" s="26"/>
      <c r="O1386" s="26"/>
      <c r="P1386" s="26"/>
      <c r="Q1386" s="26"/>
      <c r="R1386" s="26"/>
      <c r="S1386" s="26"/>
      <c r="T1386" s="26"/>
      <c r="U1386" s="26"/>
      <c r="V1386" s="26"/>
      <c r="W1386" s="27"/>
    </row>
    <row r="1387" spans="1:23" ht="15.75" customHeight="1" x14ac:dyDescent="0.25">
      <c r="A1387" s="23"/>
      <c r="B1387" s="23" t="str">
        <f t="shared" si="7"/>
        <v/>
      </c>
      <c r="C1387" s="23"/>
      <c r="D1387" s="44"/>
      <c r="E1387" s="23"/>
      <c r="F1387" s="45"/>
      <c r="G1387" s="23"/>
      <c r="H1387" s="23"/>
      <c r="I1387" s="23"/>
      <c r="J1387" s="25"/>
      <c r="K1387" s="23"/>
      <c r="L1387" s="51"/>
      <c r="M1387" s="23"/>
      <c r="N1387" s="26"/>
      <c r="O1387" s="26"/>
      <c r="P1387" s="26"/>
      <c r="Q1387" s="26"/>
      <c r="R1387" s="26"/>
      <c r="S1387" s="26"/>
      <c r="T1387" s="26"/>
      <c r="U1387" s="26"/>
      <c r="V1387" s="26"/>
      <c r="W1387" s="27"/>
    </row>
    <row r="1388" spans="1:23" ht="15.75" customHeight="1" x14ac:dyDescent="0.25">
      <c r="A1388" s="23"/>
      <c r="B1388" s="23" t="str">
        <f t="shared" si="7"/>
        <v/>
      </c>
      <c r="C1388" s="23"/>
      <c r="D1388" s="44"/>
      <c r="E1388" s="23"/>
      <c r="F1388" s="45"/>
      <c r="G1388" s="23"/>
      <c r="H1388" s="23"/>
      <c r="I1388" s="23"/>
      <c r="J1388" s="25"/>
      <c r="K1388" s="23"/>
      <c r="L1388" s="51"/>
      <c r="M1388" s="23"/>
      <c r="N1388" s="26"/>
      <c r="O1388" s="26"/>
      <c r="P1388" s="26"/>
      <c r="Q1388" s="26"/>
      <c r="R1388" s="26"/>
      <c r="S1388" s="26"/>
      <c r="T1388" s="26"/>
      <c r="U1388" s="26"/>
      <c r="V1388" s="26"/>
      <c r="W1388" s="27"/>
    </row>
    <row r="1389" spans="1:23" ht="15.75" customHeight="1" x14ac:dyDescent="0.25">
      <c r="A1389" s="23"/>
      <c r="B1389" s="23" t="str">
        <f t="shared" si="7"/>
        <v/>
      </c>
      <c r="C1389" s="23"/>
      <c r="D1389" s="44"/>
      <c r="E1389" s="23"/>
      <c r="F1389" s="45"/>
      <c r="G1389" s="23"/>
      <c r="H1389" s="23"/>
      <c r="I1389" s="23"/>
      <c r="J1389" s="25"/>
      <c r="K1389" s="23"/>
      <c r="L1389" s="51"/>
      <c r="M1389" s="23"/>
      <c r="N1389" s="26"/>
      <c r="O1389" s="26"/>
      <c r="P1389" s="26"/>
      <c r="Q1389" s="26"/>
      <c r="R1389" s="26"/>
      <c r="S1389" s="26"/>
      <c r="T1389" s="26"/>
      <c r="U1389" s="26"/>
      <c r="V1389" s="26"/>
      <c r="W1389" s="27"/>
    </row>
    <row r="1390" spans="1:23" ht="15.75" customHeight="1" x14ac:dyDescent="0.25">
      <c r="A1390" s="23"/>
      <c r="B1390" s="23" t="str">
        <f t="shared" si="7"/>
        <v/>
      </c>
      <c r="C1390" s="23"/>
      <c r="D1390" s="44"/>
      <c r="E1390" s="23"/>
      <c r="F1390" s="45"/>
      <c r="G1390" s="23"/>
      <c r="H1390" s="23"/>
      <c r="I1390" s="23"/>
      <c r="J1390" s="25"/>
      <c r="K1390" s="23"/>
      <c r="L1390" s="51"/>
      <c r="M1390" s="23"/>
      <c r="N1390" s="26"/>
      <c r="O1390" s="26"/>
      <c r="P1390" s="26"/>
      <c r="Q1390" s="26"/>
      <c r="R1390" s="26"/>
      <c r="S1390" s="26"/>
      <c r="T1390" s="26"/>
      <c r="U1390" s="26"/>
      <c r="V1390" s="26"/>
      <c r="W1390" s="27"/>
    </row>
    <row r="1391" spans="1:23" ht="15.75" customHeight="1" x14ac:dyDescent="0.25">
      <c r="A1391" s="23"/>
      <c r="B1391" s="23" t="str">
        <f t="shared" si="7"/>
        <v/>
      </c>
      <c r="C1391" s="23"/>
      <c r="D1391" s="44"/>
      <c r="E1391" s="23"/>
      <c r="F1391" s="45"/>
      <c r="G1391" s="23"/>
      <c r="H1391" s="23"/>
      <c r="I1391" s="23"/>
      <c r="J1391" s="25"/>
      <c r="K1391" s="23"/>
      <c r="L1391" s="51"/>
      <c r="M1391" s="23"/>
      <c r="N1391" s="26"/>
      <c r="O1391" s="26"/>
      <c r="P1391" s="26"/>
      <c r="Q1391" s="26"/>
      <c r="R1391" s="26"/>
      <c r="S1391" s="26"/>
      <c r="T1391" s="26"/>
      <c r="U1391" s="26"/>
      <c r="V1391" s="26"/>
      <c r="W1391" s="27"/>
    </row>
    <row r="1392" spans="1:23" ht="15.75" customHeight="1" x14ac:dyDescent="0.25">
      <c r="A1392" s="23"/>
      <c r="B1392" s="23" t="str">
        <f t="shared" si="7"/>
        <v/>
      </c>
      <c r="C1392" s="23"/>
      <c r="D1392" s="44"/>
      <c r="E1392" s="23"/>
      <c r="F1392" s="45"/>
      <c r="G1392" s="23"/>
      <c r="H1392" s="23"/>
      <c r="I1392" s="23"/>
      <c r="J1392" s="25"/>
      <c r="K1392" s="23"/>
      <c r="L1392" s="51"/>
      <c r="M1392" s="23"/>
      <c r="N1392" s="26"/>
      <c r="O1392" s="26"/>
      <c r="P1392" s="26"/>
      <c r="Q1392" s="26"/>
      <c r="R1392" s="26"/>
      <c r="S1392" s="26"/>
      <c r="T1392" s="26"/>
      <c r="U1392" s="26"/>
      <c r="V1392" s="26"/>
      <c r="W1392" s="27"/>
    </row>
    <row r="1393" spans="1:23" ht="15.75" customHeight="1" x14ac:dyDescent="0.25">
      <c r="A1393" s="23"/>
      <c r="B1393" s="23" t="str">
        <f t="shared" si="7"/>
        <v/>
      </c>
      <c r="C1393" s="23"/>
      <c r="D1393" s="44"/>
      <c r="E1393" s="23"/>
      <c r="F1393" s="45"/>
      <c r="G1393" s="23"/>
      <c r="H1393" s="23"/>
      <c r="I1393" s="23"/>
      <c r="J1393" s="25"/>
      <c r="K1393" s="23"/>
      <c r="L1393" s="51"/>
      <c r="M1393" s="23"/>
      <c r="N1393" s="26"/>
      <c r="O1393" s="26"/>
      <c r="P1393" s="26"/>
      <c r="Q1393" s="26"/>
      <c r="R1393" s="26"/>
      <c r="S1393" s="26"/>
      <c r="T1393" s="26"/>
      <c r="U1393" s="26"/>
      <c r="V1393" s="26"/>
      <c r="W1393" s="27"/>
    </row>
    <row r="1394" spans="1:23" ht="15.75" customHeight="1" x14ac:dyDescent="0.25">
      <c r="A1394" s="23"/>
      <c r="B1394" s="23" t="str">
        <f t="shared" si="7"/>
        <v/>
      </c>
      <c r="C1394" s="23"/>
      <c r="D1394" s="44"/>
      <c r="E1394" s="23"/>
      <c r="F1394" s="45"/>
      <c r="G1394" s="23"/>
      <c r="H1394" s="23"/>
      <c r="I1394" s="23"/>
      <c r="J1394" s="25"/>
      <c r="K1394" s="23"/>
      <c r="L1394" s="51"/>
      <c r="M1394" s="23"/>
      <c r="N1394" s="26"/>
      <c r="O1394" s="26"/>
      <c r="P1394" s="26"/>
      <c r="Q1394" s="26"/>
      <c r="R1394" s="26"/>
      <c r="S1394" s="26"/>
      <c r="T1394" s="26"/>
      <c r="U1394" s="26"/>
      <c r="V1394" s="26"/>
      <c r="W1394" s="27"/>
    </row>
    <row r="1395" spans="1:23" ht="15.75" customHeight="1" x14ac:dyDescent="0.25">
      <c r="A1395" s="23"/>
      <c r="B1395" s="23" t="str">
        <f t="shared" si="7"/>
        <v/>
      </c>
      <c r="C1395" s="23"/>
      <c r="D1395" s="44"/>
      <c r="E1395" s="23"/>
      <c r="F1395" s="45"/>
      <c r="G1395" s="23"/>
      <c r="H1395" s="23"/>
      <c r="I1395" s="23"/>
      <c r="J1395" s="25"/>
      <c r="K1395" s="23"/>
      <c r="L1395" s="51"/>
      <c r="M1395" s="23"/>
      <c r="N1395" s="26"/>
      <c r="O1395" s="26"/>
      <c r="P1395" s="26"/>
      <c r="Q1395" s="26"/>
      <c r="R1395" s="26"/>
      <c r="S1395" s="26"/>
      <c r="T1395" s="26"/>
      <c r="U1395" s="26"/>
      <c r="V1395" s="26"/>
      <c r="W1395" s="27"/>
    </row>
    <row r="1396" spans="1:23" ht="15.75" customHeight="1" x14ac:dyDescent="0.25">
      <c r="A1396" s="23"/>
      <c r="B1396" s="23" t="str">
        <f t="shared" si="7"/>
        <v/>
      </c>
      <c r="C1396" s="23"/>
      <c r="D1396" s="44"/>
      <c r="E1396" s="23"/>
      <c r="F1396" s="45"/>
      <c r="G1396" s="23"/>
      <c r="H1396" s="23"/>
      <c r="I1396" s="23"/>
      <c r="J1396" s="25"/>
      <c r="K1396" s="23"/>
      <c r="L1396" s="51"/>
      <c r="M1396" s="23"/>
      <c r="N1396" s="26"/>
      <c r="O1396" s="26"/>
      <c r="P1396" s="26"/>
      <c r="Q1396" s="26"/>
      <c r="R1396" s="26"/>
      <c r="S1396" s="26"/>
      <c r="T1396" s="26"/>
      <c r="U1396" s="26"/>
      <c r="V1396" s="26"/>
      <c r="W1396" s="27"/>
    </row>
    <row r="1397" spans="1:23" ht="15.75" customHeight="1" x14ac:dyDescent="0.25">
      <c r="A1397" s="23"/>
      <c r="B1397" s="23" t="str">
        <f t="shared" si="7"/>
        <v/>
      </c>
      <c r="C1397" s="23"/>
      <c r="D1397" s="44"/>
      <c r="E1397" s="23"/>
      <c r="F1397" s="45"/>
      <c r="G1397" s="23"/>
      <c r="H1397" s="23"/>
      <c r="I1397" s="23"/>
      <c r="J1397" s="25"/>
      <c r="K1397" s="23"/>
      <c r="L1397" s="51"/>
      <c r="M1397" s="23"/>
      <c r="N1397" s="26"/>
      <c r="O1397" s="26"/>
      <c r="P1397" s="26"/>
      <c r="Q1397" s="26"/>
      <c r="R1397" s="26"/>
      <c r="S1397" s="26"/>
      <c r="T1397" s="26"/>
      <c r="U1397" s="26"/>
      <c r="V1397" s="26"/>
      <c r="W1397" s="27"/>
    </row>
    <row r="1398" spans="1:23" ht="15.75" customHeight="1" x14ac:dyDescent="0.25">
      <c r="A1398" s="23"/>
      <c r="B1398" s="23" t="str">
        <f t="shared" si="7"/>
        <v/>
      </c>
      <c r="C1398" s="23"/>
      <c r="D1398" s="44"/>
      <c r="E1398" s="23"/>
      <c r="F1398" s="45"/>
      <c r="G1398" s="23"/>
      <c r="H1398" s="23"/>
      <c r="I1398" s="23"/>
      <c r="J1398" s="25"/>
      <c r="K1398" s="23"/>
      <c r="L1398" s="51"/>
      <c r="M1398" s="23"/>
      <c r="N1398" s="26"/>
      <c r="O1398" s="26"/>
      <c r="P1398" s="26"/>
      <c r="Q1398" s="26"/>
      <c r="R1398" s="26"/>
      <c r="S1398" s="26"/>
      <c r="T1398" s="26"/>
      <c r="U1398" s="26"/>
      <c r="V1398" s="26"/>
      <c r="W1398" s="27"/>
    </row>
    <row r="1399" spans="1:23" ht="15.75" customHeight="1" x14ac:dyDescent="0.25">
      <c r="A1399" s="23"/>
      <c r="B1399" s="23" t="str">
        <f t="shared" si="7"/>
        <v/>
      </c>
      <c r="C1399" s="23"/>
      <c r="D1399" s="44"/>
      <c r="E1399" s="23"/>
      <c r="F1399" s="45"/>
      <c r="G1399" s="23"/>
      <c r="H1399" s="23"/>
      <c r="I1399" s="23"/>
      <c r="J1399" s="25"/>
      <c r="K1399" s="23"/>
      <c r="L1399" s="51"/>
      <c r="M1399" s="23"/>
      <c r="N1399" s="26"/>
      <c r="O1399" s="26"/>
      <c r="P1399" s="26"/>
      <c r="Q1399" s="26"/>
      <c r="R1399" s="26"/>
      <c r="S1399" s="26"/>
      <c r="T1399" s="26"/>
      <c r="U1399" s="26"/>
      <c r="V1399" s="26"/>
      <c r="W1399" s="27"/>
    </row>
    <row r="1400" spans="1:23" ht="15.75" customHeight="1" x14ac:dyDescent="0.25">
      <c r="A1400" s="23"/>
      <c r="B1400" s="23" t="str">
        <f t="shared" si="7"/>
        <v/>
      </c>
      <c r="C1400" s="23"/>
      <c r="D1400" s="44"/>
      <c r="E1400" s="23"/>
      <c r="F1400" s="45"/>
      <c r="G1400" s="23"/>
      <c r="H1400" s="23"/>
      <c r="I1400" s="23"/>
      <c r="J1400" s="25"/>
      <c r="K1400" s="23"/>
      <c r="L1400" s="51"/>
      <c r="M1400" s="23"/>
      <c r="N1400" s="26"/>
      <c r="O1400" s="26"/>
      <c r="P1400" s="26"/>
      <c r="Q1400" s="26"/>
      <c r="R1400" s="26"/>
      <c r="S1400" s="26"/>
      <c r="T1400" s="26"/>
      <c r="U1400" s="26"/>
      <c r="V1400" s="26"/>
      <c r="W1400" s="27"/>
    </row>
    <row r="1401" spans="1:23" ht="15.75" customHeight="1" x14ac:dyDescent="0.25">
      <c r="A1401" s="23"/>
      <c r="B1401" s="23" t="str">
        <f t="shared" si="7"/>
        <v/>
      </c>
      <c r="C1401" s="23"/>
      <c r="D1401" s="44"/>
      <c r="E1401" s="23"/>
      <c r="F1401" s="45"/>
      <c r="G1401" s="23"/>
      <c r="H1401" s="23"/>
      <c r="I1401" s="23"/>
      <c r="J1401" s="25"/>
      <c r="K1401" s="23"/>
      <c r="L1401" s="51"/>
      <c r="M1401" s="23"/>
      <c r="N1401" s="26"/>
      <c r="O1401" s="26"/>
      <c r="P1401" s="26"/>
      <c r="Q1401" s="26"/>
      <c r="R1401" s="26"/>
      <c r="S1401" s="26"/>
      <c r="T1401" s="26"/>
      <c r="U1401" s="26"/>
      <c r="V1401" s="26"/>
      <c r="W1401" s="27"/>
    </row>
    <row r="1402" spans="1:23" ht="15.75" customHeight="1" x14ac:dyDescent="0.25">
      <c r="A1402" s="23"/>
      <c r="B1402" s="23" t="str">
        <f t="shared" si="7"/>
        <v/>
      </c>
      <c r="C1402" s="23"/>
      <c r="D1402" s="44"/>
      <c r="E1402" s="23"/>
      <c r="F1402" s="45"/>
      <c r="G1402" s="23"/>
      <c r="H1402" s="23"/>
      <c r="I1402" s="23"/>
      <c r="J1402" s="25"/>
      <c r="K1402" s="23"/>
      <c r="L1402" s="51"/>
      <c r="M1402" s="23"/>
      <c r="N1402" s="26"/>
      <c r="O1402" s="26"/>
      <c r="P1402" s="26"/>
      <c r="Q1402" s="26"/>
      <c r="R1402" s="26"/>
      <c r="S1402" s="26"/>
      <c r="T1402" s="26"/>
      <c r="U1402" s="26"/>
      <c r="V1402" s="26"/>
      <c r="W1402" s="27"/>
    </row>
    <row r="1403" spans="1:23" ht="15.75" customHeight="1" x14ac:dyDescent="0.25">
      <c r="A1403" s="23"/>
      <c r="B1403" s="23" t="str">
        <f t="shared" si="7"/>
        <v/>
      </c>
      <c r="C1403" s="23"/>
      <c r="D1403" s="44"/>
      <c r="E1403" s="23"/>
      <c r="F1403" s="45"/>
      <c r="G1403" s="23"/>
      <c r="H1403" s="23"/>
      <c r="I1403" s="23"/>
      <c r="J1403" s="25"/>
      <c r="K1403" s="23"/>
      <c r="L1403" s="51"/>
      <c r="M1403" s="23"/>
      <c r="N1403" s="26"/>
      <c r="O1403" s="26"/>
      <c r="P1403" s="26"/>
      <c r="Q1403" s="26"/>
      <c r="R1403" s="26"/>
      <c r="S1403" s="26"/>
      <c r="T1403" s="26"/>
      <c r="U1403" s="26"/>
      <c r="V1403" s="26"/>
      <c r="W1403" s="27"/>
    </row>
    <row r="1404" spans="1:23" ht="15.75" customHeight="1" x14ac:dyDescent="0.25">
      <c r="A1404" s="23"/>
      <c r="B1404" s="23" t="str">
        <f t="shared" si="7"/>
        <v/>
      </c>
      <c r="C1404" s="23"/>
      <c r="D1404" s="44"/>
      <c r="E1404" s="23"/>
      <c r="F1404" s="45"/>
      <c r="G1404" s="23"/>
      <c r="H1404" s="23"/>
      <c r="I1404" s="23"/>
      <c r="J1404" s="25"/>
      <c r="K1404" s="23"/>
      <c r="L1404" s="51"/>
      <c r="M1404" s="23"/>
      <c r="N1404" s="26"/>
      <c r="O1404" s="26"/>
      <c r="P1404" s="26"/>
      <c r="Q1404" s="26"/>
      <c r="R1404" s="26"/>
      <c r="S1404" s="26"/>
      <c r="T1404" s="26"/>
      <c r="U1404" s="26"/>
      <c r="V1404" s="26"/>
      <c r="W1404" s="27"/>
    </row>
    <row r="1405" spans="1:23" ht="15.75" customHeight="1" x14ac:dyDescent="0.25">
      <c r="A1405" s="23"/>
      <c r="B1405" s="23" t="str">
        <f t="shared" si="7"/>
        <v/>
      </c>
      <c r="C1405" s="23"/>
      <c r="D1405" s="44"/>
      <c r="E1405" s="23"/>
      <c r="F1405" s="45"/>
      <c r="G1405" s="23"/>
      <c r="H1405" s="23"/>
      <c r="I1405" s="23"/>
      <c r="J1405" s="25"/>
      <c r="K1405" s="23"/>
      <c r="L1405" s="51"/>
      <c r="M1405" s="23"/>
      <c r="N1405" s="26"/>
      <c r="O1405" s="26"/>
      <c r="P1405" s="26"/>
      <c r="Q1405" s="26"/>
      <c r="R1405" s="26"/>
      <c r="S1405" s="26"/>
      <c r="T1405" s="26"/>
      <c r="U1405" s="26"/>
      <c r="V1405" s="26"/>
      <c r="W1405" s="27"/>
    </row>
    <row r="1406" spans="1:23" ht="15.75" customHeight="1" x14ac:dyDescent="0.25">
      <c r="A1406" s="23"/>
      <c r="B1406" s="23" t="str">
        <f t="shared" si="7"/>
        <v/>
      </c>
      <c r="C1406" s="23"/>
      <c r="D1406" s="44"/>
      <c r="E1406" s="23"/>
      <c r="F1406" s="45"/>
      <c r="G1406" s="23"/>
      <c r="H1406" s="23"/>
      <c r="I1406" s="23"/>
      <c r="J1406" s="25"/>
      <c r="K1406" s="23"/>
      <c r="L1406" s="51"/>
      <c r="M1406" s="23"/>
      <c r="N1406" s="26"/>
      <c r="O1406" s="26"/>
      <c r="P1406" s="26"/>
      <c r="Q1406" s="26"/>
      <c r="R1406" s="26"/>
      <c r="S1406" s="26"/>
      <c r="T1406" s="26"/>
      <c r="U1406" s="26"/>
      <c r="V1406" s="26"/>
      <c r="W1406" s="27"/>
    </row>
    <row r="1407" spans="1:23" ht="15.75" customHeight="1" x14ac:dyDescent="0.25">
      <c r="A1407" s="23"/>
      <c r="B1407" s="23" t="str">
        <f t="shared" si="7"/>
        <v/>
      </c>
      <c r="C1407" s="23"/>
      <c r="D1407" s="44"/>
      <c r="E1407" s="23"/>
      <c r="F1407" s="45"/>
      <c r="G1407" s="23"/>
      <c r="H1407" s="23"/>
      <c r="I1407" s="23"/>
      <c r="J1407" s="25"/>
      <c r="K1407" s="23"/>
      <c r="L1407" s="51"/>
      <c r="M1407" s="23"/>
      <c r="N1407" s="26"/>
      <c r="O1407" s="26"/>
      <c r="P1407" s="26"/>
      <c r="Q1407" s="26"/>
      <c r="R1407" s="26"/>
      <c r="S1407" s="26"/>
      <c r="T1407" s="26"/>
      <c r="U1407" s="26"/>
      <c r="V1407" s="26"/>
      <c r="W1407" s="27"/>
    </row>
    <row r="1408" spans="1:23" ht="15.75" customHeight="1" x14ac:dyDescent="0.25">
      <c r="A1408" s="23"/>
      <c r="B1408" s="23" t="str">
        <f t="shared" si="7"/>
        <v/>
      </c>
      <c r="C1408" s="23"/>
      <c r="D1408" s="44"/>
      <c r="E1408" s="23"/>
      <c r="F1408" s="45"/>
      <c r="G1408" s="23"/>
      <c r="H1408" s="23"/>
      <c r="I1408" s="23"/>
      <c r="J1408" s="25"/>
      <c r="K1408" s="23"/>
      <c r="L1408" s="51"/>
      <c r="M1408" s="23"/>
      <c r="N1408" s="26"/>
      <c r="O1408" s="26"/>
      <c r="P1408" s="26"/>
      <c r="Q1408" s="26"/>
      <c r="R1408" s="26"/>
      <c r="S1408" s="26"/>
      <c r="T1408" s="26"/>
      <c r="U1408" s="26"/>
      <c r="V1408" s="26"/>
      <c r="W1408" s="27"/>
    </row>
    <row r="1409" spans="1:23" ht="15.75" customHeight="1" x14ac:dyDescent="0.25">
      <c r="A1409" s="23"/>
      <c r="B1409" s="23" t="str">
        <f t="shared" si="7"/>
        <v/>
      </c>
      <c r="C1409" s="23"/>
      <c r="D1409" s="44"/>
      <c r="E1409" s="23"/>
      <c r="F1409" s="45"/>
      <c r="G1409" s="23"/>
      <c r="H1409" s="23"/>
      <c r="I1409" s="23"/>
      <c r="J1409" s="25"/>
      <c r="K1409" s="23"/>
      <c r="L1409" s="51"/>
      <c r="M1409" s="23"/>
      <c r="N1409" s="26"/>
      <c r="O1409" s="26"/>
      <c r="P1409" s="26"/>
      <c r="Q1409" s="26"/>
      <c r="R1409" s="26"/>
      <c r="S1409" s="26"/>
      <c r="T1409" s="26"/>
      <c r="U1409" s="26"/>
      <c r="V1409" s="26"/>
      <c r="W1409" s="27"/>
    </row>
    <row r="1410" spans="1:23" ht="15.75" customHeight="1" x14ac:dyDescent="0.25">
      <c r="A1410" s="23"/>
      <c r="B1410" s="23" t="str">
        <f t="shared" si="7"/>
        <v/>
      </c>
      <c r="C1410" s="23"/>
      <c r="D1410" s="44"/>
      <c r="E1410" s="23"/>
      <c r="F1410" s="45"/>
      <c r="G1410" s="23"/>
      <c r="H1410" s="23"/>
      <c r="I1410" s="23"/>
      <c r="J1410" s="25"/>
      <c r="K1410" s="23"/>
      <c r="L1410" s="51"/>
      <c r="M1410" s="23"/>
      <c r="N1410" s="26"/>
      <c r="O1410" s="26"/>
      <c r="P1410" s="26"/>
      <c r="Q1410" s="26"/>
      <c r="R1410" s="26"/>
      <c r="S1410" s="26"/>
      <c r="T1410" s="26"/>
      <c r="U1410" s="26"/>
      <c r="V1410" s="26"/>
      <c r="W1410" s="27"/>
    </row>
    <row r="1411" spans="1:23" ht="15.75" customHeight="1" x14ac:dyDescent="0.25">
      <c r="A1411" s="23"/>
      <c r="B1411" s="23" t="str">
        <f t="shared" si="7"/>
        <v/>
      </c>
      <c r="C1411" s="23"/>
      <c r="D1411" s="44"/>
      <c r="E1411" s="23"/>
      <c r="F1411" s="45"/>
      <c r="G1411" s="23"/>
      <c r="H1411" s="23"/>
      <c r="I1411" s="23"/>
      <c r="J1411" s="25"/>
      <c r="K1411" s="23"/>
      <c r="L1411" s="51"/>
      <c r="M1411" s="23"/>
      <c r="N1411" s="26"/>
      <c r="O1411" s="26"/>
      <c r="P1411" s="26"/>
      <c r="Q1411" s="26"/>
      <c r="R1411" s="26"/>
      <c r="S1411" s="26"/>
      <c r="T1411" s="26"/>
      <c r="U1411" s="26"/>
      <c r="V1411" s="26"/>
      <c r="W1411" s="27"/>
    </row>
    <row r="1412" spans="1:23" ht="15.75" customHeight="1" x14ac:dyDescent="0.25">
      <c r="A1412" s="23"/>
      <c r="B1412" s="23" t="str">
        <f t="shared" si="7"/>
        <v/>
      </c>
      <c r="C1412" s="23"/>
      <c r="D1412" s="44"/>
      <c r="E1412" s="23"/>
      <c r="F1412" s="45"/>
      <c r="G1412" s="23"/>
      <c r="H1412" s="23"/>
      <c r="I1412" s="23"/>
      <c r="J1412" s="25"/>
      <c r="K1412" s="23"/>
      <c r="L1412" s="51"/>
      <c r="M1412" s="23"/>
      <c r="N1412" s="26"/>
      <c r="O1412" s="26"/>
      <c r="P1412" s="26"/>
      <c r="Q1412" s="26"/>
      <c r="R1412" s="26"/>
      <c r="S1412" s="26"/>
      <c r="T1412" s="26"/>
      <c r="U1412" s="26"/>
      <c r="V1412" s="26"/>
      <c r="W1412" s="27"/>
    </row>
    <row r="1413" spans="1:23" ht="15.75" customHeight="1" x14ac:dyDescent="0.25">
      <c r="A1413" s="23"/>
      <c r="B1413" s="23" t="str">
        <f t="shared" si="7"/>
        <v/>
      </c>
      <c r="C1413" s="23"/>
      <c r="D1413" s="44"/>
      <c r="E1413" s="23"/>
      <c r="F1413" s="45"/>
      <c r="G1413" s="23"/>
      <c r="H1413" s="23"/>
      <c r="I1413" s="23"/>
      <c r="J1413" s="25"/>
      <c r="K1413" s="23"/>
      <c r="L1413" s="51"/>
      <c r="M1413" s="23"/>
      <c r="N1413" s="26"/>
      <c r="O1413" s="26"/>
      <c r="P1413" s="26"/>
      <c r="Q1413" s="26"/>
      <c r="R1413" s="26"/>
      <c r="S1413" s="26"/>
      <c r="T1413" s="26"/>
      <c r="U1413" s="26"/>
      <c r="V1413" s="26"/>
      <c r="W1413" s="27"/>
    </row>
    <row r="1414" spans="1:23" ht="15.75" customHeight="1" x14ac:dyDescent="0.25">
      <c r="A1414" s="23"/>
      <c r="B1414" s="23" t="str">
        <f t="shared" si="7"/>
        <v/>
      </c>
      <c r="C1414" s="23"/>
      <c r="D1414" s="44"/>
      <c r="E1414" s="23"/>
      <c r="F1414" s="45"/>
      <c r="G1414" s="23"/>
      <c r="H1414" s="23"/>
      <c r="I1414" s="23"/>
      <c r="J1414" s="25"/>
      <c r="K1414" s="23"/>
      <c r="L1414" s="51"/>
      <c r="M1414" s="23"/>
      <c r="N1414" s="26"/>
      <c r="O1414" s="26"/>
      <c r="P1414" s="26"/>
      <c r="Q1414" s="26"/>
      <c r="R1414" s="26"/>
      <c r="S1414" s="26"/>
      <c r="T1414" s="26"/>
      <c r="U1414" s="26"/>
      <c r="V1414" s="26"/>
      <c r="W1414" s="27"/>
    </row>
    <row r="1415" spans="1:23" ht="15.75" customHeight="1" x14ac:dyDescent="0.25">
      <c r="A1415" s="23"/>
      <c r="B1415" s="23" t="str">
        <f t="shared" si="7"/>
        <v/>
      </c>
      <c r="C1415" s="23"/>
      <c r="D1415" s="44"/>
      <c r="E1415" s="23"/>
      <c r="F1415" s="45"/>
      <c r="G1415" s="23"/>
      <c r="H1415" s="23"/>
      <c r="I1415" s="23"/>
      <c r="J1415" s="25"/>
      <c r="K1415" s="23"/>
      <c r="L1415" s="51"/>
      <c r="M1415" s="23"/>
      <c r="N1415" s="26"/>
      <c r="O1415" s="26"/>
      <c r="P1415" s="26"/>
      <c r="Q1415" s="26"/>
      <c r="R1415" s="26"/>
      <c r="S1415" s="26"/>
      <c r="T1415" s="26"/>
      <c r="U1415" s="26"/>
      <c r="V1415" s="26"/>
      <c r="W1415" s="27"/>
    </row>
    <row r="1416" spans="1:23" ht="15.75" customHeight="1" x14ac:dyDescent="0.25">
      <c r="A1416" s="23"/>
      <c r="B1416" s="23" t="str">
        <f t="shared" si="7"/>
        <v/>
      </c>
      <c r="C1416" s="23"/>
      <c r="D1416" s="44"/>
      <c r="E1416" s="23"/>
      <c r="F1416" s="45"/>
      <c r="G1416" s="23"/>
      <c r="H1416" s="23"/>
      <c r="I1416" s="23"/>
      <c r="J1416" s="25"/>
      <c r="K1416" s="23"/>
      <c r="L1416" s="51"/>
      <c r="M1416" s="23"/>
      <c r="N1416" s="26"/>
      <c r="O1416" s="26"/>
      <c r="P1416" s="26"/>
      <c r="Q1416" s="26"/>
      <c r="R1416" s="26"/>
      <c r="S1416" s="26"/>
      <c r="T1416" s="26"/>
      <c r="U1416" s="26"/>
      <c r="V1416" s="26"/>
      <c r="W1416" s="27"/>
    </row>
    <row r="1417" spans="1:23" ht="15.75" customHeight="1" x14ac:dyDescent="0.25">
      <c r="A1417" s="23"/>
      <c r="B1417" s="23" t="str">
        <f t="shared" si="7"/>
        <v/>
      </c>
      <c r="C1417" s="23"/>
      <c r="D1417" s="44"/>
      <c r="E1417" s="23"/>
      <c r="F1417" s="45"/>
      <c r="G1417" s="23"/>
      <c r="H1417" s="23"/>
      <c r="I1417" s="23"/>
      <c r="J1417" s="25"/>
      <c r="K1417" s="23"/>
      <c r="L1417" s="51"/>
      <c r="M1417" s="23"/>
      <c r="N1417" s="26"/>
      <c r="O1417" s="26"/>
      <c r="P1417" s="26"/>
      <c r="Q1417" s="26"/>
      <c r="R1417" s="26"/>
      <c r="S1417" s="26"/>
      <c r="T1417" s="26"/>
      <c r="U1417" s="26"/>
      <c r="V1417" s="26"/>
      <c r="W1417" s="27"/>
    </row>
    <row r="1418" spans="1:23" ht="15.75" customHeight="1" x14ac:dyDescent="0.25">
      <c r="A1418" s="23"/>
      <c r="B1418" s="23" t="str">
        <f t="shared" si="7"/>
        <v/>
      </c>
      <c r="C1418" s="23"/>
      <c r="D1418" s="44"/>
      <c r="E1418" s="23"/>
      <c r="F1418" s="45"/>
      <c r="G1418" s="23"/>
      <c r="H1418" s="23"/>
      <c r="I1418" s="23"/>
      <c r="J1418" s="25"/>
      <c r="K1418" s="23"/>
      <c r="L1418" s="51"/>
      <c r="M1418" s="23"/>
      <c r="N1418" s="26"/>
      <c r="O1418" s="26"/>
      <c r="P1418" s="26"/>
      <c r="Q1418" s="26"/>
      <c r="R1418" s="26"/>
      <c r="S1418" s="26"/>
      <c r="T1418" s="26"/>
      <c r="U1418" s="26"/>
      <c r="V1418" s="26"/>
      <c r="W1418" s="27"/>
    </row>
    <row r="1419" spans="1:23" ht="15.75" customHeight="1" x14ac:dyDescent="0.25">
      <c r="A1419" s="23"/>
      <c r="B1419" s="23" t="str">
        <f t="shared" si="7"/>
        <v/>
      </c>
      <c r="C1419" s="23"/>
      <c r="D1419" s="44"/>
      <c r="E1419" s="23"/>
      <c r="F1419" s="45"/>
      <c r="G1419" s="23"/>
      <c r="H1419" s="23"/>
      <c r="I1419" s="23"/>
      <c r="J1419" s="25"/>
      <c r="K1419" s="23"/>
      <c r="L1419" s="51"/>
      <c r="M1419" s="23"/>
      <c r="N1419" s="26"/>
      <c r="O1419" s="26"/>
      <c r="P1419" s="26"/>
      <c r="Q1419" s="26"/>
      <c r="R1419" s="26"/>
      <c r="S1419" s="26"/>
      <c r="T1419" s="26"/>
      <c r="U1419" s="26"/>
      <c r="V1419" s="26"/>
      <c r="W1419" s="27"/>
    </row>
    <row r="1420" spans="1:23" ht="15.75" customHeight="1" x14ac:dyDescent="0.25">
      <c r="A1420" s="23"/>
      <c r="B1420" s="23" t="str">
        <f t="shared" si="7"/>
        <v/>
      </c>
      <c r="C1420" s="23"/>
      <c r="D1420" s="44"/>
      <c r="E1420" s="23"/>
      <c r="F1420" s="45"/>
      <c r="G1420" s="23"/>
      <c r="H1420" s="23"/>
      <c r="I1420" s="23"/>
      <c r="J1420" s="25"/>
      <c r="K1420" s="23"/>
      <c r="L1420" s="51"/>
      <c r="M1420" s="23"/>
      <c r="N1420" s="26"/>
      <c r="O1420" s="26"/>
      <c r="P1420" s="26"/>
      <c r="Q1420" s="26"/>
      <c r="R1420" s="26"/>
      <c r="S1420" s="26"/>
      <c r="T1420" s="26"/>
      <c r="U1420" s="26"/>
      <c r="V1420" s="26"/>
      <c r="W1420" s="27"/>
    </row>
    <row r="1421" spans="1:23" ht="15.75" customHeight="1" x14ac:dyDescent="0.25">
      <c r="A1421" s="23"/>
      <c r="B1421" s="23" t="str">
        <f t="shared" si="7"/>
        <v/>
      </c>
      <c r="C1421" s="23"/>
      <c r="D1421" s="44"/>
      <c r="E1421" s="23"/>
      <c r="F1421" s="45"/>
      <c r="G1421" s="23"/>
      <c r="H1421" s="23"/>
      <c r="I1421" s="23"/>
      <c r="J1421" s="25"/>
      <c r="K1421" s="23"/>
      <c r="L1421" s="51"/>
      <c r="M1421" s="23"/>
      <c r="N1421" s="26"/>
      <c r="O1421" s="26"/>
      <c r="P1421" s="26"/>
      <c r="Q1421" s="26"/>
      <c r="R1421" s="26"/>
      <c r="S1421" s="26"/>
      <c r="T1421" s="26"/>
      <c r="U1421" s="26"/>
      <c r="V1421" s="26"/>
      <c r="W1421" s="27"/>
    </row>
    <row r="1422" spans="1:23" ht="15.75" customHeight="1" x14ac:dyDescent="0.25">
      <c r="A1422" s="23"/>
      <c r="B1422" s="23" t="str">
        <f t="shared" si="7"/>
        <v/>
      </c>
      <c r="C1422" s="23"/>
      <c r="D1422" s="44"/>
      <c r="E1422" s="23"/>
      <c r="F1422" s="45"/>
      <c r="G1422" s="23"/>
      <c r="H1422" s="23"/>
      <c r="I1422" s="23"/>
      <c r="J1422" s="25"/>
      <c r="K1422" s="23"/>
      <c r="L1422" s="51"/>
      <c r="M1422" s="23"/>
      <c r="N1422" s="26"/>
      <c r="O1422" s="26"/>
      <c r="P1422" s="26"/>
      <c r="Q1422" s="26"/>
      <c r="R1422" s="26"/>
      <c r="S1422" s="26"/>
      <c r="T1422" s="26"/>
      <c r="U1422" s="26"/>
      <c r="V1422" s="26"/>
      <c r="W1422" s="27"/>
    </row>
    <row r="1423" spans="1:23" ht="15.75" customHeight="1" x14ac:dyDescent="0.25">
      <c r="A1423" s="23"/>
      <c r="B1423" s="23" t="str">
        <f t="shared" si="7"/>
        <v/>
      </c>
      <c r="C1423" s="23"/>
      <c r="D1423" s="44"/>
      <c r="E1423" s="23"/>
      <c r="F1423" s="45"/>
      <c r="G1423" s="23"/>
      <c r="H1423" s="23"/>
      <c r="I1423" s="23"/>
      <c r="J1423" s="25"/>
      <c r="K1423" s="23"/>
      <c r="L1423" s="51"/>
      <c r="M1423" s="23"/>
      <c r="N1423" s="26"/>
      <c r="O1423" s="26"/>
      <c r="P1423" s="26"/>
      <c r="Q1423" s="26"/>
      <c r="R1423" s="26"/>
      <c r="S1423" s="26"/>
      <c r="T1423" s="26"/>
      <c r="U1423" s="26"/>
      <c r="V1423" s="26"/>
      <c r="W1423" s="27"/>
    </row>
    <row r="1424" spans="1:23" ht="15.75" customHeight="1" x14ac:dyDescent="0.25">
      <c r="A1424" s="23"/>
      <c r="B1424" s="23" t="str">
        <f t="shared" si="7"/>
        <v/>
      </c>
      <c r="C1424" s="23"/>
      <c r="D1424" s="44"/>
      <c r="E1424" s="23"/>
      <c r="F1424" s="45"/>
      <c r="G1424" s="23"/>
      <c r="H1424" s="23"/>
      <c r="I1424" s="23"/>
      <c r="J1424" s="25"/>
      <c r="K1424" s="23"/>
      <c r="L1424" s="51"/>
      <c r="M1424" s="23"/>
      <c r="N1424" s="26"/>
      <c r="O1424" s="26"/>
      <c r="P1424" s="26"/>
      <c r="Q1424" s="26"/>
      <c r="R1424" s="26"/>
      <c r="S1424" s="26"/>
      <c r="T1424" s="26"/>
      <c r="U1424" s="26"/>
      <c r="V1424" s="26"/>
      <c r="W1424" s="27"/>
    </row>
    <row r="1425" spans="1:23" ht="15.75" customHeight="1" x14ac:dyDescent="0.25">
      <c r="A1425" s="23"/>
      <c r="B1425" s="23" t="str">
        <f t="shared" si="7"/>
        <v/>
      </c>
      <c r="C1425" s="23"/>
      <c r="D1425" s="44"/>
      <c r="E1425" s="23"/>
      <c r="F1425" s="45"/>
      <c r="G1425" s="23"/>
      <c r="H1425" s="23"/>
      <c r="I1425" s="23"/>
      <c r="J1425" s="25"/>
      <c r="K1425" s="23"/>
      <c r="L1425" s="51"/>
      <c r="M1425" s="23"/>
      <c r="N1425" s="26"/>
      <c r="O1425" s="26"/>
      <c r="P1425" s="26"/>
      <c r="Q1425" s="26"/>
      <c r="R1425" s="26"/>
      <c r="S1425" s="26"/>
      <c r="T1425" s="26"/>
      <c r="U1425" s="26"/>
      <c r="V1425" s="26"/>
      <c r="W1425" s="27"/>
    </row>
    <row r="1426" spans="1:23" ht="15.75" customHeight="1" x14ac:dyDescent="0.25">
      <c r="A1426" s="23"/>
      <c r="B1426" s="23" t="str">
        <f t="shared" si="7"/>
        <v/>
      </c>
      <c r="C1426" s="23"/>
      <c r="D1426" s="44"/>
      <c r="E1426" s="23"/>
      <c r="F1426" s="45"/>
      <c r="G1426" s="23"/>
      <c r="H1426" s="23"/>
      <c r="I1426" s="23"/>
      <c r="J1426" s="25"/>
      <c r="K1426" s="23"/>
      <c r="L1426" s="51"/>
      <c r="M1426" s="23"/>
      <c r="N1426" s="26"/>
      <c r="O1426" s="26"/>
      <c r="P1426" s="26"/>
      <c r="Q1426" s="26"/>
      <c r="R1426" s="26"/>
      <c r="S1426" s="26"/>
      <c r="T1426" s="26"/>
      <c r="U1426" s="26"/>
      <c r="V1426" s="26"/>
      <c r="W1426" s="27"/>
    </row>
    <row r="1427" spans="1:23" ht="15.75" customHeight="1" x14ac:dyDescent="0.25">
      <c r="A1427" s="23"/>
      <c r="B1427" s="23" t="str">
        <f t="shared" si="7"/>
        <v/>
      </c>
      <c r="C1427" s="23"/>
      <c r="D1427" s="44"/>
      <c r="E1427" s="23"/>
      <c r="F1427" s="45"/>
      <c r="G1427" s="23"/>
      <c r="H1427" s="23"/>
      <c r="I1427" s="23"/>
      <c r="J1427" s="25"/>
      <c r="K1427" s="23"/>
      <c r="L1427" s="51"/>
      <c r="M1427" s="23"/>
      <c r="N1427" s="26"/>
      <c r="O1427" s="26"/>
      <c r="P1427" s="26"/>
      <c r="Q1427" s="26"/>
      <c r="R1427" s="26"/>
      <c r="S1427" s="26"/>
      <c r="T1427" s="26"/>
      <c r="U1427" s="26"/>
      <c r="V1427" s="26"/>
      <c r="W1427" s="27"/>
    </row>
    <row r="1428" spans="1:23" ht="15.75" customHeight="1" x14ac:dyDescent="0.25">
      <c r="A1428" s="23"/>
      <c r="B1428" s="23" t="str">
        <f t="shared" si="7"/>
        <v/>
      </c>
      <c r="C1428" s="23"/>
      <c r="D1428" s="44"/>
      <c r="E1428" s="23"/>
      <c r="F1428" s="45"/>
      <c r="G1428" s="23"/>
      <c r="H1428" s="23"/>
      <c r="I1428" s="23"/>
      <c r="J1428" s="25"/>
      <c r="K1428" s="23"/>
      <c r="L1428" s="51"/>
      <c r="M1428" s="23"/>
      <c r="N1428" s="26"/>
      <c r="O1428" s="26"/>
      <c r="P1428" s="26"/>
      <c r="Q1428" s="26"/>
      <c r="R1428" s="26"/>
      <c r="S1428" s="26"/>
      <c r="T1428" s="26"/>
      <c r="U1428" s="26"/>
      <c r="V1428" s="26"/>
      <c r="W1428" s="27"/>
    </row>
    <row r="1429" spans="1:23" ht="15.75" customHeight="1" x14ac:dyDescent="0.25">
      <c r="A1429" s="23"/>
      <c r="B1429" s="23" t="str">
        <f t="shared" si="7"/>
        <v/>
      </c>
      <c r="C1429" s="23"/>
      <c r="D1429" s="44"/>
      <c r="E1429" s="23"/>
      <c r="F1429" s="45"/>
      <c r="G1429" s="23"/>
      <c r="H1429" s="23"/>
      <c r="I1429" s="23"/>
      <c r="J1429" s="25"/>
      <c r="K1429" s="23"/>
      <c r="L1429" s="51"/>
      <c r="M1429" s="23"/>
      <c r="N1429" s="26"/>
      <c r="O1429" s="26"/>
      <c r="P1429" s="26"/>
      <c r="Q1429" s="26"/>
      <c r="R1429" s="26"/>
      <c r="S1429" s="26"/>
      <c r="T1429" s="26"/>
      <c r="U1429" s="26"/>
      <c r="V1429" s="26"/>
      <c r="W1429" s="27"/>
    </row>
    <row r="1430" spans="1:23" ht="15.75" customHeight="1" x14ac:dyDescent="0.25">
      <c r="A1430" s="23"/>
      <c r="B1430" s="23" t="str">
        <f t="shared" si="7"/>
        <v/>
      </c>
      <c r="C1430" s="23"/>
      <c r="D1430" s="44"/>
      <c r="E1430" s="23"/>
      <c r="F1430" s="45"/>
      <c r="G1430" s="23"/>
      <c r="H1430" s="23"/>
      <c r="I1430" s="23"/>
      <c r="J1430" s="25"/>
      <c r="K1430" s="23"/>
      <c r="L1430" s="51"/>
      <c r="M1430" s="23"/>
      <c r="N1430" s="26"/>
      <c r="O1430" s="26"/>
      <c r="P1430" s="26"/>
      <c r="Q1430" s="26"/>
      <c r="R1430" s="26"/>
      <c r="S1430" s="26"/>
      <c r="T1430" s="26"/>
      <c r="U1430" s="26"/>
      <c r="V1430" s="26"/>
      <c r="W1430" s="27"/>
    </row>
    <row r="1431" spans="1:23" ht="15.75" customHeight="1" x14ac:dyDescent="0.25">
      <c r="A1431" s="23"/>
      <c r="B1431" s="23" t="str">
        <f t="shared" si="7"/>
        <v/>
      </c>
      <c r="C1431" s="23"/>
      <c r="D1431" s="44"/>
      <c r="E1431" s="23"/>
      <c r="F1431" s="45"/>
      <c r="G1431" s="23"/>
      <c r="H1431" s="23"/>
      <c r="I1431" s="23"/>
      <c r="J1431" s="25"/>
      <c r="K1431" s="23"/>
      <c r="L1431" s="51"/>
      <c r="M1431" s="23"/>
      <c r="N1431" s="26"/>
      <c r="O1431" s="26"/>
      <c r="P1431" s="26"/>
      <c r="Q1431" s="26"/>
      <c r="R1431" s="26"/>
      <c r="S1431" s="26"/>
      <c r="T1431" s="26"/>
      <c r="U1431" s="26"/>
      <c r="V1431" s="26"/>
      <c r="W1431" s="27"/>
    </row>
    <row r="1432" spans="1:23" ht="15.75" customHeight="1" x14ac:dyDescent="0.25">
      <c r="A1432" s="23"/>
      <c r="B1432" s="23" t="str">
        <f t="shared" si="7"/>
        <v/>
      </c>
      <c r="C1432" s="23"/>
      <c r="D1432" s="44"/>
      <c r="E1432" s="23"/>
      <c r="F1432" s="45"/>
      <c r="G1432" s="23"/>
      <c r="H1432" s="23"/>
      <c r="I1432" s="23"/>
      <c r="J1432" s="25"/>
      <c r="K1432" s="23"/>
      <c r="L1432" s="51"/>
      <c r="M1432" s="23"/>
      <c r="N1432" s="26"/>
      <c r="O1432" s="26"/>
      <c r="P1432" s="26"/>
      <c r="Q1432" s="26"/>
      <c r="R1432" s="26"/>
      <c r="S1432" s="26"/>
      <c r="T1432" s="26"/>
      <c r="U1432" s="26"/>
      <c r="V1432" s="26"/>
      <c r="W1432" s="27"/>
    </row>
    <row r="1433" spans="1:23" ht="15.75" customHeight="1" x14ac:dyDescent="0.25">
      <c r="A1433" s="23"/>
      <c r="B1433" s="23" t="str">
        <f t="shared" si="7"/>
        <v/>
      </c>
      <c r="C1433" s="23"/>
      <c r="D1433" s="44"/>
      <c r="E1433" s="23"/>
      <c r="F1433" s="45"/>
      <c r="G1433" s="23"/>
      <c r="H1433" s="23"/>
      <c r="I1433" s="23"/>
      <c r="J1433" s="25"/>
      <c r="K1433" s="23"/>
      <c r="L1433" s="51"/>
      <c r="M1433" s="23"/>
      <c r="N1433" s="26"/>
      <c r="O1433" s="26"/>
      <c r="P1433" s="26"/>
      <c r="Q1433" s="26"/>
      <c r="R1433" s="26"/>
      <c r="S1433" s="26"/>
      <c r="T1433" s="26"/>
      <c r="U1433" s="26"/>
      <c r="V1433" s="26"/>
      <c r="W1433" s="27"/>
    </row>
    <row r="1434" spans="1:23" ht="15.75" customHeight="1" x14ac:dyDescent="0.25">
      <c r="A1434" s="23"/>
      <c r="B1434" s="23" t="str">
        <f t="shared" si="7"/>
        <v/>
      </c>
      <c r="C1434" s="23"/>
      <c r="D1434" s="44"/>
      <c r="E1434" s="23"/>
      <c r="F1434" s="45"/>
      <c r="G1434" s="23"/>
      <c r="H1434" s="23"/>
      <c r="I1434" s="23"/>
      <c r="J1434" s="25"/>
      <c r="K1434" s="23"/>
      <c r="L1434" s="51"/>
      <c r="M1434" s="23"/>
      <c r="N1434" s="26"/>
      <c r="O1434" s="26"/>
      <c r="P1434" s="26"/>
      <c r="Q1434" s="26"/>
      <c r="R1434" s="26"/>
      <c r="S1434" s="26"/>
      <c r="T1434" s="26"/>
      <c r="U1434" s="26"/>
      <c r="V1434" s="26"/>
      <c r="W1434" s="27"/>
    </row>
    <row r="1435" spans="1:23" ht="15.75" customHeight="1" x14ac:dyDescent="0.25">
      <c r="A1435" s="23"/>
      <c r="B1435" s="23" t="str">
        <f t="shared" si="7"/>
        <v/>
      </c>
      <c r="C1435" s="23"/>
      <c r="D1435" s="44"/>
      <c r="E1435" s="23"/>
      <c r="F1435" s="45"/>
      <c r="G1435" s="23"/>
      <c r="H1435" s="23"/>
      <c r="I1435" s="23"/>
      <c r="J1435" s="25"/>
      <c r="K1435" s="23"/>
      <c r="L1435" s="51"/>
      <c r="M1435" s="23"/>
      <c r="N1435" s="26"/>
      <c r="O1435" s="26"/>
      <c r="P1435" s="26"/>
      <c r="Q1435" s="26"/>
      <c r="R1435" s="26"/>
      <c r="S1435" s="26"/>
      <c r="T1435" s="26"/>
      <c r="U1435" s="26"/>
      <c r="V1435" s="26"/>
      <c r="W1435" s="27"/>
    </row>
    <row r="1436" spans="1:23" ht="15.75" customHeight="1" x14ac:dyDescent="0.25">
      <c r="A1436" s="23"/>
      <c r="B1436" s="23" t="str">
        <f t="shared" si="7"/>
        <v/>
      </c>
      <c r="C1436" s="23"/>
      <c r="D1436" s="44"/>
      <c r="E1436" s="23"/>
      <c r="F1436" s="45"/>
      <c r="G1436" s="23"/>
      <c r="H1436" s="23"/>
      <c r="I1436" s="23"/>
      <c r="J1436" s="25"/>
      <c r="K1436" s="23"/>
      <c r="L1436" s="51"/>
      <c r="M1436" s="23"/>
      <c r="N1436" s="26"/>
      <c r="O1436" s="26"/>
      <c r="P1436" s="26"/>
      <c r="Q1436" s="26"/>
      <c r="R1436" s="26"/>
      <c r="S1436" s="26"/>
      <c r="T1436" s="26"/>
      <c r="U1436" s="26"/>
      <c r="V1436" s="26"/>
      <c r="W1436" s="27"/>
    </row>
    <row r="1437" spans="1:23" ht="15.75" customHeight="1" x14ac:dyDescent="0.25">
      <c r="A1437" s="23"/>
      <c r="B1437" s="23" t="str">
        <f t="shared" si="7"/>
        <v/>
      </c>
      <c r="C1437" s="23"/>
      <c r="D1437" s="44"/>
      <c r="E1437" s="23"/>
      <c r="F1437" s="45"/>
      <c r="G1437" s="23"/>
      <c r="H1437" s="23"/>
      <c r="I1437" s="23"/>
      <c r="J1437" s="25"/>
      <c r="K1437" s="23"/>
      <c r="L1437" s="51"/>
      <c r="M1437" s="23"/>
      <c r="N1437" s="26"/>
      <c r="O1437" s="26"/>
      <c r="P1437" s="26"/>
      <c r="Q1437" s="26"/>
      <c r="R1437" s="26"/>
      <c r="S1437" s="26"/>
      <c r="T1437" s="26"/>
      <c r="U1437" s="26"/>
      <c r="V1437" s="26"/>
      <c r="W1437" s="27"/>
    </row>
    <row r="1438" spans="1:23" ht="15.75" customHeight="1" x14ac:dyDescent="0.25">
      <c r="A1438" s="23"/>
      <c r="B1438" s="23" t="str">
        <f t="shared" si="7"/>
        <v/>
      </c>
      <c r="C1438" s="23"/>
      <c r="D1438" s="44"/>
      <c r="E1438" s="23"/>
      <c r="F1438" s="45"/>
      <c r="G1438" s="23"/>
      <c r="H1438" s="23"/>
      <c r="I1438" s="23"/>
      <c r="J1438" s="25"/>
      <c r="K1438" s="23"/>
      <c r="L1438" s="51"/>
      <c r="M1438" s="23"/>
      <c r="N1438" s="26"/>
      <c r="O1438" s="26"/>
      <c r="P1438" s="26"/>
      <c r="Q1438" s="26"/>
      <c r="R1438" s="26"/>
      <c r="S1438" s="26"/>
      <c r="T1438" s="26"/>
      <c r="U1438" s="26"/>
      <c r="V1438" s="26"/>
      <c r="W1438" s="27"/>
    </row>
    <row r="1439" spans="1:23" ht="15.75" customHeight="1" x14ac:dyDescent="0.25">
      <c r="A1439" s="23"/>
      <c r="B1439" s="23" t="str">
        <f t="shared" si="7"/>
        <v/>
      </c>
      <c r="C1439" s="23"/>
      <c r="D1439" s="44"/>
      <c r="E1439" s="23"/>
      <c r="F1439" s="45"/>
      <c r="G1439" s="23"/>
      <c r="H1439" s="23"/>
      <c r="I1439" s="23"/>
      <c r="J1439" s="25"/>
      <c r="K1439" s="23"/>
      <c r="L1439" s="51"/>
      <c r="M1439" s="23"/>
      <c r="N1439" s="26"/>
      <c r="O1439" s="26"/>
      <c r="P1439" s="26"/>
      <c r="Q1439" s="26"/>
      <c r="R1439" s="26"/>
      <c r="S1439" s="26"/>
      <c r="T1439" s="26"/>
      <c r="U1439" s="26"/>
      <c r="V1439" s="26"/>
      <c r="W1439" s="27"/>
    </row>
    <row r="1440" spans="1:23" ht="15.75" customHeight="1" x14ac:dyDescent="0.25">
      <c r="A1440" s="23"/>
      <c r="B1440" s="23" t="str">
        <f t="shared" si="7"/>
        <v/>
      </c>
      <c r="C1440" s="23"/>
      <c r="D1440" s="44"/>
      <c r="E1440" s="23"/>
      <c r="F1440" s="45"/>
      <c r="G1440" s="23"/>
      <c r="H1440" s="23"/>
      <c r="I1440" s="23"/>
      <c r="J1440" s="25"/>
      <c r="K1440" s="23"/>
      <c r="L1440" s="51"/>
      <c r="M1440" s="23"/>
      <c r="N1440" s="26"/>
      <c r="O1440" s="26"/>
      <c r="P1440" s="26"/>
      <c r="Q1440" s="26"/>
      <c r="R1440" s="26"/>
      <c r="S1440" s="26"/>
      <c r="T1440" s="26"/>
      <c r="U1440" s="26"/>
      <c r="V1440" s="26"/>
      <c r="W1440" s="27"/>
    </row>
    <row r="1441" spans="1:23" ht="15.75" customHeight="1" x14ac:dyDescent="0.25">
      <c r="A1441" s="23"/>
      <c r="B1441" s="23" t="str">
        <f t="shared" si="7"/>
        <v/>
      </c>
      <c r="C1441" s="23"/>
      <c r="D1441" s="44"/>
      <c r="E1441" s="23"/>
      <c r="F1441" s="45"/>
      <c r="G1441" s="23"/>
      <c r="H1441" s="23"/>
      <c r="I1441" s="23"/>
      <c r="J1441" s="25"/>
      <c r="K1441" s="23"/>
      <c r="L1441" s="51"/>
      <c r="M1441" s="23"/>
      <c r="N1441" s="26"/>
      <c r="O1441" s="26"/>
      <c r="P1441" s="26"/>
      <c r="Q1441" s="26"/>
      <c r="R1441" s="26"/>
      <c r="S1441" s="26"/>
      <c r="T1441" s="26"/>
      <c r="U1441" s="26"/>
      <c r="V1441" s="26"/>
      <c r="W1441" s="27"/>
    </row>
    <row r="1442" spans="1:23" ht="15.75" customHeight="1" x14ac:dyDescent="0.25">
      <c r="A1442" s="23"/>
      <c r="B1442" s="23" t="str">
        <f t="shared" si="7"/>
        <v/>
      </c>
      <c r="C1442" s="23"/>
      <c r="D1442" s="44"/>
      <c r="E1442" s="23"/>
      <c r="F1442" s="45"/>
      <c r="G1442" s="23"/>
      <c r="H1442" s="23"/>
      <c r="I1442" s="23"/>
      <c r="J1442" s="25"/>
      <c r="K1442" s="23"/>
      <c r="L1442" s="51"/>
      <c r="M1442" s="23"/>
      <c r="N1442" s="26"/>
      <c r="O1442" s="26"/>
      <c r="P1442" s="26"/>
      <c r="Q1442" s="26"/>
      <c r="R1442" s="26"/>
      <c r="S1442" s="26"/>
      <c r="T1442" s="26"/>
      <c r="U1442" s="26"/>
      <c r="V1442" s="26"/>
      <c r="W1442" s="27"/>
    </row>
    <row r="1443" spans="1:23" ht="15.75" customHeight="1" x14ac:dyDescent="0.25">
      <c r="A1443" s="23"/>
      <c r="B1443" s="23" t="str">
        <f t="shared" si="7"/>
        <v/>
      </c>
      <c r="C1443" s="23"/>
      <c r="D1443" s="44"/>
      <c r="E1443" s="23"/>
      <c r="F1443" s="45"/>
      <c r="G1443" s="23"/>
      <c r="H1443" s="23"/>
      <c r="I1443" s="23"/>
      <c r="J1443" s="25"/>
      <c r="K1443" s="23"/>
      <c r="L1443" s="51"/>
      <c r="M1443" s="23"/>
      <c r="N1443" s="26"/>
      <c r="O1443" s="26"/>
      <c r="P1443" s="26"/>
      <c r="Q1443" s="26"/>
      <c r="R1443" s="26"/>
      <c r="S1443" s="26"/>
      <c r="T1443" s="26"/>
      <c r="U1443" s="26"/>
      <c r="V1443" s="26"/>
      <c r="W1443" s="27"/>
    </row>
    <row r="1444" spans="1:23" ht="15.75" customHeight="1" x14ac:dyDescent="0.25">
      <c r="A1444" s="23"/>
      <c r="B1444" s="23" t="str">
        <f t="shared" si="7"/>
        <v/>
      </c>
      <c r="C1444" s="23"/>
      <c r="D1444" s="44"/>
      <c r="E1444" s="23"/>
      <c r="F1444" s="45"/>
      <c r="G1444" s="23"/>
      <c r="H1444" s="23"/>
      <c r="I1444" s="23"/>
      <c r="J1444" s="25"/>
      <c r="K1444" s="23"/>
      <c r="L1444" s="51"/>
      <c r="M1444" s="23"/>
      <c r="N1444" s="26"/>
      <c r="O1444" s="26"/>
      <c r="P1444" s="26"/>
      <c r="Q1444" s="26"/>
      <c r="R1444" s="26"/>
      <c r="S1444" s="26"/>
      <c r="T1444" s="26"/>
      <c r="U1444" s="26"/>
      <c r="V1444" s="26"/>
      <c r="W1444" s="27"/>
    </row>
    <row r="1445" spans="1:23" ht="15.75" customHeight="1" x14ac:dyDescent="0.25">
      <c r="A1445" s="23"/>
      <c r="B1445" s="23" t="str">
        <f t="shared" si="7"/>
        <v/>
      </c>
      <c r="C1445" s="23"/>
      <c r="D1445" s="44"/>
      <c r="E1445" s="23"/>
      <c r="F1445" s="45"/>
      <c r="G1445" s="23"/>
      <c r="H1445" s="23"/>
      <c r="I1445" s="23"/>
      <c r="J1445" s="25"/>
      <c r="K1445" s="23"/>
      <c r="L1445" s="51"/>
      <c r="M1445" s="23"/>
      <c r="N1445" s="26"/>
      <c r="O1445" s="26"/>
      <c r="P1445" s="26"/>
      <c r="Q1445" s="26"/>
      <c r="R1445" s="26"/>
      <c r="S1445" s="26"/>
      <c r="T1445" s="26"/>
      <c r="U1445" s="26"/>
      <c r="V1445" s="26"/>
      <c r="W1445" s="27"/>
    </row>
    <row r="1446" spans="1:23" ht="15.75" customHeight="1" x14ac:dyDescent="0.25">
      <c r="A1446" s="23"/>
      <c r="B1446" s="23" t="str">
        <f t="shared" si="7"/>
        <v/>
      </c>
      <c r="C1446" s="23"/>
      <c r="D1446" s="44"/>
      <c r="E1446" s="23"/>
      <c r="F1446" s="45"/>
      <c r="G1446" s="23"/>
      <c r="H1446" s="23"/>
      <c r="I1446" s="23"/>
      <c r="J1446" s="25"/>
      <c r="K1446" s="23"/>
      <c r="L1446" s="51"/>
      <c r="M1446" s="23"/>
      <c r="N1446" s="26"/>
      <c r="O1446" s="26"/>
      <c r="P1446" s="26"/>
      <c r="Q1446" s="26"/>
      <c r="R1446" s="26"/>
      <c r="S1446" s="26"/>
      <c r="T1446" s="26"/>
      <c r="U1446" s="26"/>
      <c r="V1446" s="26"/>
      <c r="W1446" s="27"/>
    </row>
    <row r="1447" spans="1:23" ht="15.75" customHeight="1" x14ac:dyDescent="0.25">
      <c r="A1447" s="23"/>
      <c r="B1447" s="23" t="str">
        <f t="shared" si="7"/>
        <v/>
      </c>
      <c r="C1447" s="23"/>
      <c r="D1447" s="44"/>
      <c r="E1447" s="23"/>
      <c r="F1447" s="45"/>
      <c r="G1447" s="23"/>
      <c r="H1447" s="23"/>
      <c r="I1447" s="23"/>
      <c r="J1447" s="25"/>
      <c r="K1447" s="23"/>
      <c r="L1447" s="51"/>
      <c r="M1447" s="23"/>
      <c r="N1447" s="26"/>
      <c r="O1447" s="26"/>
      <c r="P1447" s="26"/>
      <c r="Q1447" s="26"/>
      <c r="R1447" s="26"/>
      <c r="S1447" s="26"/>
      <c r="T1447" s="26"/>
      <c r="U1447" s="26"/>
      <c r="V1447" s="26"/>
      <c r="W1447" s="27"/>
    </row>
    <row r="1448" spans="1:23" ht="15.75" customHeight="1" x14ac:dyDescent="0.25">
      <c r="A1448" s="23"/>
      <c r="B1448" s="23" t="str">
        <f t="shared" si="7"/>
        <v/>
      </c>
      <c r="C1448" s="23"/>
      <c r="D1448" s="44"/>
      <c r="E1448" s="23"/>
      <c r="F1448" s="45"/>
      <c r="G1448" s="23"/>
      <c r="H1448" s="23"/>
      <c r="I1448" s="23"/>
      <c r="J1448" s="25"/>
      <c r="K1448" s="23"/>
      <c r="L1448" s="51"/>
      <c r="M1448" s="23"/>
      <c r="N1448" s="26"/>
      <c r="O1448" s="26"/>
      <c r="P1448" s="26"/>
      <c r="Q1448" s="26"/>
      <c r="R1448" s="26"/>
      <c r="S1448" s="26"/>
      <c r="T1448" s="26"/>
      <c r="U1448" s="26"/>
      <c r="V1448" s="26"/>
      <c r="W1448" s="27"/>
    </row>
    <row r="1449" spans="1:23" ht="15.75" customHeight="1" x14ac:dyDescent="0.25">
      <c r="A1449" s="23"/>
      <c r="B1449" s="23" t="str">
        <f t="shared" si="7"/>
        <v/>
      </c>
      <c r="C1449" s="23"/>
      <c r="D1449" s="44"/>
      <c r="E1449" s="23"/>
      <c r="F1449" s="45"/>
      <c r="G1449" s="23"/>
      <c r="H1449" s="23"/>
      <c r="I1449" s="23"/>
      <c r="J1449" s="25"/>
      <c r="K1449" s="23"/>
      <c r="L1449" s="51"/>
      <c r="M1449" s="23"/>
      <c r="N1449" s="26"/>
      <c r="O1449" s="26"/>
      <c r="P1449" s="26"/>
      <c r="Q1449" s="26"/>
      <c r="R1449" s="26"/>
      <c r="S1449" s="26"/>
      <c r="T1449" s="26"/>
      <c r="U1449" s="26"/>
      <c r="V1449" s="26"/>
      <c r="W1449" s="27"/>
    </row>
    <row r="1450" spans="1:23" ht="15.75" customHeight="1" x14ac:dyDescent="0.25">
      <c r="A1450" s="23"/>
      <c r="B1450" s="23" t="str">
        <f t="shared" si="7"/>
        <v/>
      </c>
      <c r="C1450" s="23"/>
      <c r="D1450" s="44"/>
      <c r="E1450" s="23"/>
      <c r="F1450" s="45"/>
      <c r="G1450" s="23"/>
      <c r="H1450" s="23"/>
      <c r="I1450" s="23"/>
      <c r="J1450" s="25"/>
      <c r="K1450" s="23"/>
      <c r="L1450" s="51"/>
      <c r="M1450" s="23"/>
      <c r="N1450" s="26"/>
      <c r="O1450" s="26"/>
      <c r="P1450" s="26"/>
      <c r="Q1450" s="26"/>
      <c r="R1450" s="26"/>
      <c r="S1450" s="26"/>
      <c r="T1450" s="26"/>
      <c r="U1450" s="26"/>
      <c r="V1450" s="26"/>
      <c r="W1450" s="27"/>
    </row>
    <row r="1451" spans="1:23" ht="15.75" customHeight="1" x14ac:dyDescent="0.25">
      <c r="A1451" s="23"/>
      <c r="B1451" s="23" t="str">
        <f t="shared" si="7"/>
        <v/>
      </c>
      <c r="C1451" s="23"/>
      <c r="D1451" s="44"/>
      <c r="E1451" s="23"/>
      <c r="F1451" s="45"/>
      <c r="G1451" s="23"/>
      <c r="H1451" s="23"/>
      <c r="I1451" s="23"/>
      <c r="J1451" s="25"/>
      <c r="K1451" s="23"/>
      <c r="L1451" s="51"/>
      <c r="M1451" s="23"/>
      <c r="N1451" s="26"/>
      <c r="O1451" s="26"/>
      <c r="P1451" s="26"/>
      <c r="Q1451" s="26"/>
      <c r="R1451" s="26"/>
      <c r="S1451" s="26"/>
      <c r="T1451" s="26"/>
      <c r="U1451" s="26"/>
      <c r="V1451" s="26"/>
      <c r="W1451" s="27"/>
    </row>
    <row r="1452" spans="1:23" ht="15.75" customHeight="1" x14ac:dyDescent="0.25">
      <c r="A1452" s="23"/>
      <c r="B1452" s="23" t="str">
        <f t="shared" si="7"/>
        <v/>
      </c>
      <c r="C1452" s="23"/>
      <c r="D1452" s="44"/>
      <c r="E1452" s="23"/>
      <c r="F1452" s="45"/>
      <c r="G1452" s="23"/>
      <c r="H1452" s="23"/>
      <c r="I1452" s="23"/>
      <c r="J1452" s="25"/>
      <c r="K1452" s="23"/>
      <c r="L1452" s="51"/>
      <c r="M1452" s="23"/>
      <c r="N1452" s="26"/>
      <c r="O1452" s="26"/>
      <c r="P1452" s="26"/>
      <c r="Q1452" s="26"/>
      <c r="R1452" s="26"/>
      <c r="S1452" s="26"/>
      <c r="T1452" s="26"/>
      <c r="U1452" s="26"/>
      <c r="V1452" s="26"/>
      <c r="W1452" s="27"/>
    </row>
    <row r="1453" spans="1:23" ht="15.75" customHeight="1" x14ac:dyDescent="0.25">
      <c r="A1453" s="23"/>
      <c r="B1453" s="23" t="str">
        <f t="shared" si="7"/>
        <v/>
      </c>
      <c r="C1453" s="23"/>
      <c r="D1453" s="44"/>
      <c r="E1453" s="23"/>
      <c r="F1453" s="45"/>
      <c r="G1453" s="23"/>
      <c r="H1453" s="23"/>
      <c r="I1453" s="23"/>
      <c r="J1453" s="25"/>
      <c r="K1453" s="23"/>
      <c r="L1453" s="51"/>
      <c r="M1453" s="23"/>
      <c r="N1453" s="26"/>
      <c r="O1453" s="26"/>
      <c r="P1453" s="26"/>
      <c r="Q1453" s="26"/>
      <c r="R1453" s="26"/>
      <c r="S1453" s="26"/>
      <c r="T1453" s="26"/>
      <c r="U1453" s="26"/>
      <c r="V1453" s="26"/>
      <c r="W1453" s="27"/>
    </row>
    <row r="1454" spans="1:23" ht="15.75" customHeight="1" x14ac:dyDescent="0.25">
      <c r="A1454" s="23"/>
      <c r="B1454" s="23" t="str">
        <f t="shared" si="7"/>
        <v/>
      </c>
      <c r="C1454" s="23"/>
      <c r="D1454" s="44"/>
      <c r="E1454" s="23"/>
      <c r="F1454" s="45"/>
      <c r="G1454" s="23"/>
      <c r="H1454" s="23"/>
      <c r="I1454" s="23"/>
      <c r="J1454" s="25"/>
      <c r="K1454" s="23"/>
      <c r="L1454" s="51"/>
      <c r="M1454" s="23"/>
      <c r="N1454" s="26"/>
      <c r="O1454" s="26"/>
      <c r="P1454" s="26"/>
      <c r="Q1454" s="26"/>
      <c r="R1454" s="26"/>
      <c r="S1454" s="26"/>
      <c r="T1454" s="26"/>
      <c r="U1454" s="26"/>
      <c r="V1454" s="26"/>
      <c r="W1454" s="27"/>
    </row>
    <row r="1455" spans="1:23" ht="15.75" customHeight="1" x14ac:dyDescent="0.25">
      <c r="A1455" s="23"/>
      <c r="B1455" s="23" t="str">
        <f t="shared" si="7"/>
        <v/>
      </c>
      <c r="C1455" s="23"/>
      <c r="D1455" s="44"/>
      <c r="E1455" s="23"/>
      <c r="F1455" s="45"/>
      <c r="G1455" s="23"/>
      <c r="H1455" s="23"/>
      <c r="I1455" s="23"/>
      <c r="J1455" s="25"/>
      <c r="K1455" s="23"/>
      <c r="L1455" s="51"/>
      <c r="M1455" s="23"/>
      <c r="N1455" s="26"/>
      <c r="O1455" s="26"/>
      <c r="P1455" s="26"/>
      <c r="Q1455" s="26"/>
      <c r="R1455" s="26"/>
      <c r="S1455" s="26"/>
      <c r="T1455" s="26"/>
      <c r="U1455" s="26"/>
      <c r="V1455" s="26"/>
      <c r="W1455" s="27"/>
    </row>
    <row r="1456" spans="1:23" ht="15.75" customHeight="1" x14ac:dyDescent="0.25">
      <c r="A1456" s="23"/>
      <c r="B1456" s="23" t="str">
        <f t="shared" si="7"/>
        <v/>
      </c>
      <c r="C1456" s="23"/>
      <c r="D1456" s="44"/>
      <c r="E1456" s="23"/>
      <c r="F1456" s="45"/>
      <c r="G1456" s="23"/>
      <c r="H1456" s="23"/>
      <c r="I1456" s="23"/>
      <c r="J1456" s="25"/>
      <c r="K1456" s="23"/>
      <c r="L1456" s="51"/>
      <c r="M1456" s="23"/>
      <c r="N1456" s="26"/>
      <c r="O1456" s="26"/>
      <c r="P1456" s="26"/>
      <c r="Q1456" s="26"/>
      <c r="R1456" s="26"/>
      <c r="S1456" s="26"/>
      <c r="T1456" s="26"/>
      <c r="U1456" s="26"/>
      <c r="V1456" s="26"/>
      <c r="W1456" s="27"/>
    </row>
    <row r="1457" spans="1:23" ht="15.75" customHeight="1" x14ac:dyDescent="0.25">
      <c r="A1457" s="23"/>
      <c r="B1457" s="23" t="str">
        <f t="shared" si="7"/>
        <v/>
      </c>
      <c r="C1457" s="23"/>
      <c r="D1457" s="44"/>
      <c r="E1457" s="23"/>
      <c r="F1457" s="45"/>
      <c r="G1457" s="23"/>
      <c r="H1457" s="23"/>
      <c r="I1457" s="23"/>
      <c r="J1457" s="25"/>
      <c r="K1457" s="23"/>
      <c r="L1457" s="51"/>
      <c r="M1457" s="23"/>
      <c r="N1457" s="26"/>
      <c r="O1457" s="26"/>
      <c r="P1457" s="26"/>
      <c r="Q1457" s="26"/>
      <c r="R1457" s="26"/>
      <c r="S1457" s="26"/>
      <c r="T1457" s="26"/>
      <c r="U1457" s="26"/>
      <c r="V1457" s="26"/>
      <c r="W1457" s="27"/>
    </row>
    <row r="1458" spans="1:23" ht="15.75" customHeight="1" x14ac:dyDescent="0.25">
      <c r="A1458" s="23"/>
      <c r="B1458" s="23" t="str">
        <f t="shared" si="7"/>
        <v/>
      </c>
      <c r="C1458" s="23"/>
      <c r="D1458" s="44"/>
      <c r="E1458" s="23"/>
      <c r="F1458" s="45"/>
      <c r="G1458" s="23"/>
      <c r="H1458" s="23"/>
      <c r="I1458" s="23"/>
      <c r="J1458" s="25"/>
      <c r="K1458" s="23"/>
      <c r="L1458" s="51"/>
      <c r="M1458" s="23"/>
      <c r="N1458" s="26"/>
      <c r="O1458" s="26"/>
      <c r="P1458" s="26"/>
      <c r="Q1458" s="26"/>
      <c r="R1458" s="26"/>
      <c r="S1458" s="26"/>
      <c r="T1458" s="26"/>
      <c r="U1458" s="26"/>
      <c r="V1458" s="26"/>
      <c r="W1458" s="27"/>
    </row>
    <row r="1459" spans="1:23" ht="15.75" customHeight="1" x14ac:dyDescent="0.25">
      <c r="A1459" s="23"/>
      <c r="B1459" s="23" t="str">
        <f t="shared" si="7"/>
        <v/>
      </c>
      <c r="C1459" s="23"/>
      <c r="D1459" s="44"/>
      <c r="E1459" s="23"/>
      <c r="F1459" s="45"/>
      <c r="G1459" s="23"/>
      <c r="H1459" s="23"/>
      <c r="I1459" s="23"/>
      <c r="J1459" s="25"/>
      <c r="K1459" s="23"/>
      <c r="L1459" s="51"/>
      <c r="M1459" s="23"/>
      <c r="N1459" s="26"/>
      <c r="O1459" s="26"/>
      <c r="P1459" s="26"/>
      <c r="Q1459" s="26"/>
      <c r="R1459" s="26"/>
      <c r="S1459" s="26"/>
      <c r="T1459" s="26"/>
      <c r="U1459" s="26"/>
      <c r="V1459" s="26"/>
      <c r="W1459" s="27"/>
    </row>
    <row r="1460" spans="1:23" ht="15.75" customHeight="1" x14ac:dyDescent="0.25">
      <c r="A1460" s="23"/>
      <c r="B1460" s="23" t="str">
        <f t="shared" si="7"/>
        <v/>
      </c>
      <c r="C1460" s="23"/>
      <c r="D1460" s="44"/>
      <c r="E1460" s="23"/>
      <c r="F1460" s="45"/>
      <c r="G1460" s="23"/>
      <c r="H1460" s="23"/>
      <c r="I1460" s="23"/>
      <c r="J1460" s="25"/>
      <c r="K1460" s="23"/>
      <c r="L1460" s="51"/>
      <c r="M1460" s="23"/>
      <c r="N1460" s="26"/>
      <c r="O1460" s="26"/>
      <c r="P1460" s="26"/>
      <c r="Q1460" s="26"/>
      <c r="R1460" s="26"/>
      <c r="S1460" s="26"/>
      <c r="T1460" s="26"/>
      <c r="U1460" s="26"/>
      <c r="V1460" s="26"/>
      <c r="W1460" s="27"/>
    </row>
    <row r="1461" spans="1:23" ht="15.75" customHeight="1" x14ac:dyDescent="0.25">
      <c r="A1461" s="23"/>
      <c r="B1461" s="23" t="str">
        <f t="shared" si="7"/>
        <v/>
      </c>
      <c r="C1461" s="23"/>
      <c r="D1461" s="44"/>
      <c r="E1461" s="23"/>
      <c r="F1461" s="45"/>
      <c r="G1461" s="23"/>
      <c r="H1461" s="23"/>
      <c r="I1461" s="23"/>
      <c r="J1461" s="25"/>
      <c r="K1461" s="23"/>
      <c r="L1461" s="51"/>
      <c r="M1461" s="23"/>
      <c r="N1461" s="26"/>
      <c r="O1461" s="26"/>
      <c r="P1461" s="26"/>
      <c r="Q1461" s="26"/>
      <c r="R1461" s="26"/>
      <c r="S1461" s="26"/>
      <c r="T1461" s="26"/>
      <c r="U1461" s="26"/>
      <c r="V1461" s="26"/>
      <c r="W1461" s="27"/>
    </row>
    <row r="1462" spans="1:23" ht="15.75" customHeight="1" x14ac:dyDescent="0.25">
      <c r="A1462" s="23"/>
      <c r="B1462" s="23" t="str">
        <f t="shared" si="7"/>
        <v/>
      </c>
      <c r="C1462" s="23"/>
      <c r="D1462" s="44"/>
      <c r="E1462" s="23"/>
      <c r="F1462" s="45"/>
      <c r="G1462" s="23"/>
      <c r="H1462" s="23"/>
      <c r="I1462" s="23"/>
      <c r="J1462" s="25"/>
      <c r="K1462" s="23"/>
      <c r="L1462" s="51"/>
      <c r="M1462" s="23"/>
      <c r="N1462" s="26"/>
      <c r="O1462" s="26"/>
      <c r="P1462" s="26"/>
      <c r="Q1462" s="26"/>
      <c r="R1462" s="26"/>
      <c r="S1462" s="26"/>
      <c r="T1462" s="26"/>
      <c r="U1462" s="26"/>
      <c r="V1462" s="26"/>
      <c r="W1462" s="27"/>
    </row>
    <row r="1463" spans="1:23" ht="15.75" customHeight="1" x14ac:dyDescent="0.25">
      <c r="A1463" s="23"/>
      <c r="B1463" s="23" t="str">
        <f t="shared" si="7"/>
        <v/>
      </c>
      <c r="C1463" s="23"/>
      <c r="D1463" s="44"/>
      <c r="E1463" s="23"/>
      <c r="F1463" s="45"/>
      <c r="G1463" s="23"/>
      <c r="H1463" s="23"/>
      <c r="I1463" s="23"/>
      <c r="J1463" s="25"/>
      <c r="K1463" s="23"/>
      <c r="L1463" s="51"/>
      <c r="M1463" s="23"/>
      <c r="N1463" s="26"/>
      <c r="O1463" s="26"/>
      <c r="P1463" s="26"/>
      <c r="Q1463" s="26"/>
      <c r="R1463" s="26"/>
      <c r="S1463" s="26"/>
      <c r="T1463" s="26"/>
      <c r="U1463" s="26"/>
      <c r="V1463" s="26"/>
      <c r="W1463" s="27"/>
    </row>
    <row r="1464" spans="1:23" ht="15.75" customHeight="1" x14ac:dyDescent="0.25">
      <c r="A1464" s="23"/>
      <c r="B1464" s="23" t="str">
        <f t="shared" si="7"/>
        <v/>
      </c>
      <c r="C1464" s="23"/>
      <c r="D1464" s="44"/>
      <c r="E1464" s="23"/>
      <c r="F1464" s="45"/>
      <c r="G1464" s="23"/>
      <c r="H1464" s="23"/>
      <c r="I1464" s="23"/>
      <c r="J1464" s="25"/>
      <c r="K1464" s="23"/>
      <c r="L1464" s="51"/>
      <c r="M1464" s="23"/>
      <c r="N1464" s="26"/>
      <c r="O1464" s="26"/>
      <c r="P1464" s="26"/>
      <c r="Q1464" s="26"/>
      <c r="R1464" s="26"/>
      <c r="S1464" s="26"/>
      <c r="T1464" s="26"/>
      <c r="U1464" s="26"/>
      <c r="V1464" s="26"/>
      <c r="W1464" s="27"/>
    </row>
    <row r="1465" spans="1:23" ht="15.75" customHeight="1" x14ac:dyDescent="0.25">
      <c r="A1465" s="23"/>
      <c r="B1465" s="23" t="str">
        <f t="shared" si="7"/>
        <v/>
      </c>
      <c r="C1465" s="23"/>
      <c r="D1465" s="44"/>
      <c r="E1465" s="23"/>
      <c r="F1465" s="45"/>
      <c r="G1465" s="23"/>
      <c r="H1465" s="23"/>
      <c r="I1465" s="23"/>
      <c r="J1465" s="25"/>
      <c r="K1465" s="23"/>
      <c r="L1465" s="51"/>
      <c r="M1465" s="23"/>
      <c r="N1465" s="26"/>
      <c r="O1465" s="26"/>
      <c r="P1465" s="26"/>
      <c r="Q1465" s="26"/>
      <c r="R1465" s="26"/>
      <c r="S1465" s="26"/>
      <c r="T1465" s="26"/>
      <c r="U1465" s="26"/>
      <c r="V1465" s="26"/>
      <c r="W1465" s="27"/>
    </row>
    <row r="1466" spans="1:23" ht="15.75" customHeight="1" x14ac:dyDescent="0.25">
      <c r="A1466" s="23"/>
      <c r="B1466" s="23" t="str">
        <f t="shared" si="7"/>
        <v/>
      </c>
      <c r="C1466" s="23"/>
      <c r="D1466" s="44"/>
      <c r="E1466" s="23"/>
      <c r="F1466" s="45"/>
      <c r="G1466" s="23"/>
      <c r="H1466" s="23"/>
      <c r="I1466" s="23"/>
      <c r="J1466" s="25"/>
      <c r="K1466" s="23"/>
      <c r="L1466" s="51"/>
      <c r="M1466" s="23"/>
      <c r="N1466" s="26"/>
      <c r="O1466" s="26"/>
      <c r="P1466" s="26"/>
      <c r="Q1466" s="26"/>
      <c r="R1466" s="26"/>
      <c r="S1466" s="26"/>
      <c r="T1466" s="26"/>
      <c r="U1466" s="26"/>
      <c r="V1466" s="26"/>
      <c r="W1466" s="27"/>
    </row>
    <row r="1467" spans="1:23" ht="15.75" customHeight="1" x14ac:dyDescent="0.25">
      <c r="A1467" s="23"/>
      <c r="B1467" s="23" t="str">
        <f t="shared" si="7"/>
        <v/>
      </c>
      <c r="C1467" s="23"/>
      <c r="D1467" s="44"/>
      <c r="E1467" s="23"/>
      <c r="F1467" s="45"/>
      <c r="G1467" s="23"/>
      <c r="H1467" s="23"/>
      <c r="I1467" s="23"/>
      <c r="J1467" s="25"/>
      <c r="K1467" s="23"/>
      <c r="L1467" s="51"/>
      <c r="M1467" s="23"/>
      <c r="N1467" s="26"/>
      <c r="O1467" s="26"/>
      <c r="P1467" s="26"/>
      <c r="Q1467" s="26"/>
      <c r="R1467" s="26"/>
      <c r="S1467" s="26"/>
      <c r="T1467" s="26"/>
      <c r="U1467" s="26"/>
      <c r="V1467" s="26"/>
      <c r="W1467" s="27"/>
    </row>
    <row r="1468" spans="1:23" ht="15.75" customHeight="1" x14ac:dyDescent="0.25">
      <c r="A1468" s="23"/>
      <c r="B1468" s="23" t="str">
        <f t="shared" si="7"/>
        <v/>
      </c>
      <c r="C1468" s="23"/>
      <c r="D1468" s="44"/>
      <c r="E1468" s="23"/>
      <c r="F1468" s="45"/>
      <c r="G1468" s="23"/>
      <c r="H1468" s="23"/>
      <c r="I1468" s="23"/>
      <c r="J1468" s="25"/>
      <c r="K1468" s="23"/>
      <c r="L1468" s="51"/>
      <c r="M1468" s="23"/>
      <c r="N1468" s="26"/>
      <c r="O1468" s="26"/>
      <c r="P1468" s="26"/>
      <c r="Q1468" s="26"/>
      <c r="R1468" s="26"/>
      <c r="S1468" s="26"/>
      <c r="T1468" s="26"/>
      <c r="U1468" s="26"/>
      <c r="V1468" s="26"/>
      <c r="W1468" s="27"/>
    </row>
    <row r="1469" spans="1:23" ht="15.75" customHeight="1" x14ac:dyDescent="0.25">
      <c r="A1469" s="23"/>
      <c r="B1469" s="23" t="str">
        <f t="shared" si="7"/>
        <v/>
      </c>
      <c r="C1469" s="23"/>
      <c r="D1469" s="44"/>
      <c r="E1469" s="23"/>
      <c r="F1469" s="45"/>
      <c r="G1469" s="23"/>
      <c r="H1469" s="23"/>
      <c r="I1469" s="23"/>
      <c r="J1469" s="25"/>
      <c r="K1469" s="23"/>
      <c r="L1469" s="51"/>
      <c r="M1469" s="23"/>
      <c r="N1469" s="26"/>
      <c r="O1469" s="26"/>
      <c r="P1469" s="26"/>
      <c r="Q1469" s="26"/>
      <c r="R1469" s="26"/>
      <c r="S1469" s="26"/>
      <c r="T1469" s="26"/>
      <c r="U1469" s="26"/>
      <c r="V1469" s="26"/>
      <c r="W1469" s="27"/>
    </row>
    <row r="1470" spans="1:23" ht="15.75" customHeight="1" x14ac:dyDescent="0.25">
      <c r="A1470" s="23"/>
      <c r="B1470" s="23" t="str">
        <f t="shared" si="7"/>
        <v/>
      </c>
      <c r="C1470" s="23"/>
      <c r="D1470" s="44"/>
      <c r="E1470" s="23"/>
      <c r="F1470" s="45"/>
      <c r="G1470" s="23"/>
      <c r="H1470" s="23"/>
      <c r="I1470" s="23"/>
      <c r="J1470" s="25"/>
      <c r="K1470" s="23"/>
      <c r="L1470" s="51"/>
      <c r="M1470" s="23"/>
      <c r="N1470" s="26"/>
      <c r="O1470" s="26"/>
      <c r="P1470" s="26"/>
      <c r="Q1470" s="26"/>
      <c r="R1470" s="26"/>
      <c r="S1470" s="26"/>
      <c r="T1470" s="26"/>
      <c r="U1470" s="26"/>
      <c r="V1470" s="26"/>
      <c r="W1470" s="27"/>
    </row>
    <row r="1471" spans="1:23" ht="15.75" customHeight="1" x14ac:dyDescent="0.25">
      <c r="A1471" s="23"/>
      <c r="B1471" s="23" t="str">
        <f t="shared" si="7"/>
        <v/>
      </c>
      <c r="C1471" s="23"/>
      <c r="D1471" s="44"/>
      <c r="E1471" s="23"/>
      <c r="F1471" s="45"/>
      <c r="G1471" s="23"/>
      <c r="H1471" s="23"/>
      <c r="I1471" s="23"/>
      <c r="J1471" s="25"/>
      <c r="K1471" s="23"/>
      <c r="L1471" s="51"/>
      <c r="M1471" s="23"/>
      <c r="N1471" s="26"/>
      <c r="O1471" s="26"/>
      <c r="P1471" s="26"/>
      <c r="Q1471" s="26"/>
      <c r="R1471" s="26"/>
      <c r="S1471" s="26"/>
      <c r="T1471" s="26"/>
      <c r="U1471" s="26"/>
      <c r="V1471" s="26"/>
      <c r="W1471" s="27"/>
    </row>
    <row r="1472" spans="1:23" ht="15.75" customHeight="1" x14ac:dyDescent="0.25">
      <c r="A1472" s="23"/>
      <c r="B1472" s="23" t="str">
        <f t="shared" si="7"/>
        <v/>
      </c>
      <c r="C1472" s="23"/>
      <c r="D1472" s="44"/>
      <c r="E1472" s="23"/>
      <c r="F1472" s="45"/>
      <c r="G1472" s="23"/>
      <c r="H1472" s="23"/>
      <c r="I1472" s="23"/>
      <c r="J1472" s="25"/>
      <c r="K1472" s="23"/>
      <c r="L1472" s="51"/>
      <c r="M1472" s="23"/>
      <c r="N1472" s="26"/>
      <c r="O1472" s="26"/>
      <c r="P1472" s="26"/>
      <c r="Q1472" s="26"/>
      <c r="R1472" s="26"/>
      <c r="S1472" s="26"/>
      <c r="T1472" s="26"/>
      <c r="U1472" s="26"/>
      <c r="V1472" s="26"/>
      <c r="W1472" s="27"/>
    </row>
    <row r="1473" spans="1:23" ht="15.75" customHeight="1" x14ac:dyDescent="0.25">
      <c r="A1473" s="23"/>
      <c r="B1473" s="23" t="str">
        <f t="shared" si="7"/>
        <v/>
      </c>
      <c r="C1473" s="23"/>
      <c r="D1473" s="44"/>
      <c r="E1473" s="23"/>
      <c r="F1473" s="45"/>
      <c r="G1473" s="23"/>
      <c r="H1473" s="23"/>
      <c r="I1473" s="23"/>
      <c r="J1473" s="25"/>
      <c r="K1473" s="23"/>
      <c r="L1473" s="51"/>
      <c r="M1473" s="23"/>
      <c r="N1473" s="26"/>
      <c r="O1473" s="26"/>
      <c r="P1473" s="26"/>
      <c r="Q1473" s="26"/>
      <c r="R1473" s="26"/>
      <c r="S1473" s="26"/>
      <c r="T1473" s="26"/>
      <c r="U1473" s="26"/>
      <c r="V1473" s="26"/>
      <c r="W1473" s="27"/>
    </row>
    <row r="1474" spans="1:23" ht="15.75" customHeight="1" x14ac:dyDescent="0.25">
      <c r="A1474" s="23"/>
      <c r="B1474" s="23" t="str">
        <f t="shared" si="7"/>
        <v/>
      </c>
      <c r="C1474" s="23"/>
      <c r="D1474" s="44"/>
      <c r="E1474" s="23"/>
      <c r="F1474" s="45"/>
      <c r="G1474" s="23"/>
      <c r="H1474" s="23"/>
      <c r="I1474" s="23"/>
      <c r="J1474" s="25"/>
      <c r="K1474" s="23"/>
      <c r="L1474" s="51"/>
      <c r="M1474" s="23"/>
      <c r="N1474" s="26"/>
      <c r="O1474" s="26"/>
      <c r="P1474" s="26"/>
      <c r="Q1474" s="26"/>
      <c r="R1474" s="26"/>
      <c r="S1474" s="26"/>
      <c r="T1474" s="26"/>
      <c r="U1474" s="26"/>
      <c r="V1474" s="26"/>
      <c r="W1474" s="27"/>
    </row>
    <row r="1475" spans="1:23" ht="15.75" customHeight="1" x14ac:dyDescent="0.25">
      <c r="A1475" s="23"/>
      <c r="B1475" s="23" t="str">
        <f t="shared" si="7"/>
        <v/>
      </c>
      <c r="C1475" s="23"/>
      <c r="D1475" s="44"/>
      <c r="E1475" s="23"/>
      <c r="F1475" s="45"/>
      <c r="G1475" s="23"/>
      <c r="H1475" s="23"/>
      <c r="I1475" s="23"/>
      <c r="J1475" s="25"/>
      <c r="K1475" s="23"/>
      <c r="L1475" s="51"/>
      <c r="M1475" s="23"/>
      <c r="N1475" s="26"/>
      <c r="O1475" s="26"/>
      <c r="P1475" s="26"/>
      <c r="Q1475" s="26"/>
      <c r="R1475" s="26"/>
      <c r="S1475" s="26"/>
      <c r="T1475" s="26"/>
      <c r="U1475" s="26"/>
      <c r="V1475" s="26"/>
      <c r="W1475" s="27"/>
    </row>
    <row r="1476" spans="1:23" ht="15.75" customHeight="1" x14ac:dyDescent="0.25">
      <c r="A1476" s="23"/>
      <c r="B1476" s="23" t="str">
        <f t="shared" si="7"/>
        <v/>
      </c>
      <c r="C1476" s="23"/>
      <c r="D1476" s="44"/>
      <c r="E1476" s="23"/>
      <c r="F1476" s="45"/>
      <c r="G1476" s="23"/>
      <c r="H1476" s="23"/>
      <c r="I1476" s="23"/>
      <c r="J1476" s="25"/>
      <c r="K1476" s="23"/>
      <c r="L1476" s="51"/>
      <c r="M1476" s="23"/>
      <c r="N1476" s="26"/>
      <c r="O1476" s="26"/>
      <c r="P1476" s="26"/>
      <c r="Q1476" s="26"/>
      <c r="R1476" s="26"/>
      <c r="S1476" s="26"/>
      <c r="T1476" s="26"/>
      <c r="U1476" s="26"/>
      <c r="V1476" s="26"/>
      <c r="W1476" s="27"/>
    </row>
    <row r="1477" spans="1:23" ht="15.75" customHeight="1" x14ac:dyDescent="0.25">
      <c r="A1477" s="23"/>
      <c r="B1477" s="23" t="str">
        <f t="shared" si="7"/>
        <v/>
      </c>
      <c r="C1477" s="23"/>
      <c r="D1477" s="44"/>
      <c r="E1477" s="23"/>
      <c r="F1477" s="45"/>
      <c r="G1477" s="23"/>
      <c r="H1477" s="23"/>
      <c r="I1477" s="23"/>
      <c r="J1477" s="25"/>
      <c r="K1477" s="23"/>
      <c r="L1477" s="51"/>
      <c r="M1477" s="23"/>
      <c r="N1477" s="26"/>
      <c r="O1477" s="26"/>
      <c r="P1477" s="26"/>
      <c r="Q1477" s="26"/>
      <c r="R1477" s="26"/>
      <c r="S1477" s="26"/>
      <c r="T1477" s="26"/>
      <c r="U1477" s="26"/>
      <c r="V1477" s="26"/>
      <c r="W1477" s="27"/>
    </row>
    <row r="1478" spans="1:23" ht="15.75" customHeight="1" x14ac:dyDescent="0.25">
      <c r="A1478" s="23"/>
      <c r="B1478" s="23" t="str">
        <f t="shared" si="7"/>
        <v/>
      </c>
      <c r="C1478" s="23"/>
      <c r="D1478" s="44"/>
      <c r="E1478" s="23"/>
      <c r="F1478" s="45"/>
      <c r="G1478" s="23"/>
      <c r="H1478" s="23"/>
      <c r="I1478" s="23"/>
      <c r="J1478" s="25"/>
      <c r="K1478" s="23"/>
      <c r="L1478" s="51"/>
      <c r="M1478" s="23"/>
      <c r="N1478" s="26"/>
      <c r="O1478" s="26"/>
      <c r="P1478" s="26"/>
      <c r="Q1478" s="26"/>
      <c r="R1478" s="26"/>
      <c r="S1478" s="26"/>
      <c r="T1478" s="26"/>
      <c r="U1478" s="26"/>
      <c r="V1478" s="26"/>
      <c r="W1478" s="27"/>
    </row>
    <row r="1479" spans="1:23" ht="15.75" customHeight="1" x14ac:dyDescent="0.25">
      <c r="A1479" s="23"/>
      <c r="B1479" s="23" t="str">
        <f t="shared" si="7"/>
        <v/>
      </c>
      <c r="C1479" s="23"/>
      <c r="D1479" s="44"/>
      <c r="E1479" s="23"/>
      <c r="F1479" s="45"/>
      <c r="G1479" s="23"/>
      <c r="H1479" s="23"/>
      <c r="I1479" s="23"/>
      <c r="J1479" s="25"/>
      <c r="K1479" s="23"/>
      <c r="L1479" s="51"/>
      <c r="M1479" s="23"/>
      <c r="N1479" s="26"/>
      <c r="O1479" s="26"/>
      <c r="P1479" s="26"/>
      <c r="Q1479" s="26"/>
      <c r="R1479" s="26"/>
      <c r="S1479" s="26"/>
      <c r="T1479" s="26"/>
      <c r="U1479" s="26"/>
      <c r="V1479" s="26"/>
      <c r="W1479" s="27"/>
    </row>
    <row r="1480" spans="1:23" ht="15.75" customHeight="1" x14ac:dyDescent="0.25">
      <c r="A1480" s="23"/>
      <c r="B1480" s="23" t="str">
        <f t="shared" si="7"/>
        <v/>
      </c>
      <c r="C1480" s="23"/>
      <c r="D1480" s="44"/>
      <c r="E1480" s="23"/>
      <c r="F1480" s="45"/>
      <c r="G1480" s="23"/>
      <c r="H1480" s="23"/>
      <c r="I1480" s="23"/>
      <c r="J1480" s="25"/>
      <c r="K1480" s="23"/>
      <c r="L1480" s="51"/>
      <c r="M1480" s="23"/>
      <c r="N1480" s="26"/>
      <c r="O1480" s="26"/>
      <c r="P1480" s="26"/>
      <c r="Q1480" s="26"/>
      <c r="R1480" s="26"/>
      <c r="S1480" s="26"/>
      <c r="T1480" s="26"/>
      <c r="U1480" s="26"/>
      <c r="V1480" s="26"/>
      <c r="W1480" s="27"/>
    </row>
    <row r="1481" spans="1:23" ht="15.75" customHeight="1" x14ac:dyDescent="0.25">
      <c r="A1481" s="23"/>
      <c r="B1481" s="23" t="str">
        <f t="shared" si="7"/>
        <v/>
      </c>
      <c r="C1481" s="23"/>
      <c r="D1481" s="44"/>
      <c r="E1481" s="23"/>
      <c r="F1481" s="45"/>
      <c r="G1481" s="23"/>
      <c r="H1481" s="23"/>
      <c r="I1481" s="23"/>
      <c r="J1481" s="25"/>
      <c r="K1481" s="23"/>
      <c r="L1481" s="51"/>
      <c r="M1481" s="23"/>
      <c r="N1481" s="26"/>
      <c r="O1481" s="26"/>
      <c r="P1481" s="26"/>
      <c r="Q1481" s="26"/>
      <c r="R1481" s="26"/>
      <c r="S1481" s="26"/>
      <c r="T1481" s="26"/>
      <c r="U1481" s="26"/>
      <c r="V1481" s="26"/>
      <c r="W1481" s="27"/>
    </row>
    <row r="1482" spans="1:23" ht="15.75" customHeight="1" x14ac:dyDescent="0.25">
      <c r="A1482" s="23"/>
      <c r="B1482" s="23" t="str">
        <f t="shared" si="7"/>
        <v/>
      </c>
      <c r="C1482" s="23"/>
      <c r="D1482" s="44"/>
      <c r="E1482" s="23"/>
      <c r="F1482" s="45"/>
      <c r="G1482" s="23"/>
      <c r="H1482" s="23"/>
      <c r="I1482" s="23"/>
      <c r="J1482" s="25"/>
      <c r="K1482" s="23"/>
      <c r="L1482" s="51"/>
      <c r="M1482" s="23"/>
      <c r="N1482" s="26"/>
      <c r="O1482" s="26"/>
      <c r="P1482" s="26"/>
      <c r="Q1482" s="26"/>
      <c r="R1482" s="26"/>
      <c r="S1482" s="26"/>
      <c r="T1482" s="26"/>
      <c r="U1482" s="26"/>
      <c r="V1482" s="26"/>
      <c r="W1482" s="27"/>
    </row>
    <row r="1483" spans="1:23" ht="15.75" customHeight="1" x14ac:dyDescent="0.25">
      <c r="A1483" s="23"/>
      <c r="B1483" s="23" t="str">
        <f t="shared" si="7"/>
        <v/>
      </c>
      <c r="C1483" s="23"/>
      <c r="D1483" s="44"/>
      <c r="E1483" s="23"/>
      <c r="F1483" s="45"/>
      <c r="G1483" s="23"/>
      <c r="H1483" s="23"/>
      <c r="I1483" s="23"/>
      <c r="J1483" s="25"/>
      <c r="K1483" s="23"/>
      <c r="L1483" s="51"/>
      <c r="M1483" s="23"/>
      <c r="N1483" s="26"/>
      <c r="O1483" s="26"/>
      <c r="P1483" s="26"/>
      <c r="Q1483" s="26"/>
      <c r="R1483" s="26"/>
      <c r="S1483" s="26"/>
      <c r="T1483" s="26"/>
      <c r="U1483" s="26"/>
      <c r="V1483" s="26"/>
      <c r="W1483" s="27"/>
    </row>
    <row r="1484" spans="1:23" ht="15.75" customHeight="1" x14ac:dyDescent="0.25">
      <c r="A1484" s="23"/>
      <c r="B1484" s="23" t="str">
        <f t="shared" si="7"/>
        <v/>
      </c>
      <c r="C1484" s="23"/>
      <c r="D1484" s="44"/>
      <c r="E1484" s="23"/>
      <c r="F1484" s="45"/>
      <c r="G1484" s="23"/>
      <c r="H1484" s="23"/>
      <c r="I1484" s="23"/>
      <c r="J1484" s="25"/>
      <c r="K1484" s="23"/>
      <c r="L1484" s="51"/>
      <c r="M1484" s="23"/>
      <c r="N1484" s="26"/>
      <c r="O1484" s="26"/>
      <c r="P1484" s="26"/>
      <c r="Q1484" s="26"/>
      <c r="R1484" s="26"/>
      <c r="S1484" s="26"/>
      <c r="T1484" s="26"/>
      <c r="U1484" s="26"/>
      <c r="V1484" s="26"/>
      <c r="W1484" s="27"/>
    </row>
    <row r="1485" spans="1:23" ht="15.75" customHeight="1" x14ac:dyDescent="0.25">
      <c r="A1485" s="23"/>
      <c r="B1485" s="23" t="str">
        <f t="shared" si="7"/>
        <v/>
      </c>
      <c r="C1485" s="23"/>
      <c r="D1485" s="44"/>
      <c r="E1485" s="23"/>
      <c r="F1485" s="45"/>
      <c r="G1485" s="23"/>
      <c r="H1485" s="23"/>
      <c r="I1485" s="23"/>
      <c r="J1485" s="25"/>
      <c r="K1485" s="23"/>
      <c r="L1485" s="51"/>
      <c r="M1485" s="23"/>
      <c r="N1485" s="26"/>
      <c r="O1485" s="26"/>
      <c r="P1485" s="26"/>
      <c r="Q1485" s="26"/>
      <c r="R1485" s="26"/>
      <c r="S1485" s="26"/>
      <c r="T1485" s="26"/>
      <c r="U1485" s="26"/>
      <c r="V1485" s="26"/>
      <c r="W1485" s="27"/>
    </row>
    <row r="1486" spans="1:23" ht="15.75" customHeight="1" x14ac:dyDescent="0.25">
      <c r="A1486" s="23"/>
      <c r="B1486" s="23" t="str">
        <f t="shared" si="7"/>
        <v/>
      </c>
      <c r="C1486" s="23"/>
      <c r="D1486" s="44"/>
      <c r="E1486" s="23"/>
      <c r="F1486" s="45"/>
      <c r="G1486" s="23"/>
      <c r="H1486" s="23"/>
      <c r="I1486" s="23"/>
      <c r="J1486" s="25"/>
      <c r="K1486" s="23"/>
      <c r="L1486" s="51"/>
      <c r="M1486" s="23"/>
      <c r="N1486" s="26"/>
      <c r="O1486" s="26"/>
      <c r="P1486" s="26"/>
      <c r="Q1486" s="26"/>
      <c r="R1486" s="26"/>
      <c r="S1486" s="26"/>
      <c r="T1486" s="26"/>
      <c r="U1486" s="26"/>
      <c r="V1486" s="26"/>
      <c r="W1486" s="27"/>
    </row>
    <row r="1487" spans="1:23" ht="15.75" customHeight="1" x14ac:dyDescent="0.25">
      <c r="A1487" s="23"/>
      <c r="B1487" s="23" t="str">
        <f t="shared" si="7"/>
        <v/>
      </c>
      <c r="C1487" s="23"/>
      <c r="D1487" s="44"/>
      <c r="E1487" s="23"/>
      <c r="F1487" s="45"/>
      <c r="G1487" s="23"/>
      <c r="H1487" s="23"/>
      <c r="I1487" s="23"/>
      <c r="J1487" s="25"/>
      <c r="K1487" s="23"/>
      <c r="L1487" s="51"/>
      <c r="M1487" s="23"/>
      <c r="N1487" s="26"/>
      <c r="O1487" s="26"/>
      <c r="P1487" s="26"/>
      <c r="Q1487" s="26"/>
      <c r="R1487" s="26"/>
      <c r="S1487" s="26"/>
      <c r="T1487" s="26"/>
      <c r="U1487" s="26"/>
      <c r="V1487" s="26"/>
      <c r="W1487" s="27"/>
    </row>
    <row r="1488" spans="1:23" ht="15.75" customHeight="1" x14ac:dyDescent="0.25">
      <c r="A1488" s="23"/>
      <c r="B1488" s="23" t="str">
        <f t="shared" si="7"/>
        <v/>
      </c>
      <c r="C1488" s="23"/>
      <c r="D1488" s="44"/>
      <c r="E1488" s="23"/>
      <c r="F1488" s="45"/>
      <c r="G1488" s="23"/>
      <c r="H1488" s="23"/>
      <c r="I1488" s="23"/>
      <c r="J1488" s="25"/>
      <c r="K1488" s="23"/>
      <c r="L1488" s="51"/>
      <c r="M1488" s="23"/>
      <c r="N1488" s="26"/>
      <c r="O1488" s="26"/>
      <c r="P1488" s="26"/>
      <c r="Q1488" s="26"/>
      <c r="R1488" s="26"/>
      <c r="S1488" s="26"/>
      <c r="T1488" s="26"/>
      <c r="U1488" s="26"/>
      <c r="V1488" s="26"/>
      <c r="W1488" s="27"/>
    </row>
    <row r="1489" spans="1:23" ht="15.75" customHeight="1" x14ac:dyDescent="0.25">
      <c r="A1489" s="23"/>
      <c r="B1489" s="23" t="str">
        <f t="shared" si="7"/>
        <v/>
      </c>
      <c r="C1489" s="23"/>
      <c r="D1489" s="44"/>
      <c r="E1489" s="23"/>
      <c r="F1489" s="45"/>
      <c r="G1489" s="23"/>
      <c r="H1489" s="23"/>
      <c r="I1489" s="23"/>
      <c r="J1489" s="25"/>
      <c r="K1489" s="23"/>
      <c r="L1489" s="51"/>
      <c r="M1489" s="23"/>
      <c r="N1489" s="26"/>
      <c r="O1489" s="26"/>
      <c r="P1489" s="26"/>
      <c r="Q1489" s="26"/>
      <c r="R1489" s="26"/>
      <c r="S1489" s="26"/>
      <c r="T1489" s="26"/>
      <c r="U1489" s="26"/>
      <c r="V1489" s="26"/>
      <c r="W1489" s="27"/>
    </row>
    <row r="1490" spans="1:23" ht="15.75" customHeight="1" x14ac:dyDescent="0.25">
      <c r="A1490" s="23"/>
      <c r="B1490" s="23" t="str">
        <f t="shared" si="7"/>
        <v/>
      </c>
      <c r="C1490" s="23"/>
      <c r="D1490" s="44"/>
      <c r="E1490" s="23"/>
      <c r="F1490" s="45"/>
      <c r="G1490" s="23"/>
      <c r="H1490" s="23"/>
      <c r="I1490" s="23"/>
      <c r="J1490" s="25"/>
      <c r="K1490" s="23"/>
      <c r="L1490" s="51"/>
      <c r="M1490" s="23"/>
      <c r="N1490" s="26"/>
      <c r="O1490" s="26"/>
      <c r="P1490" s="26"/>
      <c r="Q1490" s="26"/>
      <c r="R1490" s="26"/>
      <c r="S1490" s="26"/>
      <c r="T1490" s="26"/>
      <c r="U1490" s="26"/>
      <c r="V1490" s="26"/>
      <c r="W1490" s="27"/>
    </row>
    <row r="1491" spans="1:23" ht="15.75" customHeight="1" x14ac:dyDescent="0.25">
      <c r="A1491" s="23"/>
      <c r="B1491" s="23" t="str">
        <f t="shared" si="7"/>
        <v/>
      </c>
      <c r="C1491" s="23"/>
      <c r="D1491" s="44"/>
      <c r="E1491" s="23"/>
      <c r="F1491" s="45"/>
      <c r="G1491" s="23"/>
      <c r="H1491" s="23"/>
      <c r="I1491" s="23"/>
      <c r="J1491" s="25"/>
      <c r="K1491" s="23"/>
      <c r="L1491" s="51"/>
      <c r="M1491" s="23"/>
      <c r="N1491" s="26"/>
      <c r="O1491" s="26"/>
      <c r="P1491" s="26"/>
      <c r="Q1491" s="26"/>
      <c r="R1491" s="26"/>
      <c r="S1491" s="26"/>
      <c r="T1491" s="26"/>
      <c r="U1491" s="26"/>
      <c r="V1491" s="26"/>
      <c r="W1491" s="27"/>
    </row>
    <row r="1492" spans="1:23" ht="15.75" customHeight="1" x14ac:dyDescent="0.25">
      <c r="A1492" s="23"/>
      <c r="B1492" s="23" t="str">
        <f t="shared" si="7"/>
        <v/>
      </c>
      <c r="C1492" s="23"/>
      <c r="D1492" s="44"/>
      <c r="E1492" s="23"/>
      <c r="F1492" s="45"/>
      <c r="G1492" s="23"/>
      <c r="H1492" s="23"/>
      <c r="I1492" s="23"/>
      <c r="J1492" s="25"/>
      <c r="K1492" s="23"/>
      <c r="L1492" s="51"/>
      <c r="M1492" s="23"/>
      <c r="N1492" s="26"/>
      <c r="O1492" s="26"/>
      <c r="P1492" s="26"/>
      <c r="Q1492" s="26"/>
      <c r="R1492" s="26"/>
      <c r="S1492" s="26"/>
      <c r="T1492" s="26"/>
      <c r="U1492" s="26"/>
      <c r="V1492" s="26"/>
      <c r="W1492" s="27"/>
    </row>
    <row r="1493" spans="1:23" ht="15.75" customHeight="1" x14ac:dyDescent="0.25">
      <c r="A1493" s="23"/>
      <c r="B1493" s="23" t="str">
        <f t="shared" si="7"/>
        <v/>
      </c>
      <c r="C1493" s="23"/>
      <c r="D1493" s="44"/>
      <c r="E1493" s="23"/>
      <c r="F1493" s="45"/>
      <c r="G1493" s="23"/>
      <c r="H1493" s="23"/>
      <c r="I1493" s="23"/>
      <c r="J1493" s="25"/>
      <c r="K1493" s="23"/>
      <c r="L1493" s="51"/>
      <c r="M1493" s="23"/>
      <c r="N1493" s="26"/>
      <c r="O1493" s="26"/>
      <c r="P1493" s="26"/>
      <c r="Q1493" s="26"/>
      <c r="R1493" s="26"/>
      <c r="S1493" s="26"/>
      <c r="T1493" s="26"/>
      <c r="U1493" s="26"/>
      <c r="V1493" s="26"/>
      <c r="W1493" s="27"/>
    </row>
    <row r="1494" spans="1:23" ht="15.75" customHeight="1" x14ac:dyDescent="0.25">
      <c r="A1494" s="23"/>
      <c r="B1494" s="23" t="str">
        <f t="shared" si="7"/>
        <v/>
      </c>
      <c r="C1494" s="23"/>
      <c r="D1494" s="44"/>
      <c r="E1494" s="23"/>
      <c r="F1494" s="45"/>
      <c r="G1494" s="23"/>
      <c r="H1494" s="23"/>
      <c r="I1494" s="23"/>
      <c r="J1494" s="25"/>
      <c r="K1494" s="23"/>
      <c r="L1494" s="51"/>
      <c r="M1494" s="23"/>
      <c r="N1494" s="26"/>
      <c r="O1494" s="26"/>
      <c r="P1494" s="26"/>
      <c r="Q1494" s="26"/>
      <c r="R1494" s="26"/>
      <c r="S1494" s="26"/>
      <c r="T1494" s="26"/>
      <c r="U1494" s="26"/>
      <c r="V1494" s="26"/>
      <c r="W1494" s="27"/>
    </row>
    <row r="1495" spans="1:23" ht="15.75" customHeight="1" x14ac:dyDescent="0.25">
      <c r="A1495" s="23"/>
      <c r="B1495" s="23" t="str">
        <f t="shared" si="7"/>
        <v/>
      </c>
      <c r="C1495" s="23"/>
      <c r="D1495" s="44"/>
      <c r="E1495" s="23"/>
      <c r="F1495" s="45"/>
      <c r="G1495" s="23"/>
      <c r="H1495" s="23"/>
      <c r="I1495" s="23"/>
      <c r="J1495" s="25"/>
      <c r="K1495" s="23"/>
      <c r="L1495" s="51"/>
      <c r="M1495" s="23"/>
      <c r="N1495" s="26"/>
      <c r="O1495" s="26"/>
      <c r="P1495" s="26"/>
      <c r="Q1495" s="26"/>
      <c r="R1495" s="26"/>
      <c r="S1495" s="26"/>
      <c r="T1495" s="26"/>
      <c r="U1495" s="26"/>
      <c r="V1495" s="26"/>
      <c r="W1495" s="27"/>
    </row>
    <row r="1496" spans="1:23" ht="15.75" customHeight="1" x14ac:dyDescent="0.25">
      <c r="A1496" s="23"/>
      <c r="B1496" s="23" t="str">
        <f t="shared" si="7"/>
        <v/>
      </c>
      <c r="C1496" s="23"/>
      <c r="D1496" s="44"/>
      <c r="E1496" s="23"/>
      <c r="F1496" s="45"/>
      <c r="G1496" s="23"/>
      <c r="H1496" s="23"/>
      <c r="I1496" s="23"/>
      <c r="J1496" s="25"/>
      <c r="K1496" s="23"/>
      <c r="L1496" s="51"/>
      <c r="M1496" s="23"/>
      <c r="N1496" s="26"/>
      <c r="O1496" s="26"/>
      <c r="P1496" s="26"/>
      <c r="Q1496" s="26"/>
      <c r="R1496" s="26"/>
      <c r="S1496" s="26"/>
      <c r="T1496" s="26"/>
      <c r="U1496" s="26"/>
      <c r="V1496" s="26"/>
      <c r="W1496" s="27"/>
    </row>
    <row r="1497" spans="1:23" ht="15.75" customHeight="1" x14ac:dyDescent="0.25">
      <c r="A1497" s="23"/>
      <c r="B1497" s="23" t="str">
        <f t="shared" si="7"/>
        <v/>
      </c>
      <c r="C1497" s="23"/>
      <c r="D1497" s="44"/>
      <c r="E1497" s="23"/>
      <c r="F1497" s="45"/>
      <c r="G1497" s="23"/>
      <c r="H1497" s="23"/>
      <c r="I1497" s="23"/>
      <c r="J1497" s="25"/>
      <c r="K1497" s="23"/>
      <c r="L1497" s="51"/>
      <c r="M1497" s="23"/>
      <c r="N1497" s="26"/>
      <c r="O1497" s="26"/>
      <c r="P1497" s="26"/>
      <c r="Q1497" s="26"/>
      <c r="R1497" s="26"/>
      <c r="S1497" s="26"/>
      <c r="T1497" s="26"/>
      <c r="U1497" s="26"/>
      <c r="V1497" s="26"/>
      <c r="W1497" s="27"/>
    </row>
    <row r="1498" spans="1:23" ht="15.75" customHeight="1" x14ac:dyDescent="0.25">
      <c r="A1498" s="23"/>
      <c r="B1498" s="23" t="str">
        <f t="shared" si="7"/>
        <v/>
      </c>
      <c r="C1498" s="23"/>
      <c r="D1498" s="44"/>
      <c r="E1498" s="23"/>
      <c r="F1498" s="45"/>
      <c r="G1498" s="23"/>
      <c r="H1498" s="23"/>
      <c r="I1498" s="23"/>
      <c r="J1498" s="25"/>
      <c r="K1498" s="23"/>
      <c r="L1498" s="51"/>
      <c r="M1498" s="23"/>
      <c r="N1498" s="26"/>
      <c r="O1498" s="26"/>
      <c r="P1498" s="26"/>
      <c r="Q1498" s="26"/>
      <c r="R1498" s="26"/>
      <c r="S1498" s="26"/>
      <c r="T1498" s="26"/>
      <c r="U1498" s="26"/>
      <c r="V1498" s="26"/>
      <c r="W1498" s="27"/>
    </row>
    <row r="1499" spans="1:23" ht="15.75" customHeight="1" x14ac:dyDescent="0.25">
      <c r="A1499" s="23"/>
      <c r="B1499" s="23" t="str">
        <f t="shared" si="7"/>
        <v/>
      </c>
      <c r="C1499" s="23"/>
      <c r="D1499" s="44"/>
      <c r="E1499" s="23"/>
      <c r="F1499" s="45"/>
      <c r="G1499" s="23"/>
      <c r="H1499" s="23"/>
      <c r="I1499" s="23"/>
      <c r="J1499" s="25"/>
      <c r="K1499" s="23"/>
      <c r="L1499" s="51"/>
      <c r="M1499" s="23"/>
      <c r="N1499" s="26"/>
      <c r="O1499" s="26"/>
      <c r="P1499" s="26"/>
      <c r="Q1499" s="26"/>
      <c r="R1499" s="26"/>
      <c r="S1499" s="26"/>
      <c r="T1499" s="26"/>
      <c r="U1499" s="26"/>
      <c r="V1499" s="26"/>
      <c r="W1499" s="27"/>
    </row>
    <row r="1500" spans="1:23" ht="15.75" customHeight="1" x14ac:dyDescent="0.25">
      <c r="A1500" s="23"/>
      <c r="B1500" s="23" t="str">
        <f t="shared" si="7"/>
        <v/>
      </c>
      <c r="C1500" s="23"/>
      <c r="D1500" s="44"/>
      <c r="E1500" s="23"/>
      <c r="F1500" s="45"/>
      <c r="G1500" s="23"/>
      <c r="H1500" s="23"/>
      <c r="I1500" s="23"/>
      <c r="J1500" s="25"/>
      <c r="K1500" s="23"/>
      <c r="L1500" s="51"/>
      <c r="M1500" s="23"/>
      <c r="N1500" s="26"/>
      <c r="O1500" s="26"/>
      <c r="P1500" s="26"/>
      <c r="Q1500" s="26"/>
      <c r="R1500" s="26"/>
      <c r="S1500" s="26"/>
      <c r="T1500" s="26"/>
      <c r="U1500" s="26"/>
      <c r="V1500" s="26"/>
      <c r="W1500" s="27"/>
    </row>
    <row r="1501" spans="1:23" ht="15.75" customHeight="1" x14ac:dyDescent="0.25">
      <c r="A1501" s="23"/>
      <c r="B1501" s="23" t="str">
        <f t="shared" si="7"/>
        <v/>
      </c>
      <c r="C1501" s="23"/>
      <c r="D1501" s="44"/>
      <c r="E1501" s="23"/>
      <c r="F1501" s="45"/>
      <c r="G1501" s="23"/>
      <c r="H1501" s="23"/>
      <c r="I1501" s="23"/>
      <c r="J1501" s="25"/>
      <c r="K1501" s="23"/>
      <c r="L1501" s="51"/>
      <c r="M1501" s="23"/>
      <c r="N1501" s="26"/>
      <c r="O1501" s="26"/>
      <c r="P1501" s="26"/>
      <c r="Q1501" s="26"/>
      <c r="R1501" s="26"/>
      <c r="S1501" s="26"/>
      <c r="T1501" s="26"/>
      <c r="U1501" s="26"/>
      <c r="V1501" s="26"/>
      <c r="W1501" s="27"/>
    </row>
    <row r="1502" spans="1:23" ht="15.75" customHeight="1" x14ac:dyDescent="0.25">
      <c r="A1502" s="23"/>
      <c r="B1502" s="23" t="str">
        <f t="shared" si="7"/>
        <v/>
      </c>
      <c r="C1502" s="23"/>
      <c r="D1502" s="44"/>
      <c r="E1502" s="23"/>
      <c r="F1502" s="45"/>
      <c r="G1502" s="23"/>
      <c r="H1502" s="23"/>
      <c r="I1502" s="23"/>
      <c r="J1502" s="25"/>
      <c r="K1502" s="23"/>
      <c r="L1502" s="51"/>
      <c r="M1502" s="23"/>
      <c r="N1502" s="26"/>
      <c r="O1502" s="26"/>
      <c r="P1502" s="26"/>
      <c r="Q1502" s="26"/>
      <c r="R1502" s="26"/>
      <c r="S1502" s="26"/>
      <c r="T1502" s="26"/>
      <c r="U1502" s="26"/>
      <c r="V1502" s="26"/>
      <c r="W1502" s="27"/>
    </row>
    <row r="1503" spans="1:23" ht="15.75" customHeight="1" x14ac:dyDescent="0.25">
      <c r="A1503" s="23"/>
      <c r="B1503" s="23" t="str">
        <f t="shared" si="7"/>
        <v/>
      </c>
      <c r="C1503" s="23"/>
      <c r="D1503" s="44"/>
      <c r="E1503" s="23"/>
      <c r="F1503" s="45"/>
      <c r="G1503" s="23"/>
      <c r="H1503" s="23"/>
      <c r="I1503" s="23"/>
      <c r="J1503" s="25"/>
      <c r="K1503" s="23"/>
      <c r="L1503" s="51"/>
      <c r="M1503" s="23"/>
      <c r="N1503" s="26"/>
      <c r="O1503" s="26"/>
      <c r="P1503" s="26"/>
      <c r="Q1503" s="26"/>
      <c r="R1503" s="26"/>
      <c r="S1503" s="26"/>
      <c r="T1503" s="26"/>
      <c r="U1503" s="26"/>
      <c r="V1503" s="26"/>
      <c r="W1503" s="27"/>
    </row>
    <row r="1504" spans="1:23" ht="15.75" customHeight="1" x14ac:dyDescent="0.25">
      <c r="A1504" s="23"/>
      <c r="B1504" s="23" t="str">
        <f t="shared" si="7"/>
        <v/>
      </c>
      <c r="C1504" s="23"/>
      <c r="D1504" s="44"/>
      <c r="E1504" s="23"/>
      <c r="F1504" s="45"/>
      <c r="G1504" s="23"/>
      <c r="H1504" s="23"/>
      <c r="I1504" s="23"/>
      <c r="J1504" s="25"/>
      <c r="K1504" s="23"/>
      <c r="L1504" s="51"/>
      <c r="M1504" s="23"/>
      <c r="N1504" s="26"/>
      <c r="O1504" s="26"/>
      <c r="P1504" s="26"/>
      <c r="Q1504" s="26"/>
      <c r="R1504" s="26"/>
      <c r="S1504" s="26"/>
      <c r="T1504" s="26"/>
      <c r="U1504" s="26"/>
      <c r="V1504" s="26"/>
      <c r="W1504" s="27"/>
    </row>
    <row r="1505" spans="1:23" ht="15.75" customHeight="1" x14ac:dyDescent="0.25">
      <c r="A1505" s="23"/>
      <c r="B1505" s="23" t="str">
        <f t="shared" si="7"/>
        <v/>
      </c>
      <c r="C1505" s="23"/>
      <c r="D1505" s="44"/>
      <c r="E1505" s="23"/>
      <c r="F1505" s="45"/>
      <c r="G1505" s="23"/>
      <c r="H1505" s="23"/>
      <c r="I1505" s="23"/>
      <c r="J1505" s="25"/>
      <c r="K1505" s="23"/>
      <c r="L1505" s="51"/>
      <c r="M1505" s="23"/>
      <c r="N1505" s="26"/>
      <c r="O1505" s="26"/>
      <c r="P1505" s="26"/>
      <c r="Q1505" s="26"/>
      <c r="R1505" s="26"/>
      <c r="S1505" s="26"/>
      <c r="T1505" s="26"/>
      <c r="U1505" s="26"/>
      <c r="V1505" s="26"/>
      <c r="W1505" s="27"/>
    </row>
    <row r="1506" spans="1:23" ht="15.75" customHeight="1" x14ac:dyDescent="0.25">
      <c r="A1506" s="23"/>
      <c r="B1506" s="23" t="str">
        <f t="shared" si="7"/>
        <v/>
      </c>
      <c r="C1506" s="23"/>
      <c r="D1506" s="44"/>
      <c r="E1506" s="23"/>
      <c r="F1506" s="45"/>
      <c r="G1506" s="23"/>
      <c r="H1506" s="23"/>
      <c r="I1506" s="23"/>
      <c r="J1506" s="25"/>
      <c r="K1506" s="23"/>
      <c r="L1506" s="51"/>
      <c r="M1506" s="23"/>
      <c r="N1506" s="26"/>
      <c r="O1506" s="26"/>
      <c r="P1506" s="26"/>
      <c r="Q1506" s="26"/>
      <c r="R1506" s="26"/>
      <c r="S1506" s="26"/>
      <c r="T1506" s="26"/>
      <c r="U1506" s="26"/>
      <c r="V1506" s="26"/>
      <c r="W1506" s="27"/>
    </row>
    <row r="1507" spans="1:23" ht="15.75" customHeight="1" x14ac:dyDescent="0.25">
      <c r="A1507" s="23"/>
      <c r="B1507" s="23" t="str">
        <f t="shared" si="7"/>
        <v/>
      </c>
      <c r="C1507" s="23"/>
      <c r="D1507" s="44"/>
      <c r="E1507" s="23"/>
      <c r="F1507" s="45"/>
      <c r="G1507" s="23"/>
      <c r="H1507" s="23"/>
      <c r="I1507" s="23"/>
      <c r="J1507" s="25"/>
      <c r="K1507" s="23"/>
      <c r="L1507" s="51"/>
      <c r="M1507" s="23"/>
      <c r="N1507" s="26"/>
      <c r="O1507" s="26"/>
      <c r="P1507" s="26"/>
      <c r="Q1507" s="26"/>
      <c r="R1507" s="26"/>
      <c r="S1507" s="26"/>
      <c r="T1507" s="26"/>
      <c r="U1507" s="26"/>
      <c r="V1507" s="26"/>
      <c r="W1507" s="27"/>
    </row>
    <row r="1508" spans="1:23" ht="15.75" customHeight="1" x14ac:dyDescent="0.25">
      <c r="A1508" s="23"/>
      <c r="B1508" s="23" t="str">
        <f t="shared" si="7"/>
        <v/>
      </c>
      <c r="C1508" s="23"/>
      <c r="D1508" s="44"/>
      <c r="E1508" s="23"/>
      <c r="F1508" s="45"/>
      <c r="G1508" s="23"/>
      <c r="H1508" s="23"/>
      <c r="I1508" s="23"/>
      <c r="J1508" s="25"/>
      <c r="K1508" s="23"/>
      <c r="L1508" s="51"/>
      <c r="M1508" s="23"/>
      <c r="N1508" s="26"/>
      <c r="O1508" s="26"/>
      <c r="P1508" s="26"/>
      <c r="Q1508" s="26"/>
      <c r="R1508" s="26"/>
      <c r="S1508" s="26"/>
      <c r="T1508" s="26"/>
      <c r="U1508" s="26"/>
      <c r="V1508" s="26"/>
      <c r="W1508" s="27"/>
    </row>
    <row r="1509" spans="1:23" ht="15.75" customHeight="1" x14ac:dyDescent="0.25">
      <c r="A1509" s="23"/>
      <c r="B1509" s="23" t="str">
        <f t="shared" si="7"/>
        <v/>
      </c>
      <c r="C1509" s="23"/>
      <c r="D1509" s="44"/>
      <c r="E1509" s="23"/>
      <c r="F1509" s="45"/>
      <c r="G1509" s="23"/>
      <c r="H1509" s="23"/>
      <c r="I1509" s="23"/>
      <c r="J1509" s="25"/>
      <c r="K1509" s="23"/>
      <c r="L1509" s="51"/>
      <c r="M1509" s="23"/>
      <c r="N1509" s="26"/>
      <c r="O1509" s="26"/>
      <c r="P1509" s="26"/>
      <c r="Q1509" s="26"/>
      <c r="R1509" s="26"/>
      <c r="S1509" s="26"/>
      <c r="T1509" s="26"/>
      <c r="U1509" s="26"/>
      <c r="V1509" s="26"/>
      <c r="W1509" s="27"/>
    </row>
    <row r="1510" spans="1:23" ht="15.75" customHeight="1" x14ac:dyDescent="0.25">
      <c r="A1510" s="23"/>
      <c r="B1510" s="23" t="str">
        <f t="shared" si="7"/>
        <v/>
      </c>
      <c r="C1510" s="23"/>
      <c r="D1510" s="44"/>
      <c r="E1510" s="23"/>
      <c r="F1510" s="45"/>
      <c r="G1510" s="23"/>
      <c r="H1510" s="23"/>
      <c r="I1510" s="23"/>
      <c r="J1510" s="25"/>
      <c r="K1510" s="23"/>
      <c r="L1510" s="51"/>
      <c r="M1510" s="23"/>
      <c r="N1510" s="26"/>
      <c r="O1510" s="26"/>
      <c r="P1510" s="26"/>
      <c r="Q1510" s="26"/>
      <c r="R1510" s="26"/>
      <c r="S1510" s="26"/>
      <c r="T1510" s="26"/>
      <c r="U1510" s="26"/>
      <c r="V1510" s="26"/>
      <c r="W1510" s="27"/>
    </row>
    <row r="1511" spans="1:23" ht="15.75" customHeight="1" x14ac:dyDescent="0.25">
      <c r="A1511" s="23"/>
      <c r="B1511" s="23" t="str">
        <f t="shared" si="7"/>
        <v/>
      </c>
      <c r="C1511" s="23"/>
      <c r="D1511" s="44"/>
      <c r="E1511" s="23"/>
      <c r="F1511" s="45"/>
      <c r="G1511" s="23"/>
      <c r="H1511" s="23"/>
      <c r="I1511" s="23"/>
      <c r="J1511" s="25"/>
      <c r="K1511" s="23"/>
      <c r="L1511" s="51"/>
      <c r="M1511" s="23"/>
      <c r="N1511" s="26"/>
      <c r="O1511" s="26"/>
      <c r="P1511" s="26"/>
      <c r="Q1511" s="26"/>
      <c r="R1511" s="26"/>
      <c r="S1511" s="26"/>
      <c r="T1511" s="26"/>
      <c r="U1511" s="26"/>
      <c r="V1511" s="26"/>
      <c r="W1511" s="27"/>
    </row>
    <row r="1512" spans="1:23" ht="15.75" customHeight="1" x14ac:dyDescent="0.25">
      <c r="A1512" s="23"/>
      <c r="B1512" s="23" t="str">
        <f t="shared" si="7"/>
        <v/>
      </c>
      <c r="C1512" s="23"/>
      <c r="D1512" s="44"/>
      <c r="E1512" s="23"/>
      <c r="F1512" s="45"/>
      <c r="G1512" s="23"/>
      <c r="H1512" s="23"/>
      <c r="I1512" s="23"/>
      <c r="J1512" s="25"/>
      <c r="K1512" s="23"/>
      <c r="L1512" s="51"/>
      <c r="M1512" s="23"/>
      <c r="N1512" s="26"/>
      <c r="O1512" s="26"/>
      <c r="P1512" s="26"/>
      <c r="Q1512" s="26"/>
      <c r="R1512" s="26"/>
      <c r="S1512" s="26"/>
      <c r="T1512" s="26"/>
      <c r="U1512" s="26"/>
      <c r="V1512" s="26"/>
      <c r="W1512" s="27"/>
    </row>
    <row r="1513" spans="1:23" ht="15.75" customHeight="1" x14ac:dyDescent="0.25">
      <c r="A1513" s="23"/>
      <c r="B1513" s="23" t="str">
        <f t="shared" si="7"/>
        <v/>
      </c>
      <c r="C1513" s="23"/>
      <c r="D1513" s="44"/>
      <c r="E1513" s="23"/>
      <c r="F1513" s="45"/>
      <c r="G1513" s="23"/>
      <c r="H1513" s="23"/>
      <c r="I1513" s="23"/>
      <c r="J1513" s="25"/>
      <c r="K1513" s="23"/>
      <c r="L1513" s="51"/>
      <c r="M1513" s="23"/>
      <c r="N1513" s="26"/>
      <c r="O1513" s="26"/>
      <c r="P1513" s="26"/>
      <c r="Q1513" s="26"/>
      <c r="R1513" s="26"/>
      <c r="S1513" s="26"/>
      <c r="T1513" s="26"/>
      <c r="U1513" s="26"/>
      <c r="V1513" s="26"/>
      <c r="W1513" s="27"/>
    </row>
    <row r="1514" spans="1:23" ht="15.75" customHeight="1" x14ac:dyDescent="0.25">
      <c r="A1514" s="23"/>
      <c r="B1514" s="23" t="str">
        <f t="shared" si="7"/>
        <v/>
      </c>
      <c r="C1514" s="23"/>
      <c r="D1514" s="44"/>
      <c r="E1514" s="23"/>
      <c r="F1514" s="45"/>
      <c r="G1514" s="23"/>
      <c r="H1514" s="23"/>
      <c r="I1514" s="23"/>
      <c r="J1514" s="25"/>
      <c r="K1514" s="23"/>
      <c r="L1514" s="51"/>
      <c r="M1514" s="23"/>
      <c r="N1514" s="26"/>
      <c r="O1514" s="26"/>
      <c r="P1514" s="26"/>
      <c r="Q1514" s="26"/>
      <c r="R1514" s="26"/>
      <c r="S1514" s="26"/>
      <c r="T1514" s="26"/>
      <c r="U1514" s="26"/>
      <c r="V1514" s="26"/>
      <c r="W1514" s="27"/>
    </row>
    <row r="1515" spans="1:23" ht="15.75" customHeight="1" x14ac:dyDescent="0.25">
      <c r="A1515" s="23"/>
      <c r="B1515" s="23" t="str">
        <f t="shared" si="7"/>
        <v/>
      </c>
      <c r="C1515" s="23"/>
      <c r="D1515" s="44"/>
      <c r="E1515" s="23"/>
      <c r="F1515" s="45"/>
      <c r="G1515" s="23"/>
      <c r="H1515" s="23"/>
      <c r="I1515" s="23"/>
      <c r="J1515" s="25"/>
      <c r="K1515" s="23"/>
      <c r="L1515" s="51"/>
      <c r="M1515" s="23"/>
      <c r="N1515" s="26"/>
      <c r="O1515" s="26"/>
      <c r="P1515" s="26"/>
      <c r="Q1515" s="26"/>
      <c r="R1515" s="26"/>
      <c r="S1515" s="26"/>
      <c r="T1515" s="26"/>
      <c r="U1515" s="26"/>
      <c r="V1515" s="26"/>
      <c r="W1515" s="27"/>
    </row>
    <row r="1516" spans="1:23" ht="15.75" customHeight="1" x14ac:dyDescent="0.25">
      <c r="A1516" s="23"/>
      <c r="B1516" s="23" t="str">
        <f t="shared" si="7"/>
        <v/>
      </c>
      <c r="C1516" s="23"/>
      <c r="D1516" s="44"/>
      <c r="E1516" s="23"/>
      <c r="F1516" s="45"/>
      <c r="G1516" s="23"/>
      <c r="H1516" s="23"/>
      <c r="I1516" s="23"/>
      <c r="J1516" s="25"/>
      <c r="K1516" s="23"/>
      <c r="L1516" s="51"/>
      <c r="M1516" s="23"/>
      <c r="N1516" s="26"/>
      <c r="O1516" s="26"/>
      <c r="P1516" s="26"/>
      <c r="Q1516" s="26"/>
      <c r="R1516" s="26"/>
      <c r="S1516" s="26"/>
      <c r="T1516" s="26"/>
      <c r="U1516" s="26"/>
      <c r="V1516" s="26"/>
      <c r="W1516" s="27"/>
    </row>
    <row r="1517" spans="1:23" ht="15.75" customHeight="1" x14ac:dyDescent="0.25">
      <c r="A1517" s="23"/>
      <c r="B1517" s="23" t="str">
        <f t="shared" si="7"/>
        <v/>
      </c>
      <c r="C1517" s="23"/>
      <c r="D1517" s="44"/>
      <c r="E1517" s="23"/>
      <c r="F1517" s="45"/>
      <c r="G1517" s="23"/>
      <c r="H1517" s="23"/>
      <c r="I1517" s="23"/>
      <c r="J1517" s="25"/>
      <c r="K1517" s="23"/>
      <c r="L1517" s="51"/>
      <c r="M1517" s="23"/>
      <c r="N1517" s="26"/>
      <c r="O1517" s="26"/>
      <c r="P1517" s="26"/>
      <c r="Q1517" s="26"/>
      <c r="R1517" s="26"/>
      <c r="S1517" s="26"/>
      <c r="T1517" s="26"/>
      <c r="U1517" s="26"/>
      <c r="V1517" s="26"/>
      <c r="W1517" s="27"/>
    </row>
    <row r="1518" spans="1:23" ht="15.75" customHeight="1" x14ac:dyDescent="0.25">
      <c r="A1518" s="23"/>
      <c r="B1518" s="23" t="str">
        <f t="shared" si="7"/>
        <v/>
      </c>
      <c r="C1518" s="23"/>
      <c r="D1518" s="44"/>
      <c r="E1518" s="23"/>
      <c r="F1518" s="45"/>
      <c r="G1518" s="23"/>
      <c r="H1518" s="23"/>
      <c r="I1518" s="23"/>
      <c r="J1518" s="25"/>
      <c r="K1518" s="23"/>
      <c r="L1518" s="51"/>
      <c r="M1518" s="23"/>
      <c r="N1518" s="26"/>
      <c r="O1518" s="26"/>
      <c r="P1518" s="26"/>
      <c r="Q1518" s="26"/>
      <c r="R1518" s="26"/>
      <c r="S1518" s="26"/>
      <c r="T1518" s="26"/>
      <c r="U1518" s="26"/>
      <c r="V1518" s="26"/>
      <c r="W1518" s="27"/>
    </row>
    <row r="1519" spans="1:23" ht="15.75" customHeight="1" x14ac:dyDescent="0.25">
      <c r="A1519" s="23"/>
      <c r="B1519" s="23" t="str">
        <f t="shared" si="7"/>
        <v/>
      </c>
      <c r="C1519" s="23"/>
      <c r="D1519" s="44"/>
      <c r="E1519" s="23"/>
      <c r="F1519" s="45"/>
      <c r="G1519" s="23"/>
      <c r="H1519" s="23"/>
      <c r="I1519" s="23"/>
      <c r="J1519" s="25"/>
      <c r="K1519" s="23"/>
      <c r="L1519" s="51"/>
      <c r="M1519" s="23"/>
      <c r="N1519" s="26"/>
      <c r="O1519" s="26"/>
      <c r="P1519" s="26"/>
      <c r="Q1519" s="26"/>
      <c r="R1519" s="26"/>
      <c r="S1519" s="26"/>
      <c r="T1519" s="26"/>
      <c r="U1519" s="26"/>
      <c r="V1519" s="26"/>
      <c r="W1519" s="27"/>
    </row>
    <row r="1520" spans="1:23" ht="15.75" customHeight="1" x14ac:dyDescent="0.25">
      <c r="A1520" s="23"/>
      <c r="B1520" s="23" t="str">
        <f t="shared" si="7"/>
        <v/>
      </c>
      <c r="C1520" s="23"/>
      <c r="D1520" s="44"/>
      <c r="E1520" s="23"/>
      <c r="F1520" s="45"/>
      <c r="G1520" s="23"/>
      <c r="H1520" s="23"/>
      <c r="I1520" s="23"/>
      <c r="J1520" s="25"/>
      <c r="K1520" s="23"/>
      <c r="L1520" s="51"/>
      <c r="M1520" s="23"/>
      <c r="N1520" s="26"/>
      <c r="O1520" s="26"/>
      <c r="P1520" s="26"/>
      <c r="Q1520" s="26"/>
      <c r="R1520" s="26"/>
      <c r="S1520" s="26"/>
      <c r="T1520" s="26"/>
      <c r="U1520" s="26"/>
      <c r="V1520" s="26"/>
      <c r="W1520" s="27"/>
    </row>
    <row r="1521" spans="1:23" ht="15.75" customHeight="1" x14ac:dyDescent="0.25">
      <c r="A1521" s="23"/>
      <c r="B1521" s="23" t="str">
        <f t="shared" si="7"/>
        <v/>
      </c>
      <c r="C1521" s="23"/>
      <c r="D1521" s="44"/>
      <c r="E1521" s="23"/>
      <c r="F1521" s="45"/>
      <c r="G1521" s="23"/>
      <c r="H1521" s="23"/>
      <c r="I1521" s="23"/>
      <c r="J1521" s="25"/>
      <c r="K1521" s="23"/>
      <c r="L1521" s="51"/>
      <c r="M1521" s="23"/>
      <c r="N1521" s="26"/>
      <c r="O1521" s="26"/>
      <c r="P1521" s="26"/>
      <c r="Q1521" s="26"/>
      <c r="R1521" s="26"/>
      <c r="S1521" s="26"/>
      <c r="T1521" s="26"/>
      <c r="U1521" s="26"/>
      <c r="V1521" s="26"/>
      <c r="W1521" s="27"/>
    </row>
    <row r="1522" spans="1:23" ht="15.75" customHeight="1" x14ac:dyDescent="0.25">
      <c r="A1522" s="23"/>
      <c r="B1522" s="23" t="str">
        <f t="shared" si="7"/>
        <v/>
      </c>
      <c r="C1522" s="23"/>
      <c r="D1522" s="44"/>
      <c r="E1522" s="23"/>
      <c r="F1522" s="45"/>
      <c r="G1522" s="23"/>
      <c r="H1522" s="23"/>
      <c r="I1522" s="23"/>
      <c r="J1522" s="25"/>
      <c r="K1522" s="23"/>
      <c r="L1522" s="51"/>
      <c r="M1522" s="23"/>
      <c r="N1522" s="26"/>
      <c r="O1522" s="26"/>
      <c r="P1522" s="26"/>
      <c r="Q1522" s="26"/>
      <c r="R1522" s="26"/>
      <c r="S1522" s="26"/>
      <c r="T1522" s="26"/>
      <c r="U1522" s="26"/>
      <c r="V1522" s="26"/>
      <c r="W1522" s="27"/>
    </row>
    <row r="1523" spans="1:23" ht="15.75" customHeight="1" x14ac:dyDescent="0.25">
      <c r="A1523" s="23"/>
      <c r="B1523" s="23" t="str">
        <f t="shared" si="7"/>
        <v/>
      </c>
      <c r="C1523" s="23"/>
      <c r="D1523" s="44"/>
      <c r="E1523" s="23"/>
      <c r="F1523" s="45"/>
      <c r="G1523" s="23"/>
      <c r="H1523" s="23"/>
      <c r="I1523" s="23"/>
      <c r="J1523" s="25"/>
      <c r="K1523" s="23"/>
      <c r="L1523" s="51"/>
      <c r="M1523" s="23"/>
      <c r="N1523" s="26"/>
      <c r="O1523" s="26"/>
      <c r="P1523" s="26"/>
      <c r="Q1523" s="26"/>
      <c r="R1523" s="26"/>
      <c r="S1523" s="26"/>
      <c r="T1523" s="26"/>
      <c r="U1523" s="26"/>
      <c r="V1523" s="26"/>
      <c r="W1523" s="27"/>
    </row>
    <row r="1524" spans="1:23" ht="15.75" customHeight="1" x14ac:dyDescent="0.25">
      <c r="A1524" s="23"/>
      <c r="B1524" s="23" t="str">
        <f t="shared" si="7"/>
        <v/>
      </c>
      <c r="C1524" s="23"/>
      <c r="D1524" s="44"/>
      <c r="E1524" s="23"/>
      <c r="F1524" s="45"/>
      <c r="G1524" s="23"/>
      <c r="H1524" s="23"/>
      <c r="I1524" s="23"/>
      <c r="J1524" s="25"/>
      <c r="K1524" s="23"/>
      <c r="L1524" s="51"/>
      <c r="M1524" s="23"/>
      <c r="N1524" s="26"/>
      <c r="O1524" s="26"/>
      <c r="P1524" s="26"/>
      <c r="Q1524" s="26"/>
      <c r="R1524" s="26"/>
      <c r="S1524" s="26"/>
      <c r="T1524" s="26"/>
      <c r="U1524" s="26"/>
      <c r="V1524" s="26"/>
      <c r="W1524" s="27"/>
    </row>
    <row r="1525" spans="1:23" ht="15.75" customHeight="1" x14ac:dyDescent="0.25">
      <c r="A1525" s="23"/>
      <c r="B1525" s="23" t="str">
        <f t="shared" si="7"/>
        <v/>
      </c>
      <c r="C1525" s="23"/>
      <c r="D1525" s="44"/>
      <c r="E1525" s="23"/>
      <c r="F1525" s="45"/>
      <c r="G1525" s="23"/>
      <c r="H1525" s="23"/>
      <c r="I1525" s="23"/>
      <c r="J1525" s="25"/>
      <c r="K1525" s="23"/>
      <c r="L1525" s="51"/>
      <c r="M1525" s="23"/>
      <c r="N1525" s="26"/>
      <c r="O1525" s="26"/>
      <c r="P1525" s="26"/>
      <c r="Q1525" s="26"/>
      <c r="R1525" s="26"/>
      <c r="S1525" s="26"/>
      <c r="T1525" s="26"/>
      <c r="U1525" s="26"/>
      <c r="V1525" s="26"/>
      <c r="W1525" s="27"/>
    </row>
    <row r="1526" spans="1:23" ht="15.75" customHeight="1" x14ac:dyDescent="0.25">
      <c r="A1526" s="23"/>
      <c r="B1526" s="23" t="str">
        <f t="shared" si="7"/>
        <v/>
      </c>
      <c r="C1526" s="23"/>
      <c r="D1526" s="44"/>
      <c r="E1526" s="23"/>
      <c r="F1526" s="45"/>
      <c r="G1526" s="23"/>
      <c r="H1526" s="23"/>
      <c r="I1526" s="23"/>
      <c r="J1526" s="25"/>
      <c r="K1526" s="23"/>
      <c r="L1526" s="51"/>
      <c r="M1526" s="23"/>
      <c r="N1526" s="26"/>
      <c r="O1526" s="26"/>
      <c r="P1526" s="26"/>
      <c r="Q1526" s="26"/>
      <c r="R1526" s="26"/>
      <c r="S1526" s="26"/>
      <c r="T1526" s="26"/>
      <c r="U1526" s="26"/>
      <c r="V1526" s="26"/>
      <c r="W1526" s="27"/>
    </row>
    <row r="1527" spans="1:23" ht="15.75" customHeight="1" x14ac:dyDescent="0.25">
      <c r="A1527" s="23"/>
      <c r="B1527" s="23" t="str">
        <f t="shared" si="7"/>
        <v/>
      </c>
      <c r="C1527" s="23"/>
      <c r="D1527" s="44"/>
      <c r="E1527" s="23"/>
      <c r="F1527" s="45"/>
      <c r="G1527" s="23"/>
      <c r="H1527" s="23"/>
      <c r="I1527" s="23"/>
      <c r="J1527" s="25"/>
      <c r="K1527" s="23"/>
      <c r="L1527" s="51"/>
      <c r="M1527" s="23"/>
      <c r="N1527" s="26"/>
      <c r="O1527" s="26"/>
      <c r="P1527" s="26"/>
      <c r="Q1527" s="26"/>
      <c r="R1527" s="26"/>
      <c r="S1527" s="26"/>
      <c r="T1527" s="26"/>
      <c r="U1527" s="26"/>
      <c r="V1527" s="26"/>
      <c r="W1527" s="27"/>
    </row>
    <row r="1528" spans="1:23" ht="15.75" customHeight="1" x14ac:dyDescent="0.25">
      <c r="A1528" s="23"/>
      <c r="B1528" s="23" t="str">
        <f t="shared" si="7"/>
        <v/>
      </c>
      <c r="C1528" s="23"/>
      <c r="D1528" s="44"/>
      <c r="E1528" s="23"/>
      <c r="F1528" s="45"/>
      <c r="G1528" s="23"/>
      <c r="H1528" s="23"/>
      <c r="I1528" s="23"/>
      <c r="J1528" s="25"/>
      <c r="K1528" s="23"/>
      <c r="L1528" s="51"/>
      <c r="M1528" s="23"/>
      <c r="N1528" s="26"/>
      <c r="O1528" s="26"/>
      <c r="P1528" s="26"/>
      <c r="Q1528" s="26"/>
      <c r="R1528" s="26"/>
      <c r="S1528" s="26"/>
      <c r="T1528" s="26"/>
      <c r="U1528" s="26"/>
      <c r="V1528" s="26"/>
      <c r="W1528" s="27"/>
    </row>
    <row r="1529" spans="1:23" ht="15.75" customHeight="1" x14ac:dyDescent="0.25">
      <c r="A1529" s="23"/>
      <c r="B1529" s="23" t="str">
        <f t="shared" si="7"/>
        <v/>
      </c>
      <c r="C1529" s="23"/>
      <c r="D1529" s="44"/>
      <c r="E1529" s="23"/>
      <c r="F1529" s="45"/>
      <c r="G1529" s="23"/>
      <c r="H1529" s="23"/>
      <c r="I1529" s="23"/>
      <c r="J1529" s="25"/>
      <c r="K1529" s="23"/>
      <c r="L1529" s="51"/>
      <c r="M1529" s="23"/>
      <c r="N1529" s="26"/>
      <c r="O1529" s="26"/>
      <c r="P1529" s="26"/>
      <c r="Q1529" s="26"/>
      <c r="R1529" s="26"/>
      <c r="S1529" s="26"/>
      <c r="T1529" s="26"/>
      <c r="U1529" s="26"/>
      <c r="V1529" s="26"/>
      <c r="W1529" s="27"/>
    </row>
    <row r="1530" spans="1:23" ht="15.75" customHeight="1" x14ac:dyDescent="0.25">
      <c r="A1530" s="23"/>
      <c r="B1530" s="23" t="str">
        <f t="shared" si="7"/>
        <v/>
      </c>
      <c r="C1530" s="23"/>
      <c r="D1530" s="44"/>
      <c r="E1530" s="23"/>
      <c r="F1530" s="45"/>
      <c r="G1530" s="23"/>
      <c r="H1530" s="23"/>
      <c r="I1530" s="23"/>
      <c r="J1530" s="25"/>
      <c r="K1530" s="23"/>
      <c r="L1530" s="51"/>
      <c r="M1530" s="23"/>
      <c r="N1530" s="26"/>
      <c r="O1530" s="26"/>
      <c r="P1530" s="26"/>
      <c r="Q1530" s="26"/>
      <c r="R1530" s="26"/>
      <c r="S1530" s="26"/>
      <c r="T1530" s="26"/>
      <c r="U1530" s="26"/>
      <c r="V1530" s="26"/>
      <c r="W1530" s="27"/>
    </row>
    <row r="1531" spans="1:23" ht="15.75" customHeight="1" x14ac:dyDescent="0.25">
      <c r="A1531" s="23"/>
      <c r="B1531" s="23" t="str">
        <f t="shared" si="7"/>
        <v/>
      </c>
      <c r="C1531" s="23"/>
      <c r="D1531" s="44"/>
      <c r="E1531" s="23"/>
      <c r="F1531" s="45"/>
      <c r="G1531" s="23"/>
      <c r="H1531" s="23"/>
      <c r="I1531" s="23"/>
      <c r="J1531" s="25"/>
      <c r="K1531" s="23"/>
      <c r="L1531" s="51"/>
      <c r="M1531" s="23"/>
      <c r="N1531" s="26"/>
      <c r="O1531" s="26"/>
      <c r="P1531" s="26"/>
      <c r="Q1531" s="26"/>
      <c r="R1531" s="26"/>
      <c r="S1531" s="26"/>
      <c r="T1531" s="26"/>
      <c r="U1531" s="26"/>
      <c r="V1531" s="26"/>
      <c r="W1531" s="27"/>
    </row>
    <row r="1532" spans="1:23" ht="15.75" customHeight="1" x14ac:dyDescent="0.25">
      <c r="A1532" s="23"/>
      <c r="B1532" s="23" t="str">
        <f t="shared" si="7"/>
        <v/>
      </c>
      <c r="C1532" s="23"/>
      <c r="D1532" s="44"/>
      <c r="E1532" s="23"/>
      <c r="F1532" s="45"/>
      <c r="G1532" s="23"/>
      <c r="H1532" s="23"/>
      <c r="I1532" s="23"/>
      <c r="J1532" s="25"/>
      <c r="K1532" s="23"/>
      <c r="L1532" s="51"/>
      <c r="M1532" s="23"/>
      <c r="N1532" s="26"/>
      <c r="O1532" s="26"/>
      <c r="P1532" s="26"/>
      <c r="Q1532" s="26"/>
      <c r="R1532" s="26"/>
      <c r="S1532" s="26"/>
      <c r="T1532" s="26"/>
      <c r="U1532" s="26"/>
      <c r="V1532" s="26"/>
      <c r="W1532" s="27"/>
    </row>
    <row r="1533" spans="1:23" ht="15.75" customHeight="1" x14ac:dyDescent="0.25">
      <c r="A1533" s="23"/>
      <c r="B1533" s="23" t="str">
        <f t="shared" si="7"/>
        <v/>
      </c>
      <c r="C1533" s="23"/>
      <c r="D1533" s="44"/>
      <c r="E1533" s="23"/>
      <c r="F1533" s="45"/>
      <c r="G1533" s="23"/>
      <c r="H1533" s="23"/>
      <c r="I1533" s="23"/>
      <c r="J1533" s="25"/>
      <c r="K1533" s="23"/>
      <c r="L1533" s="51"/>
      <c r="M1533" s="23"/>
      <c r="N1533" s="26"/>
      <c r="O1533" s="26"/>
      <c r="P1533" s="26"/>
      <c r="Q1533" s="26"/>
      <c r="R1533" s="26"/>
      <c r="S1533" s="26"/>
      <c r="T1533" s="26"/>
      <c r="U1533" s="26"/>
      <c r="V1533" s="26"/>
      <c r="W1533" s="27"/>
    </row>
    <row r="1534" spans="1:23" ht="15.75" customHeight="1" x14ac:dyDescent="0.25">
      <c r="A1534" s="23"/>
      <c r="B1534" s="23" t="str">
        <f t="shared" si="7"/>
        <v/>
      </c>
      <c r="C1534" s="23"/>
      <c r="D1534" s="44"/>
      <c r="E1534" s="23"/>
      <c r="F1534" s="45"/>
      <c r="G1534" s="23"/>
      <c r="H1534" s="23"/>
      <c r="I1534" s="23"/>
      <c r="J1534" s="25"/>
      <c r="K1534" s="23"/>
      <c r="L1534" s="51"/>
      <c r="M1534" s="23"/>
      <c r="N1534" s="26"/>
      <c r="O1534" s="26"/>
      <c r="P1534" s="26"/>
      <c r="Q1534" s="26"/>
      <c r="R1534" s="26"/>
      <c r="S1534" s="26"/>
      <c r="T1534" s="26"/>
      <c r="U1534" s="26"/>
      <c r="V1534" s="26"/>
      <c r="W1534" s="27"/>
    </row>
    <row r="1535" spans="1:23" ht="15.75" customHeight="1" x14ac:dyDescent="0.25">
      <c r="A1535" s="23"/>
      <c r="B1535" s="23" t="str">
        <f t="shared" si="7"/>
        <v/>
      </c>
      <c r="C1535" s="23"/>
      <c r="D1535" s="44"/>
      <c r="E1535" s="23"/>
      <c r="F1535" s="45"/>
      <c r="G1535" s="23"/>
      <c r="H1535" s="23"/>
      <c r="I1535" s="23"/>
      <c r="J1535" s="25"/>
      <c r="K1535" s="23"/>
      <c r="L1535" s="51"/>
      <c r="M1535" s="23"/>
      <c r="N1535" s="26"/>
      <c r="O1535" s="26"/>
      <c r="P1535" s="26"/>
      <c r="Q1535" s="26"/>
      <c r="R1535" s="26"/>
      <c r="S1535" s="26"/>
      <c r="T1535" s="26"/>
      <c r="U1535" s="26"/>
      <c r="V1535" s="26"/>
      <c r="W1535" s="27"/>
    </row>
    <row r="1536" spans="1:23" ht="15.75" customHeight="1" x14ac:dyDescent="0.25">
      <c r="A1536" s="23"/>
      <c r="B1536" s="23" t="str">
        <f t="shared" si="7"/>
        <v/>
      </c>
      <c r="C1536" s="23"/>
      <c r="D1536" s="44"/>
      <c r="E1536" s="23"/>
      <c r="F1536" s="45"/>
      <c r="G1536" s="23"/>
      <c r="H1536" s="23"/>
      <c r="I1536" s="23"/>
      <c r="J1536" s="25"/>
      <c r="K1536" s="23"/>
      <c r="L1536" s="51"/>
      <c r="M1536" s="23"/>
      <c r="N1536" s="26"/>
      <c r="O1536" s="26"/>
      <c r="P1536" s="26"/>
      <c r="Q1536" s="26"/>
      <c r="R1536" s="26"/>
      <c r="S1536" s="26"/>
      <c r="T1536" s="26"/>
      <c r="U1536" s="26"/>
      <c r="V1536" s="26"/>
      <c r="W1536" s="27"/>
    </row>
    <row r="1537" spans="1:23" ht="15.75" customHeight="1" x14ac:dyDescent="0.25">
      <c r="A1537" s="23"/>
      <c r="B1537" s="23" t="str">
        <f t="shared" si="7"/>
        <v/>
      </c>
      <c r="C1537" s="23"/>
      <c r="D1537" s="44"/>
      <c r="E1537" s="23"/>
      <c r="F1537" s="45"/>
      <c r="G1537" s="23"/>
      <c r="H1537" s="23"/>
      <c r="I1537" s="23"/>
      <c r="J1537" s="25"/>
      <c r="K1537" s="23"/>
      <c r="L1537" s="51"/>
      <c r="M1537" s="23"/>
      <c r="N1537" s="26"/>
      <c r="O1537" s="26"/>
      <c r="P1537" s="26"/>
      <c r="Q1537" s="26"/>
      <c r="R1537" s="26"/>
      <c r="S1537" s="26"/>
      <c r="T1537" s="26"/>
      <c r="U1537" s="26"/>
      <c r="V1537" s="26"/>
      <c r="W1537" s="27"/>
    </row>
    <row r="1538" spans="1:23" ht="15.75" customHeight="1" x14ac:dyDescent="0.25">
      <c r="A1538" s="23"/>
      <c r="B1538" s="23" t="str">
        <f t="shared" si="7"/>
        <v/>
      </c>
      <c r="C1538" s="23"/>
      <c r="D1538" s="44"/>
      <c r="E1538" s="23"/>
      <c r="F1538" s="45"/>
      <c r="G1538" s="23"/>
      <c r="H1538" s="23"/>
      <c r="I1538" s="23"/>
      <c r="J1538" s="25"/>
      <c r="K1538" s="23"/>
      <c r="L1538" s="51"/>
      <c r="M1538" s="23"/>
      <c r="N1538" s="26"/>
      <c r="O1538" s="26"/>
      <c r="P1538" s="26"/>
      <c r="Q1538" s="26"/>
      <c r="R1538" s="26"/>
      <c r="S1538" s="26"/>
      <c r="T1538" s="26"/>
      <c r="U1538" s="26"/>
      <c r="V1538" s="26"/>
      <c r="W1538" s="27"/>
    </row>
    <row r="1539" spans="1:23" ht="15.75" customHeight="1" x14ac:dyDescent="0.25">
      <c r="A1539" s="23"/>
      <c r="B1539" s="23" t="str">
        <f t="shared" si="7"/>
        <v/>
      </c>
      <c r="C1539" s="23"/>
      <c r="D1539" s="44"/>
      <c r="E1539" s="23"/>
      <c r="F1539" s="45"/>
      <c r="G1539" s="23"/>
      <c r="H1539" s="23"/>
      <c r="I1539" s="23"/>
      <c r="J1539" s="25"/>
      <c r="K1539" s="23"/>
      <c r="L1539" s="51"/>
      <c r="M1539" s="23"/>
      <c r="N1539" s="26"/>
      <c r="O1539" s="26"/>
      <c r="P1539" s="26"/>
      <c r="Q1539" s="26"/>
      <c r="R1539" s="26"/>
      <c r="S1539" s="26"/>
      <c r="T1539" s="26"/>
      <c r="U1539" s="26"/>
      <c r="V1539" s="26"/>
      <c r="W1539" s="27"/>
    </row>
    <row r="1540" spans="1:23" ht="15.75" customHeight="1" x14ac:dyDescent="0.25">
      <c r="A1540" s="23"/>
      <c r="B1540" s="23" t="str">
        <f t="shared" si="7"/>
        <v/>
      </c>
      <c r="C1540" s="23"/>
      <c r="D1540" s="44"/>
      <c r="E1540" s="23"/>
      <c r="F1540" s="45"/>
      <c r="G1540" s="23"/>
      <c r="H1540" s="23"/>
      <c r="I1540" s="23"/>
      <c r="J1540" s="25"/>
      <c r="K1540" s="23"/>
      <c r="L1540" s="51"/>
      <c r="M1540" s="23"/>
      <c r="N1540" s="26"/>
      <c r="O1540" s="26"/>
      <c r="P1540" s="26"/>
      <c r="Q1540" s="26"/>
      <c r="R1540" s="26"/>
      <c r="S1540" s="26"/>
      <c r="T1540" s="26"/>
      <c r="U1540" s="26"/>
      <c r="V1540" s="26"/>
      <c r="W1540" s="27"/>
    </row>
    <row r="1541" spans="1:23" ht="15.75" customHeight="1" x14ac:dyDescent="0.25">
      <c r="A1541" s="23"/>
      <c r="B1541" s="23" t="str">
        <f t="shared" si="7"/>
        <v/>
      </c>
      <c r="C1541" s="23"/>
      <c r="D1541" s="44"/>
      <c r="E1541" s="23"/>
      <c r="F1541" s="45"/>
      <c r="G1541" s="23"/>
      <c r="H1541" s="23"/>
      <c r="I1541" s="23"/>
      <c r="J1541" s="25"/>
      <c r="K1541" s="23"/>
      <c r="L1541" s="51"/>
      <c r="M1541" s="23"/>
      <c r="N1541" s="26"/>
      <c r="O1541" s="26"/>
      <c r="P1541" s="26"/>
      <c r="Q1541" s="26"/>
      <c r="R1541" s="26"/>
      <c r="S1541" s="26"/>
      <c r="T1541" s="26"/>
      <c r="U1541" s="26"/>
      <c r="V1541" s="26"/>
      <c r="W1541" s="27"/>
    </row>
    <row r="1542" spans="1:23" ht="15.75" customHeight="1" x14ac:dyDescent="0.25">
      <c r="A1542" s="23"/>
      <c r="B1542" s="23" t="str">
        <f t="shared" si="7"/>
        <v/>
      </c>
      <c r="C1542" s="23"/>
      <c r="D1542" s="44"/>
      <c r="E1542" s="23"/>
      <c r="F1542" s="45"/>
      <c r="G1542" s="23"/>
      <c r="H1542" s="23"/>
      <c r="I1542" s="23"/>
      <c r="J1542" s="25"/>
      <c r="K1542" s="23"/>
      <c r="L1542" s="51"/>
      <c r="M1542" s="23"/>
      <c r="N1542" s="26"/>
      <c r="O1542" s="26"/>
      <c r="P1542" s="26"/>
      <c r="Q1542" s="26"/>
      <c r="R1542" s="26"/>
      <c r="S1542" s="26"/>
      <c r="T1542" s="26"/>
      <c r="U1542" s="26"/>
      <c r="V1542" s="26"/>
      <c r="W1542" s="27"/>
    </row>
    <row r="1543" spans="1:23" ht="15.75" customHeight="1" x14ac:dyDescent="0.25">
      <c r="A1543" s="23"/>
      <c r="B1543" s="23" t="str">
        <f t="shared" si="7"/>
        <v/>
      </c>
      <c r="C1543" s="23"/>
      <c r="D1543" s="44"/>
      <c r="E1543" s="23"/>
      <c r="F1543" s="45"/>
      <c r="G1543" s="23"/>
      <c r="H1543" s="23"/>
      <c r="I1543" s="23"/>
      <c r="J1543" s="25"/>
      <c r="K1543" s="23"/>
      <c r="L1543" s="51"/>
      <c r="M1543" s="23"/>
      <c r="N1543" s="26"/>
      <c r="O1543" s="26"/>
      <c r="P1543" s="26"/>
      <c r="Q1543" s="26"/>
      <c r="R1543" s="26"/>
      <c r="S1543" s="26"/>
      <c r="T1543" s="26"/>
      <c r="U1543" s="26"/>
      <c r="V1543" s="26"/>
      <c r="W1543" s="27"/>
    </row>
    <row r="1544" spans="1:23" ht="15.75" customHeight="1" x14ac:dyDescent="0.25">
      <c r="A1544" s="23"/>
      <c r="B1544" s="23" t="str">
        <f t="shared" si="7"/>
        <v/>
      </c>
      <c r="C1544" s="23"/>
      <c r="D1544" s="44"/>
      <c r="E1544" s="23"/>
      <c r="F1544" s="45"/>
      <c r="G1544" s="23"/>
      <c r="H1544" s="23"/>
      <c r="I1544" s="23"/>
      <c r="J1544" s="25"/>
      <c r="K1544" s="23"/>
      <c r="L1544" s="51"/>
      <c r="M1544" s="23"/>
      <c r="N1544" s="26"/>
      <c r="O1544" s="26"/>
      <c r="P1544" s="26"/>
      <c r="Q1544" s="26"/>
      <c r="R1544" s="26"/>
      <c r="S1544" s="26"/>
      <c r="T1544" s="26"/>
      <c r="U1544" s="26"/>
      <c r="V1544" s="26"/>
      <c r="W1544" s="27"/>
    </row>
    <row r="1545" spans="1:23" ht="15.75" customHeight="1" x14ac:dyDescent="0.25">
      <c r="A1545" s="23"/>
      <c r="B1545" s="23" t="str">
        <f t="shared" si="7"/>
        <v/>
      </c>
      <c r="C1545" s="23"/>
      <c r="D1545" s="44"/>
      <c r="E1545" s="23"/>
      <c r="F1545" s="45"/>
      <c r="G1545" s="23"/>
      <c r="H1545" s="23"/>
      <c r="I1545" s="23"/>
      <c r="J1545" s="25"/>
      <c r="K1545" s="23"/>
      <c r="L1545" s="51"/>
      <c r="M1545" s="23"/>
      <c r="N1545" s="26"/>
      <c r="O1545" s="26"/>
      <c r="P1545" s="26"/>
      <c r="Q1545" s="26"/>
      <c r="R1545" s="26"/>
      <c r="S1545" s="26"/>
      <c r="T1545" s="26"/>
      <c r="U1545" s="26"/>
      <c r="V1545" s="26"/>
      <c r="W1545" s="27"/>
    </row>
    <row r="1546" spans="1:23" ht="15.75" customHeight="1" x14ac:dyDescent="0.25">
      <c r="A1546" s="23"/>
      <c r="B1546" s="23" t="str">
        <f t="shared" si="7"/>
        <v/>
      </c>
      <c r="C1546" s="23"/>
      <c r="D1546" s="44"/>
      <c r="E1546" s="23"/>
      <c r="F1546" s="45"/>
      <c r="G1546" s="23"/>
      <c r="H1546" s="23"/>
      <c r="I1546" s="23"/>
      <c r="J1546" s="25"/>
      <c r="K1546" s="23"/>
      <c r="L1546" s="51"/>
      <c r="M1546" s="23"/>
      <c r="N1546" s="26"/>
      <c r="O1546" s="26"/>
      <c r="P1546" s="26"/>
      <c r="Q1546" s="26"/>
      <c r="R1546" s="26"/>
      <c r="S1546" s="26"/>
      <c r="T1546" s="26"/>
      <c r="U1546" s="26"/>
      <c r="V1546" s="26"/>
      <c r="W1546" s="27"/>
    </row>
    <row r="1547" spans="1:23" ht="15.75" customHeight="1" x14ac:dyDescent="0.25">
      <c r="A1547" s="23"/>
      <c r="B1547" s="23" t="str">
        <f t="shared" si="7"/>
        <v/>
      </c>
      <c r="C1547" s="23"/>
      <c r="D1547" s="44"/>
      <c r="E1547" s="23"/>
      <c r="F1547" s="45"/>
      <c r="G1547" s="23"/>
      <c r="H1547" s="23"/>
      <c r="I1547" s="23"/>
      <c r="J1547" s="25"/>
      <c r="K1547" s="23"/>
      <c r="L1547" s="51"/>
      <c r="M1547" s="23"/>
      <c r="N1547" s="26"/>
      <c r="O1547" s="26"/>
      <c r="P1547" s="26"/>
      <c r="Q1547" s="26"/>
      <c r="R1547" s="26"/>
      <c r="S1547" s="26"/>
      <c r="T1547" s="26"/>
      <c r="U1547" s="26"/>
      <c r="V1547" s="26"/>
      <c r="W1547" s="27"/>
    </row>
    <row r="1548" spans="1:23" ht="15.75" customHeight="1" x14ac:dyDescent="0.25">
      <c r="A1548" s="23"/>
      <c r="B1548" s="23" t="str">
        <f t="shared" si="7"/>
        <v/>
      </c>
      <c r="C1548" s="23"/>
      <c r="D1548" s="44"/>
      <c r="E1548" s="23"/>
      <c r="F1548" s="45"/>
      <c r="G1548" s="23"/>
      <c r="H1548" s="23"/>
      <c r="I1548" s="23"/>
      <c r="J1548" s="25"/>
      <c r="K1548" s="23"/>
      <c r="L1548" s="51"/>
      <c r="M1548" s="23"/>
      <c r="N1548" s="26"/>
      <c r="O1548" s="26"/>
      <c r="P1548" s="26"/>
      <c r="Q1548" s="26"/>
      <c r="R1548" s="26"/>
      <c r="S1548" s="26"/>
      <c r="T1548" s="26"/>
      <c r="U1548" s="26"/>
      <c r="V1548" s="26"/>
      <c r="W1548" s="27"/>
    </row>
    <row r="1549" spans="1:23" ht="15.75" customHeight="1" x14ac:dyDescent="0.25">
      <c r="A1549" s="23"/>
      <c r="B1549" s="23" t="str">
        <f t="shared" si="7"/>
        <v/>
      </c>
      <c r="C1549" s="23"/>
      <c r="D1549" s="44"/>
      <c r="E1549" s="23"/>
      <c r="F1549" s="45"/>
      <c r="G1549" s="23"/>
      <c r="H1549" s="23"/>
      <c r="I1549" s="23"/>
      <c r="J1549" s="25"/>
      <c r="K1549" s="23"/>
      <c r="L1549" s="51"/>
      <c r="M1549" s="23"/>
      <c r="N1549" s="26"/>
      <c r="O1549" s="26"/>
      <c r="P1549" s="26"/>
      <c r="Q1549" s="26"/>
      <c r="R1549" s="26"/>
      <c r="S1549" s="26"/>
      <c r="T1549" s="26"/>
      <c r="U1549" s="26"/>
      <c r="V1549" s="26"/>
      <c r="W1549" s="27"/>
    </row>
    <row r="1550" spans="1:23" ht="15.75" customHeight="1" x14ac:dyDescent="0.25">
      <c r="A1550" s="23"/>
      <c r="B1550" s="23" t="str">
        <f t="shared" si="7"/>
        <v/>
      </c>
      <c r="C1550" s="23"/>
      <c r="D1550" s="44"/>
      <c r="E1550" s="23"/>
      <c r="F1550" s="45"/>
      <c r="G1550" s="23"/>
      <c r="H1550" s="23"/>
      <c r="I1550" s="23"/>
      <c r="J1550" s="25"/>
      <c r="K1550" s="23"/>
      <c r="L1550" s="51"/>
      <c r="M1550" s="23"/>
      <c r="N1550" s="26"/>
      <c r="O1550" s="26"/>
      <c r="P1550" s="26"/>
      <c r="Q1550" s="26"/>
      <c r="R1550" s="26"/>
      <c r="S1550" s="26"/>
      <c r="T1550" s="26"/>
      <c r="U1550" s="26"/>
      <c r="V1550" s="26"/>
      <c r="W1550" s="27"/>
    </row>
    <row r="1551" spans="1:23" ht="15.75" customHeight="1" x14ac:dyDescent="0.25">
      <c r="A1551" s="23"/>
      <c r="B1551" s="23" t="str">
        <f t="shared" si="7"/>
        <v/>
      </c>
      <c r="C1551" s="23"/>
      <c r="D1551" s="44"/>
      <c r="E1551" s="23"/>
      <c r="F1551" s="45"/>
      <c r="G1551" s="23"/>
      <c r="H1551" s="23"/>
      <c r="I1551" s="23"/>
      <c r="J1551" s="25"/>
      <c r="K1551" s="23"/>
      <c r="L1551" s="51"/>
      <c r="M1551" s="23"/>
      <c r="N1551" s="26"/>
      <c r="O1551" s="26"/>
      <c r="P1551" s="26"/>
      <c r="Q1551" s="26"/>
      <c r="R1551" s="26"/>
      <c r="S1551" s="26"/>
      <c r="T1551" s="26"/>
      <c r="U1551" s="26"/>
      <c r="V1551" s="26"/>
      <c r="W1551" s="27"/>
    </row>
    <row r="1552" spans="1:23" ht="15.75" customHeight="1" x14ac:dyDescent="0.25">
      <c r="A1552" s="23"/>
      <c r="B1552" s="23" t="str">
        <f t="shared" si="7"/>
        <v/>
      </c>
      <c r="C1552" s="23"/>
      <c r="D1552" s="44"/>
      <c r="E1552" s="23"/>
      <c r="F1552" s="45"/>
      <c r="G1552" s="23"/>
      <c r="H1552" s="23"/>
      <c r="I1552" s="23"/>
      <c r="J1552" s="25"/>
      <c r="K1552" s="23"/>
      <c r="L1552" s="51"/>
      <c r="M1552" s="23"/>
      <c r="N1552" s="26"/>
      <c r="O1552" s="26"/>
      <c r="P1552" s="26"/>
      <c r="Q1552" s="26"/>
      <c r="R1552" s="26"/>
      <c r="S1552" s="26"/>
      <c r="T1552" s="26"/>
      <c r="U1552" s="26"/>
      <c r="V1552" s="26"/>
      <c r="W1552" s="27"/>
    </row>
    <row r="1553" spans="1:23" ht="15.75" customHeight="1" x14ac:dyDescent="0.25">
      <c r="A1553" s="23"/>
      <c r="B1553" s="23" t="str">
        <f t="shared" si="7"/>
        <v/>
      </c>
      <c r="C1553" s="23"/>
      <c r="D1553" s="44"/>
      <c r="E1553" s="23"/>
      <c r="F1553" s="45"/>
      <c r="G1553" s="23"/>
      <c r="H1553" s="23"/>
      <c r="I1553" s="23"/>
      <c r="J1553" s="25"/>
      <c r="K1553" s="23"/>
      <c r="L1553" s="51"/>
      <c r="M1553" s="23"/>
      <c r="N1553" s="26"/>
      <c r="O1553" s="26"/>
      <c r="P1553" s="26"/>
      <c r="Q1553" s="26"/>
      <c r="R1553" s="26"/>
      <c r="S1553" s="26"/>
      <c r="T1553" s="26"/>
      <c r="U1553" s="26"/>
      <c r="V1553" s="26"/>
      <c r="W1553" s="27"/>
    </row>
    <row r="1554" spans="1:23" ht="15.75" customHeight="1" x14ac:dyDescent="0.25">
      <c r="A1554" s="23"/>
      <c r="B1554" s="23" t="str">
        <f t="shared" si="7"/>
        <v/>
      </c>
      <c r="C1554" s="23"/>
      <c r="D1554" s="44"/>
      <c r="E1554" s="23"/>
      <c r="F1554" s="45"/>
      <c r="G1554" s="23"/>
      <c r="H1554" s="23"/>
      <c r="I1554" s="23"/>
      <c r="J1554" s="25"/>
      <c r="K1554" s="23"/>
      <c r="L1554" s="51"/>
      <c r="M1554" s="23"/>
      <c r="N1554" s="26"/>
      <c r="O1554" s="26"/>
      <c r="P1554" s="26"/>
      <c r="Q1554" s="26"/>
      <c r="R1554" s="26"/>
      <c r="S1554" s="26"/>
      <c r="T1554" s="26"/>
      <c r="U1554" s="26"/>
      <c r="V1554" s="26"/>
      <c r="W1554" s="27"/>
    </row>
    <row r="1555" spans="1:23" ht="15.75" customHeight="1" x14ac:dyDescent="0.25">
      <c r="A1555" s="23"/>
      <c r="B1555" s="23" t="str">
        <f t="shared" si="7"/>
        <v/>
      </c>
      <c r="C1555" s="23"/>
      <c r="D1555" s="44"/>
      <c r="E1555" s="23"/>
      <c r="F1555" s="45"/>
      <c r="G1555" s="23"/>
      <c r="H1555" s="23"/>
      <c r="I1555" s="23"/>
      <c r="J1555" s="25"/>
      <c r="K1555" s="23"/>
      <c r="L1555" s="51"/>
      <c r="M1555" s="23"/>
      <c r="N1555" s="26"/>
      <c r="O1555" s="26"/>
      <c r="P1555" s="26"/>
      <c r="Q1555" s="26"/>
      <c r="R1555" s="26"/>
      <c r="S1555" s="26"/>
      <c r="T1555" s="26"/>
      <c r="U1555" s="26"/>
      <c r="V1555" s="26"/>
      <c r="W1555" s="27"/>
    </row>
    <row r="1556" spans="1:23" ht="15.75" customHeight="1" x14ac:dyDescent="0.25">
      <c r="A1556" s="23"/>
      <c r="B1556" s="23" t="str">
        <f t="shared" si="7"/>
        <v/>
      </c>
      <c r="C1556" s="23"/>
      <c r="D1556" s="44"/>
      <c r="E1556" s="23"/>
      <c r="F1556" s="45"/>
      <c r="G1556" s="23"/>
      <c r="H1556" s="23"/>
      <c r="I1556" s="23"/>
      <c r="J1556" s="25"/>
      <c r="K1556" s="23"/>
      <c r="L1556" s="51"/>
      <c r="M1556" s="23"/>
      <c r="N1556" s="26"/>
      <c r="O1556" s="26"/>
      <c r="P1556" s="26"/>
      <c r="Q1556" s="26"/>
      <c r="R1556" s="26"/>
      <c r="S1556" s="26"/>
      <c r="T1556" s="26"/>
      <c r="U1556" s="26"/>
      <c r="V1556" s="26"/>
      <c r="W1556" s="27"/>
    </row>
    <row r="1557" spans="1:23" ht="15.75" customHeight="1" x14ac:dyDescent="0.25">
      <c r="A1557" s="23"/>
      <c r="B1557" s="23" t="str">
        <f t="shared" si="7"/>
        <v/>
      </c>
      <c r="C1557" s="23"/>
      <c r="D1557" s="44"/>
      <c r="E1557" s="23"/>
      <c r="F1557" s="45"/>
      <c r="G1557" s="23"/>
      <c r="H1557" s="23"/>
      <c r="I1557" s="23"/>
      <c r="J1557" s="25"/>
      <c r="K1557" s="23"/>
      <c r="L1557" s="51"/>
      <c r="M1557" s="23"/>
      <c r="N1557" s="26"/>
      <c r="O1557" s="26"/>
      <c r="P1557" s="26"/>
      <c r="Q1557" s="26"/>
      <c r="R1557" s="26"/>
      <c r="S1557" s="26"/>
      <c r="T1557" s="26"/>
      <c r="U1557" s="26"/>
      <c r="V1557" s="26"/>
      <c r="W1557" s="27"/>
    </row>
    <row r="1558" spans="1:23" ht="15.75" customHeight="1" x14ac:dyDescent="0.25">
      <c r="A1558" s="23"/>
      <c r="B1558" s="23" t="str">
        <f t="shared" si="7"/>
        <v/>
      </c>
      <c r="C1558" s="23"/>
      <c r="D1558" s="44"/>
      <c r="E1558" s="23"/>
      <c r="F1558" s="45"/>
      <c r="G1558" s="23"/>
      <c r="H1558" s="23"/>
      <c r="I1558" s="23"/>
      <c r="J1558" s="25"/>
      <c r="K1558" s="23"/>
      <c r="L1558" s="51"/>
      <c r="M1558" s="23"/>
      <c r="N1558" s="26"/>
      <c r="O1558" s="26"/>
      <c r="P1558" s="26"/>
      <c r="Q1558" s="26"/>
      <c r="R1558" s="26"/>
      <c r="S1558" s="26"/>
      <c r="T1558" s="26"/>
      <c r="U1558" s="26"/>
      <c r="V1558" s="26"/>
      <c r="W1558" s="27"/>
    </row>
    <row r="1559" spans="1:23" ht="15.75" customHeight="1" x14ac:dyDescent="0.25">
      <c r="A1559" s="23"/>
      <c r="B1559" s="23" t="str">
        <f t="shared" si="7"/>
        <v/>
      </c>
      <c r="C1559" s="23"/>
      <c r="D1559" s="44"/>
      <c r="E1559" s="23"/>
      <c r="F1559" s="45"/>
      <c r="G1559" s="23"/>
      <c r="H1559" s="23"/>
      <c r="I1559" s="23"/>
      <c r="J1559" s="25"/>
      <c r="K1559" s="23"/>
      <c r="L1559" s="51"/>
      <c r="M1559" s="23"/>
      <c r="N1559" s="26"/>
      <c r="O1559" s="26"/>
      <c r="P1559" s="26"/>
      <c r="Q1559" s="26"/>
      <c r="R1559" s="26"/>
      <c r="S1559" s="26"/>
      <c r="T1559" s="26"/>
      <c r="U1559" s="26"/>
      <c r="V1559" s="26"/>
      <c r="W1559" s="27"/>
    </row>
    <row r="1560" spans="1:23" ht="15.75" customHeight="1" x14ac:dyDescent="0.25">
      <c r="A1560" s="23"/>
      <c r="B1560" s="23" t="str">
        <f t="shared" si="7"/>
        <v/>
      </c>
      <c r="C1560" s="23"/>
      <c r="D1560" s="44"/>
      <c r="E1560" s="23"/>
      <c r="F1560" s="45"/>
      <c r="G1560" s="23"/>
      <c r="H1560" s="23"/>
      <c r="I1560" s="23"/>
      <c r="J1560" s="25"/>
      <c r="K1560" s="23"/>
      <c r="L1560" s="51"/>
      <c r="M1560" s="23"/>
      <c r="N1560" s="26"/>
      <c r="O1560" s="26"/>
      <c r="P1560" s="26"/>
      <c r="Q1560" s="26"/>
      <c r="R1560" s="26"/>
      <c r="S1560" s="26"/>
      <c r="T1560" s="26"/>
      <c r="U1560" s="26"/>
      <c r="V1560" s="26"/>
      <c r="W1560" s="27"/>
    </row>
    <row r="1561" spans="1:23" ht="15.75" customHeight="1" x14ac:dyDescent="0.25">
      <c r="A1561" s="23"/>
      <c r="B1561" s="23" t="str">
        <f t="shared" si="7"/>
        <v/>
      </c>
      <c r="C1561" s="23"/>
      <c r="D1561" s="44"/>
      <c r="E1561" s="23"/>
      <c r="F1561" s="45"/>
      <c r="G1561" s="23"/>
      <c r="H1561" s="23"/>
      <c r="I1561" s="23"/>
      <c r="J1561" s="25"/>
      <c r="K1561" s="23"/>
      <c r="L1561" s="51"/>
      <c r="M1561" s="23"/>
      <c r="N1561" s="26"/>
      <c r="O1561" s="26"/>
      <c r="P1561" s="26"/>
      <c r="Q1561" s="26"/>
      <c r="R1561" s="26"/>
      <c r="S1561" s="26"/>
      <c r="T1561" s="26"/>
      <c r="U1561" s="26"/>
      <c r="V1561" s="26"/>
      <c r="W1561" s="27"/>
    </row>
    <row r="1562" spans="1:23" ht="15.75" customHeight="1" x14ac:dyDescent="0.25">
      <c r="A1562" s="23"/>
      <c r="B1562" s="23" t="str">
        <f t="shared" si="7"/>
        <v/>
      </c>
      <c r="C1562" s="23"/>
      <c r="D1562" s="44"/>
      <c r="E1562" s="23"/>
      <c r="F1562" s="45"/>
      <c r="G1562" s="23"/>
      <c r="H1562" s="23"/>
      <c r="I1562" s="23"/>
      <c r="J1562" s="25"/>
      <c r="K1562" s="23"/>
      <c r="L1562" s="51"/>
      <c r="M1562" s="23"/>
      <c r="N1562" s="26"/>
      <c r="O1562" s="26"/>
      <c r="P1562" s="26"/>
      <c r="Q1562" s="26"/>
      <c r="R1562" s="26"/>
      <c r="S1562" s="26"/>
      <c r="T1562" s="26"/>
      <c r="U1562" s="26"/>
      <c r="V1562" s="26"/>
      <c r="W1562" s="27"/>
    </row>
    <row r="1563" spans="1:23" ht="15.75" customHeight="1" x14ac:dyDescent="0.25">
      <c r="A1563" s="23"/>
      <c r="B1563" s="23" t="str">
        <f t="shared" si="7"/>
        <v/>
      </c>
      <c r="C1563" s="23"/>
      <c r="D1563" s="44"/>
      <c r="E1563" s="23"/>
      <c r="F1563" s="45"/>
      <c r="G1563" s="23"/>
      <c r="H1563" s="23"/>
      <c r="I1563" s="23"/>
      <c r="J1563" s="25"/>
      <c r="K1563" s="23"/>
      <c r="L1563" s="51"/>
      <c r="M1563" s="23"/>
      <c r="N1563" s="26"/>
      <c r="O1563" s="26"/>
      <c r="P1563" s="26"/>
      <c r="Q1563" s="26"/>
      <c r="R1563" s="26"/>
      <c r="S1563" s="26"/>
      <c r="T1563" s="26"/>
      <c r="U1563" s="26"/>
      <c r="V1563" s="26"/>
      <c r="W1563" s="27"/>
    </row>
    <row r="1564" spans="1:23" ht="15.75" customHeight="1" x14ac:dyDescent="0.25">
      <c r="A1564" s="23"/>
      <c r="B1564" s="23" t="str">
        <f t="shared" si="7"/>
        <v/>
      </c>
      <c r="C1564" s="23"/>
      <c r="D1564" s="44"/>
      <c r="E1564" s="23"/>
      <c r="F1564" s="45"/>
      <c r="G1564" s="23"/>
      <c r="H1564" s="23"/>
      <c r="I1564" s="23"/>
      <c r="J1564" s="25"/>
      <c r="K1564" s="23"/>
      <c r="L1564" s="51"/>
      <c r="M1564" s="23"/>
      <c r="N1564" s="26"/>
      <c r="O1564" s="26"/>
      <c r="P1564" s="26"/>
      <c r="Q1564" s="26"/>
      <c r="R1564" s="26"/>
      <c r="S1564" s="26"/>
      <c r="T1564" s="26"/>
      <c r="U1564" s="26"/>
      <c r="V1564" s="26"/>
      <c r="W1564" s="27"/>
    </row>
    <row r="1565" spans="1:23" ht="15.75" customHeight="1" x14ac:dyDescent="0.25">
      <c r="A1565" s="23"/>
      <c r="B1565" s="23" t="str">
        <f t="shared" si="7"/>
        <v/>
      </c>
      <c r="C1565" s="23"/>
      <c r="D1565" s="44"/>
      <c r="E1565" s="23"/>
      <c r="F1565" s="45"/>
      <c r="G1565" s="23"/>
      <c r="H1565" s="23"/>
      <c r="I1565" s="23"/>
      <c r="J1565" s="25"/>
      <c r="K1565" s="23"/>
      <c r="L1565" s="51"/>
      <c r="M1565" s="23"/>
      <c r="N1565" s="26"/>
      <c r="O1565" s="26"/>
      <c r="P1565" s="26"/>
      <c r="Q1565" s="26"/>
      <c r="R1565" s="26"/>
      <c r="S1565" s="26"/>
      <c r="T1565" s="26"/>
      <c r="U1565" s="26"/>
      <c r="V1565" s="26"/>
      <c r="W1565" s="27"/>
    </row>
    <row r="1566" spans="1:23" ht="15.75" customHeight="1" x14ac:dyDescent="0.25">
      <c r="A1566" s="23"/>
      <c r="B1566" s="23" t="str">
        <f t="shared" si="7"/>
        <v/>
      </c>
      <c r="C1566" s="23"/>
      <c r="D1566" s="44"/>
      <c r="E1566" s="23"/>
      <c r="F1566" s="45"/>
      <c r="G1566" s="23"/>
      <c r="H1566" s="23"/>
      <c r="I1566" s="23"/>
      <c r="J1566" s="25"/>
      <c r="K1566" s="23"/>
      <c r="L1566" s="51"/>
      <c r="M1566" s="23"/>
      <c r="N1566" s="26"/>
      <c r="O1566" s="26"/>
      <c r="P1566" s="26"/>
      <c r="Q1566" s="26"/>
      <c r="R1566" s="26"/>
      <c r="S1566" s="26"/>
      <c r="T1566" s="26"/>
      <c r="U1566" s="26"/>
      <c r="V1566" s="26"/>
      <c r="W1566" s="27"/>
    </row>
    <row r="1567" spans="1:23" ht="15.75" customHeight="1" x14ac:dyDescent="0.25">
      <c r="A1567" s="23"/>
      <c r="B1567" s="23" t="str">
        <f t="shared" si="7"/>
        <v/>
      </c>
      <c r="C1567" s="23"/>
      <c r="D1567" s="44"/>
      <c r="E1567" s="23"/>
      <c r="F1567" s="45"/>
      <c r="G1567" s="23"/>
      <c r="H1567" s="23"/>
      <c r="I1567" s="23"/>
      <c r="J1567" s="25"/>
      <c r="K1567" s="23"/>
      <c r="L1567" s="51"/>
      <c r="M1567" s="23"/>
      <c r="N1567" s="26"/>
      <c r="O1567" s="26"/>
      <c r="P1567" s="26"/>
      <c r="Q1567" s="26"/>
      <c r="R1567" s="26"/>
      <c r="S1567" s="26"/>
      <c r="T1567" s="26"/>
      <c r="U1567" s="26"/>
      <c r="V1567" s="26"/>
      <c r="W1567" s="27"/>
    </row>
    <row r="1568" spans="1:23" ht="15.75" customHeight="1" x14ac:dyDescent="0.25">
      <c r="A1568" s="23"/>
      <c r="B1568" s="23" t="str">
        <f t="shared" si="7"/>
        <v/>
      </c>
      <c r="C1568" s="23"/>
      <c r="D1568" s="44"/>
      <c r="E1568" s="23"/>
      <c r="F1568" s="45"/>
      <c r="G1568" s="23"/>
      <c r="H1568" s="23"/>
      <c r="I1568" s="23"/>
      <c r="J1568" s="25"/>
      <c r="K1568" s="23"/>
      <c r="L1568" s="51"/>
      <c r="M1568" s="23"/>
      <c r="N1568" s="26"/>
      <c r="O1568" s="26"/>
      <c r="P1568" s="26"/>
      <c r="Q1568" s="26"/>
      <c r="R1568" s="26"/>
      <c r="S1568" s="26"/>
      <c r="T1568" s="26"/>
      <c r="U1568" s="26"/>
      <c r="V1568" s="26"/>
      <c r="W1568" s="27"/>
    </row>
    <row r="1569" spans="1:23" ht="15.75" customHeight="1" x14ac:dyDescent="0.25">
      <c r="A1569" s="23"/>
      <c r="B1569" s="23" t="str">
        <f t="shared" si="7"/>
        <v/>
      </c>
      <c r="C1569" s="23"/>
      <c r="D1569" s="44"/>
      <c r="E1569" s="23"/>
      <c r="F1569" s="45"/>
      <c r="G1569" s="23"/>
      <c r="H1569" s="23"/>
      <c r="I1569" s="23"/>
      <c r="J1569" s="25"/>
      <c r="K1569" s="23"/>
      <c r="L1569" s="51"/>
      <c r="M1569" s="23"/>
      <c r="N1569" s="26"/>
      <c r="O1569" s="26"/>
      <c r="P1569" s="26"/>
      <c r="Q1569" s="26"/>
      <c r="R1569" s="26"/>
      <c r="S1569" s="26"/>
      <c r="T1569" s="26"/>
      <c r="U1569" s="26"/>
      <c r="V1569" s="26"/>
      <c r="W1569" s="27"/>
    </row>
    <row r="1570" spans="1:23" ht="15.75" customHeight="1" x14ac:dyDescent="0.25">
      <c r="A1570" s="23"/>
      <c r="B1570" s="23" t="str">
        <f t="shared" si="7"/>
        <v/>
      </c>
      <c r="C1570" s="23"/>
      <c r="D1570" s="44"/>
      <c r="E1570" s="23"/>
      <c r="F1570" s="45"/>
      <c r="G1570" s="23"/>
      <c r="H1570" s="23"/>
      <c r="I1570" s="23"/>
      <c r="J1570" s="25"/>
      <c r="K1570" s="23"/>
      <c r="L1570" s="51"/>
      <c r="M1570" s="23"/>
      <c r="N1570" s="26"/>
      <c r="O1570" s="26"/>
      <c r="P1570" s="26"/>
      <c r="Q1570" s="26"/>
      <c r="R1570" s="26"/>
      <c r="S1570" s="26"/>
      <c r="T1570" s="26"/>
      <c r="U1570" s="26"/>
      <c r="V1570" s="26"/>
      <c r="W1570" s="27"/>
    </row>
    <row r="1571" spans="1:23" ht="15.75" customHeight="1" x14ac:dyDescent="0.25">
      <c r="A1571" s="23"/>
      <c r="B1571" s="23" t="str">
        <f t="shared" si="7"/>
        <v/>
      </c>
      <c r="C1571" s="23"/>
      <c r="D1571" s="44"/>
      <c r="E1571" s="23"/>
      <c r="F1571" s="45"/>
      <c r="G1571" s="23"/>
      <c r="H1571" s="23"/>
      <c r="I1571" s="23"/>
      <c r="J1571" s="25"/>
      <c r="K1571" s="23"/>
      <c r="L1571" s="51"/>
      <c r="M1571" s="23"/>
      <c r="N1571" s="26"/>
      <c r="O1571" s="26"/>
      <c r="P1571" s="26"/>
      <c r="Q1571" s="26"/>
      <c r="R1571" s="26"/>
      <c r="S1571" s="26"/>
      <c r="T1571" s="26"/>
      <c r="U1571" s="26"/>
      <c r="V1571" s="26"/>
      <c r="W1571" s="27"/>
    </row>
    <row r="1572" spans="1:23" ht="15.75" customHeight="1" x14ac:dyDescent="0.25">
      <c r="A1572" s="23"/>
      <c r="B1572" s="23" t="str">
        <f t="shared" si="7"/>
        <v/>
      </c>
      <c r="C1572" s="23"/>
      <c r="D1572" s="44"/>
      <c r="E1572" s="23"/>
      <c r="F1572" s="45"/>
      <c r="G1572" s="23"/>
      <c r="H1572" s="23"/>
      <c r="I1572" s="23"/>
      <c r="J1572" s="25"/>
      <c r="K1572" s="23"/>
      <c r="L1572" s="51"/>
      <c r="M1572" s="23"/>
      <c r="N1572" s="26"/>
      <c r="O1572" s="26"/>
      <c r="P1572" s="26"/>
      <c r="Q1572" s="26"/>
      <c r="R1572" s="26"/>
      <c r="S1572" s="26"/>
      <c r="T1572" s="26"/>
      <c r="U1572" s="26"/>
      <c r="V1572" s="26"/>
      <c r="W1572" s="27"/>
    </row>
    <row r="1573" spans="1:23" ht="15.75" customHeight="1" x14ac:dyDescent="0.25">
      <c r="A1573" s="23"/>
      <c r="B1573" s="23" t="str">
        <f t="shared" si="7"/>
        <v/>
      </c>
      <c r="C1573" s="23"/>
      <c r="D1573" s="44"/>
      <c r="E1573" s="23"/>
      <c r="F1573" s="45"/>
      <c r="G1573" s="23"/>
      <c r="H1573" s="23"/>
      <c r="I1573" s="23"/>
      <c r="J1573" s="25"/>
      <c r="K1573" s="23"/>
      <c r="L1573" s="51"/>
      <c r="M1573" s="23"/>
      <c r="N1573" s="26"/>
      <c r="O1573" s="26"/>
      <c r="P1573" s="26"/>
      <c r="Q1573" s="26"/>
      <c r="R1573" s="26"/>
      <c r="S1573" s="26"/>
      <c r="T1573" s="26"/>
      <c r="U1573" s="26"/>
      <c r="V1573" s="26"/>
      <c r="W1573" s="27"/>
    </row>
    <row r="1574" spans="1:23" ht="15.75" customHeight="1" x14ac:dyDescent="0.25">
      <c r="A1574" s="23"/>
      <c r="B1574" s="23" t="str">
        <f t="shared" si="7"/>
        <v/>
      </c>
      <c r="C1574" s="23"/>
      <c r="D1574" s="44"/>
      <c r="E1574" s="23"/>
      <c r="F1574" s="45"/>
      <c r="G1574" s="23"/>
      <c r="H1574" s="23"/>
      <c r="I1574" s="23"/>
      <c r="J1574" s="25"/>
      <c r="K1574" s="23"/>
      <c r="L1574" s="51"/>
      <c r="M1574" s="23"/>
      <c r="N1574" s="26"/>
      <c r="O1574" s="26"/>
      <c r="P1574" s="26"/>
      <c r="Q1574" s="26"/>
      <c r="R1574" s="26"/>
      <c r="S1574" s="26"/>
      <c r="T1574" s="26"/>
      <c r="U1574" s="26"/>
      <c r="V1574" s="26"/>
      <c r="W1574" s="27"/>
    </row>
    <row r="1575" spans="1:23" ht="15.75" customHeight="1" x14ac:dyDescent="0.25">
      <c r="A1575" s="23"/>
      <c r="B1575" s="23" t="str">
        <f t="shared" si="7"/>
        <v/>
      </c>
      <c r="C1575" s="23"/>
      <c r="D1575" s="44"/>
      <c r="E1575" s="23"/>
      <c r="F1575" s="45"/>
      <c r="G1575" s="23"/>
      <c r="H1575" s="23"/>
      <c r="I1575" s="23"/>
      <c r="J1575" s="25"/>
      <c r="K1575" s="23"/>
      <c r="L1575" s="51"/>
      <c r="M1575" s="23"/>
      <c r="N1575" s="26"/>
      <c r="O1575" s="26"/>
      <c r="P1575" s="26"/>
      <c r="Q1575" s="26"/>
      <c r="R1575" s="26"/>
      <c r="S1575" s="26"/>
      <c r="T1575" s="26"/>
      <c r="U1575" s="26"/>
      <c r="V1575" s="26"/>
      <c r="W1575" s="27"/>
    </row>
    <row r="1576" spans="1:23" ht="15.75" customHeight="1" x14ac:dyDescent="0.25">
      <c r="A1576" s="23"/>
      <c r="B1576" s="23" t="str">
        <f t="shared" si="7"/>
        <v/>
      </c>
      <c r="C1576" s="23"/>
      <c r="D1576" s="44"/>
      <c r="E1576" s="23"/>
      <c r="F1576" s="45"/>
      <c r="G1576" s="23"/>
      <c r="H1576" s="23"/>
      <c r="I1576" s="23"/>
      <c r="J1576" s="25"/>
      <c r="K1576" s="23"/>
      <c r="L1576" s="51"/>
      <c r="M1576" s="23"/>
      <c r="N1576" s="26"/>
      <c r="O1576" s="26"/>
      <c r="P1576" s="26"/>
      <c r="Q1576" s="26"/>
      <c r="R1576" s="26"/>
      <c r="S1576" s="26"/>
      <c r="T1576" s="26"/>
      <c r="U1576" s="26"/>
      <c r="V1576" s="26"/>
      <c r="W1576" s="27"/>
    </row>
    <row r="1577" spans="1:23" ht="15.75" customHeight="1" x14ac:dyDescent="0.25">
      <c r="A1577" s="23"/>
      <c r="B1577" s="23" t="str">
        <f t="shared" si="7"/>
        <v/>
      </c>
      <c r="C1577" s="23"/>
      <c r="D1577" s="44"/>
      <c r="E1577" s="23"/>
      <c r="F1577" s="45"/>
      <c r="G1577" s="23"/>
      <c r="H1577" s="23"/>
      <c r="I1577" s="23"/>
      <c r="J1577" s="25"/>
      <c r="K1577" s="23"/>
      <c r="L1577" s="51"/>
      <c r="M1577" s="23"/>
      <c r="N1577" s="26"/>
      <c r="O1577" s="26"/>
      <c r="P1577" s="26"/>
      <c r="Q1577" s="26"/>
      <c r="R1577" s="26"/>
      <c r="S1577" s="26"/>
      <c r="T1577" s="26"/>
      <c r="U1577" s="26"/>
      <c r="V1577" s="26"/>
      <c r="W1577" s="27"/>
    </row>
    <row r="1578" spans="1:23" ht="15.75" customHeight="1" x14ac:dyDescent="0.25">
      <c r="A1578" s="23"/>
      <c r="B1578" s="23" t="str">
        <f t="shared" si="7"/>
        <v/>
      </c>
      <c r="C1578" s="23"/>
      <c r="D1578" s="44"/>
      <c r="E1578" s="23"/>
      <c r="F1578" s="45"/>
      <c r="G1578" s="23"/>
      <c r="H1578" s="23"/>
      <c r="I1578" s="23"/>
      <c r="J1578" s="25"/>
      <c r="K1578" s="23"/>
      <c r="L1578" s="51"/>
      <c r="M1578" s="23"/>
      <c r="N1578" s="26"/>
      <c r="O1578" s="26"/>
      <c r="P1578" s="26"/>
      <c r="Q1578" s="26"/>
      <c r="R1578" s="26"/>
      <c r="S1578" s="26"/>
      <c r="T1578" s="26"/>
      <c r="U1578" s="26"/>
      <c r="V1578" s="26"/>
      <c r="W1578" s="27"/>
    </row>
    <row r="1579" spans="1:23" ht="15.75" customHeight="1" x14ac:dyDescent="0.25">
      <c r="A1579" s="23"/>
      <c r="B1579" s="23" t="str">
        <f t="shared" si="7"/>
        <v/>
      </c>
      <c r="C1579" s="23"/>
      <c r="D1579" s="44"/>
      <c r="E1579" s="23"/>
      <c r="F1579" s="45"/>
      <c r="G1579" s="23"/>
      <c r="H1579" s="23"/>
      <c r="I1579" s="23"/>
      <c r="J1579" s="25"/>
      <c r="K1579" s="23"/>
      <c r="L1579" s="51"/>
      <c r="M1579" s="23"/>
      <c r="N1579" s="26"/>
      <c r="O1579" s="26"/>
      <c r="P1579" s="26"/>
      <c r="Q1579" s="26"/>
      <c r="R1579" s="26"/>
      <c r="S1579" s="26"/>
      <c r="T1579" s="26"/>
      <c r="U1579" s="26"/>
      <c r="V1579" s="26"/>
      <c r="W1579" s="27"/>
    </row>
    <row r="1580" spans="1:23" ht="15.75" customHeight="1" x14ac:dyDescent="0.25">
      <c r="A1580" s="23"/>
      <c r="B1580" s="23" t="str">
        <f t="shared" ref="B1580:B1834" si="8">MID(X1580,17,30)</f>
        <v/>
      </c>
      <c r="C1580" s="23"/>
      <c r="D1580" s="44"/>
      <c r="E1580" s="23"/>
      <c r="F1580" s="45"/>
      <c r="G1580" s="23"/>
      <c r="H1580" s="23"/>
      <c r="I1580" s="23"/>
      <c r="J1580" s="25"/>
      <c r="K1580" s="23"/>
      <c r="L1580" s="51"/>
      <c r="M1580" s="23"/>
      <c r="N1580" s="26"/>
      <c r="O1580" s="26"/>
      <c r="P1580" s="26"/>
      <c r="Q1580" s="26"/>
      <c r="R1580" s="26"/>
      <c r="S1580" s="26"/>
      <c r="T1580" s="26"/>
      <c r="U1580" s="26"/>
      <c r="V1580" s="26"/>
      <c r="W1580" s="27"/>
    </row>
    <row r="1581" spans="1:23" ht="15.75" customHeight="1" x14ac:dyDescent="0.25">
      <c r="A1581" s="23"/>
      <c r="B1581" s="23" t="str">
        <f t="shared" si="8"/>
        <v/>
      </c>
      <c r="C1581" s="23"/>
      <c r="D1581" s="44"/>
      <c r="E1581" s="23"/>
      <c r="F1581" s="45"/>
      <c r="G1581" s="23"/>
      <c r="H1581" s="23"/>
      <c r="I1581" s="23"/>
      <c r="J1581" s="25"/>
      <c r="K1581" s="23"/>
      <c r="L1581" s="51"/>
      <c r="M1581" s="23"/>
      <c r="N1581" s="26"/>
      <c r="O1581" s="26"/>
      <c r="P1581" s="26"/>
      <c r="Q1581" s="26"/>
      <c r="R1581" s="26"/>
      <c r="S1581" s="26"/>
      <c r="T1581" s="26"/>
      <c r="U1581" s="26"/>
      <c r="V1581" s="26"/>
      <c r="W1581" s="27"/>
    </row>
    <row r="1582" spans="1:23" ht="15.75" customHeight="1" x14ac:dyDescent="0.25">
      <c r="A1582" s="23"/>
      <c r="B1582" s="23" t="str">
        <f t="shared" si="8"/>
        <v/>
      </c>
      <c r="C1582" s="23"/>
      <c r="D1582" s="44"/>
      <c r="E1582" s="23"/>
      <c r="F1582" s="45"/>
      <c r="G1582" s="23"/>
      <c r="H1582" s="23"/>
      <c r="I1582" s="23"/>
      <c r="J1582" s="25"/>
      <c r="K1582" s="23"/>
      <c r="L1582" s="51"/>
      <c r="M1582" s="23"/>
      <c r="N1582" s="26"/>
      <c r="O1582" s="26"/>
      <c r="P1582" s="26"/>
      <c r="Q1582" s="26"/>
      <c r="R1582" s="26"/>
      <c r="S1582" s="26"/>
      <c r="T1582" s="26"/>
      <c r="U1582" s="26"/>
      <c r="V1582" s="26"/>
      <c r="W1582" s="27"/>
    </row>
    <row r="1583" spans="1:23" ht="15.75" customHeight="1" x14ac:dyDescent="0.25">
      <c r="A1583" s="23"/>
      <c r="B1583" s="23" t="str">
        <f t="shared" si="8"/>
        <v/>
      </c>
      <c r="C1583" s="23"/>
      <c r="D1583" s="44"/>
      <c r="E1583" s="23"/>
      <c r="F1583" s="45"/>
      <c r="G1583" s="23"/>
      <c r="H1583" s="23"/>
      <c r="I1583" s="23"/>
      <c r="J1583" s="25"/>
      <c r="K1583" s="23"/>
      <c r="L1583" s="51"/>
      <c r="M1583" s="23"/>
      <c r="N1583" s="26"/>
      <c r="O1583" s="26"/>
      <c r="P1583" s="26"/>
      <c r="Q1583" s="26"/>
      <c r="R1583" s="26"/>
      <c r="S1583" s="26"/>
      <c r="T1583" s="26"/>
      <c r="U1583" s="26"/>
      <c r="V1583" s="26"/>
      <c r="W1583" s="27"/>
    </row>
    <row r="1584" spans="1:23" ht="15.75" customHeight="1" x14ac:dyDescent="0.25">
      <c r="A1584" s="23"/>
      <c r="B1584" s="23" t="str">
        <f t="shared" si="8"/>
        <v/>
      </c>
      <c r="C1584" s="23"/>
      <c r="D1584" s="44"/>
      <c r="E1584" s="23"/>
      <c r="F1584" s="45"/>
      <c r="G1584" s="23"/>
      <c r="H1584" s="23"/>
      <c r="I1584" s="23"/>
      <c r="J1584" s="25"/>
      <c r="K1584" s="23"/>
      <c r="L1584" s="51"/>
      <c r="M1584" s="23"/>
      <c r="N1584" s="26"/>
      <c r="O1584" s="26"/>
      <c r="P1584" s="26"/>
      <c r="Q1584" s="26"/>
      <c r="R1584" s="26"/>
      <c r="S1584" s="26"/>
      <c r="T1584" s="26"/>
      <c r="U1584" s="26"/>
      <c r="V1584" s="26"/>
      <c r="W1584" s="27"/>
    </row>
    <row r="1585" spans="1:23" ht="15.75" customHeight="1" x14ac:dyDescent="0.25">
      <c r="A1585" s="23"/>
      <c r="B1585" s="23" t="str">
        <f t="shared" si="8"/>
        <v/>
      </c>
      <c r="C1585" s="23"/>
      <c r="D1585" s="44"/>
      <c r="E1585" s="23"/>
      <c r="F1585" s="45"/>
      <c r="G1585" s="23"/>
      <c r="H1585" s="23"/>
      <c r="I1585" s="23"/>
      <c r="J1585" s="25"/>
      <c r="K1585" s="23"/>
      <c r="L1585" s="51"/>
      <c r="M1585" s="23"/>
      <c r="N1585" s="26"/>
      <c r="O1585" s="26"/>
      <c r="P1585" s="26"/>
      <c r="Q1585" s="26"/>
      <c r="R1585" s="26"/>
      <c r="S1585" s="26"/>
      <c r="T1585" s="26"/>
      <c r="U1585" s="26"/>
      <c r="V1585" s="26"/>
      <c r="W1585" s="27"/>
    </row>
    <row r="1586" spans="1:23" ht="15.75" customHeight="1" x14ac:dyDescent="0.25">
      <c r="A1586" s="23"/>
      <c r="B1586" s="23" t="str">
        <f t="shared" si="8"/>
        <v/>
      </c>
      <c r="C1586" s="23"/>
      <c r="D1586" s="44"/>
      <c r="E1586" s="23"/>
      <c r="F1586" s="45"/>
      <c r="G1586" s="23"/>
      <c r="H1586" s="23"/>
      <c r="I1586" s="23"/>
      <c r="J1586" s="25"/>
      <c r="K1586" s="23"/>
      <c r="L1586" s="51"/>
      <c r="M1586" s="23"/>
      <c r="N1586" s="26"/>
      <c r="O1586" s="26"/>
      <c r="P1586" s="26"/>
      <c r="Q1586" s="26"/>
      <c r="R1586" s="26"/>
      <c r="S1586" s="26"/>
      <c r="T1586" s="26"/>
      <c r="U1586" s="26"/>
      <c r="V1586" s="26"/>
      <c r="W1586" s="27"/>
    </row>
    <row r="1587" spans="1:23" ht="15.75" customHeight="1" x14ac:dyDescent="0.25">
      <c r="A1587" s="23"/>
      <c r="B1587" s="23" t="str">
        <f t="shared" si="8"/>
        <v/>
      </c>
      <c r="C1587" s="23"/>
      <c r="D1587" s="44"/>
      <c r="E1587" s="23"/>
      <c r="F1587" s="45"/>
      <c r="G1587" s="23"/>
      <c r="H1587" s="23"/>
      <c r="I1587" s="23"/>
      <c r="J1587" s="25"/>
      <c r="K1587" s="23"/>
      <c r="L1587" s="51"/>
      <c r="M1587" s="23"/>
      <c r="N1587" s="26"/>
      <c r="O1587" s="26"/>
      <c r="P1587" s="26"/>
      <c r="Q1587" s="26"/>
      <c r="R1587" s="26"/>
      <c r="S1587" s="26"/>
      <c r="T1587" s="26"/>
      <c r="U1587" s="26"/>
      <c r="V1587" s="26"/>
      <c r="W1587" s="27"/>
    </row>
    <row r="1588" spans="1:23" ht="15.75" customHeight="1" x14ac:dyDescent="0.25">
      <c r="A1588" s="23"/>
      <c r="B1588" s="23" t="str">
        <f t="shared" si="8"/>
        <v/>
      </c>
      <c r="C1588" s="23"/>
      <c r="D1588" s="44"/>
      <c r="E1588" s="23"/>
      <c r="F1588" s="45"/>
      <c r="G1588" s="23"/>
      <c r="H1588" s="23"/>
      <c r="I1588" s="23"/>
      <c r="J1588" s="25"/>
      <c r="K1588" s="23"/>
      <c r="L1588" s="51"/>
      <c r="M1588" s="23"/>
      <c r="N1588" s="26"/>
      <c r="O1588" s="26"/>
      <c r="P1588" s="26"/>
      <c r="Q1588" s="26"/>
      <c r="R1588" s="26"/>
      <c r="S1588" s="26"/>
      <c r="T1588" s="26"/>
      <c r="U1588" s="26"/>
      <c r="V1588" s="26"/>
      <c r="W1588" s="27"/>
    </row>
    <row r="1589" spans="1:23" ht="15.75" customHeight="1" x14ac:dyDescent="0.25">
      <c r="A1589" s="23"/>
      <c r="B1589" s="23" t="str">
        <f t="shared" si="8"/>
        <v/>
      </c>
      <c r="C1589" s="23"/>
      <c r="D1589" s="44"/>
      <c r="E1589" s="23"/>
      <c r="F1589" s="45"/>
      <c r="G1589" s="23"/>
      <c r="H1589" s="23"/>
      <c r="I1589" s="23"/>
      <c r="J1589" s="25"/>
      <c r="K1589" s="23"/>
      <c r="L1589" s="51"/>
      <c r="M1589" s="23"/>
      <c r="N1589" s="26"/>
      <c r="O1589" s="26"/>
      <c r="P1589" s="26"/>
      <c r="Q1589" s="26"/>
      <c r="R1589" s="26"/>
      <c r="S1589" s="26"/>
      <c r="T1589" s="26"/>
      <c r="U1589" s="26"/>
      <c r="V1589" s="26"/>
      <c r="W1589" s="27"/>
    </row>
    <row r="1590" spans="1:23" ht="15.75" customHeight="1" x14ac:dyDescent="0.25">
      <c r="A1590" s="23"/>
      <c r="B1590" s="23" t="str">
        <f t="shared" si="8"/>
        <v/>
      </c>
      <c r="C1590" s="23"/>
      <c r="D1590" s="44"/>
      <c r="E1590" s="23"/>
      <c r="F1590" s="45"/>
      <c r="G1590" s="23"/>
      <c r="H1590" s="23"/>
      <c r="I1590" s="23"/>
      <c r="J1590" s="25"/>
      <c r="K1590" s="23"/>
      <c r="L1590" s="51"/>
      <c r="M1590" s="23"/>
      <c r="N1590" s="26"/>
      <c r="O1590" s="26"/>
      <c r="P1590" s="26"/>
      <c r="Q1590" s="26"/>
      <c r="R1590" s="26"/>
      <c r="S1590" s="26"/>
      <c r="T1590" s="26"/>
      <c r="U1590" s="26"/>
      <c r="V1590" s="26"/>
      <c r="W1590" s="27"/>
    </row>
    <row r="1591" spans="1:23" ht="15.75" customHeight="1" x14ac:dyDescent="0.25">
      <c r="A1591" s="23"/>
      <c r="B1591" s="23" t="str">
        <f t="shared" si="8"/>
        <v/>
      </c>
      <c r="C1591" s="23"/>
      <c r="D1591" s="44"/>
      <c r="E1591" s="23"/>
      <c r="F1591" s="45"/>
      <c r="G1591" s="23"/>
      <c r="H1591" s="23"/>
      <c r="I1591" s="23"/>
      <c r="J1591" s="25"/>
      <c r="K1591" s="23"/>
      <c r="L1591" s="51"/>
      <c r="M1591" s="23"/>
      <c r="N1591" s="26"/>
      <c r="O1591" s="26"/>
      <c r="P1591" s="26"/>
      <c r="Q1591" s="26"/>
      <c r="R1591" s="26"/>
      <c r="S1591" s="26"/>
      <c r="T1591" s="26"/>
      <c r="U1591" s="26"/>
      <c r="V1591" s="26"/>
      <c r="W1591" s="27"/>
    </row>
    <row r="1592" spans="1:23" ht="15.75" customHeight="1" x14ac:dyDescent="0.25">
      <c r="A1592" s="23"/>
      <c r="B1592" s="23" t="str">
        <f t="shared" si="8"/>
        <v/>
      </c>
      <c r="C1592" s="23"/>
      <c r="D1592" s="44"/>
      <c r="E1592" s="23"/>
      <c r="F1592" s="45"/>
      <c r="G1592" s="23"/>
      <c r="H1592" s="23"/>
      <c r="I1592" s="23"/>
      <c r="J1592" s="25"/>
      <c r="K1592" s="23"/>
      <c r="L1592" s="51"/>
      <c r="M1592" s="23"/>
      <c r="N1592" s="26"/>
      <c r="O1592" s="26"/>
      <c r="P1592" s="26"/>
      <c r="Q1592" s="26"/>
      <c r="R1592" s="26"/>
      <c r="S1592" s="26"/>
      <c r="T1592" s="26"/>
      <c r="U1592" s="26"/>
      <c r="V1592" s="26"/>
      <c r="W1592" s="27"/>
    </row>
    <row r="1593" spans="1:23" ht="15.75" customHeight="1" x14ac:dyDescent="0.25">
      <c r="A1593" s="23"/>
      <c r="B1593" s="23" t="str">
        <f t="shared" si="8"/>
        <v/>
      </c>
      <c r="C1593" s="23"/>
      <c r="D1593" s="44"/>
      <c r="E1593" s="23"/>
      <c r="F1593" s="45"/>
      <c r="G1593" s="23"/>
      <c r="H1593" s="23"/>
      <c r="I1593" s="23"/>
      <c r="J1593" s="25"/>
      <c r="K1593" s="23"/>
      <c r="L1593" s="51"/>
      <c r="M1593" s="23"/>
      <c r="N1593" s="26"/>
      <c r="O1593" s="26"/>
      <c r="P1593" s="26"/>
      <c r="Q1593" s="26"/>
      <c r="R1593" s="26"/>
      <c r="S1593" s="26"/>
      <c r="T1593" s="26"/>
      <c r="U1593" s="26"/>
      <c r="V1593" s="26"/>
      <c r="W1593" s="27"/>
    </row>
    <row r="1594" spans="1:23" ht="15.75" customHeight="1" x14ac:dyDescent="0.25">
      <c r="A1594" s="23"/>
      <c r="B1594" s="23" t="str">
        <f t="shared" si="8"/>
        <v/>
      </c>
      <c r="C1594" s="23"/>
      <c r="D1594" s="44"/>
      <c r="E1594" s="23"/>
      <c r="F1594" s="45"/>
      <c r="G1594" s="23"/>
      <c r="H1594" s="23"/>
      <c r="I1594" s="23"/>
      <c r="J1594" s="25"/>
      <c r="K1594" s="23"/>
      <c r="L1594" s="51"/>
      <c r="M1594" s="23"/>
      <c r="N1594" s="26"/>
      <c r="O1594" s="26"/>
      <c r="P1594" s="26"/>
      <c r="Q1594" s="26"/>
      <c r="R1594" s="26"/>
      <c r="S1594" s="26"/>
      <c r="T1594" s="26"/>
      <c r="U1594" s="26"/>
      <c r="V1594" s="26"/>
      <c r="W1594" s="27"/>
    </row>
    <row r="1595" spans="1:23" ht="15.75" customHeight="1" x14ac:dyDescent="0.25">
      <c r="A1595" s="23"/>
      <c r="B1595" s="23" t="str">
        <f t="shared" si="8"/>
        <v/>
      </c>
      <c r="C1595" s="23"/>
      <c r="D1595" s="44"/>
      <c r="E1595" s="23"/>
      <c r="F1595" s="45"/>
      <c r="G1595" s="23"/>
      <c r="H1595" s="23"/>
      <c r="I1595" s="23"/>
      <c r="J1595" s="25"/>
      <c r="K1595" s="23"/>
      <c r="L1595" s="51"/>
      <c r="M1595" s="23"/>
      <c r="N1595" s="26"/>
      <c r="O1595" s="26"/>
      <c r="P1595" s="26"/>
      <c r="Q1595" s="26"/>
      <c r="R1595" s="26"/>
      <c r="S1595" s="26"/>
      <c r="T1595" s="26"/>
      <c r="U1595" s="26"/>
      <c r="V1595" s="26"/>
      <c r="W1595" s="27"/>
    </row>
    <row r="1596" spans="1:23" ht="15.75" customHeight="1" x14ac:dyDescent="0.25">
      <c r="A1596" s="23"/>
      <c r="B1596" s="23" t="str">
        <f t="shared" si="8"/>
        <v/>
      </c>
      <c r="C1596" s="23"/>
      <c r="D1596" s="44"/>
      <c r="E1596" s="23"/>
      <c r="F1596" s="45"/>
      <c r="G1596" s="23"/>
      <c r="H1596" s="23"/>
      <c r="I1596" s="23"/>
      <c r="J1596" s="25"/>
      <c r="K1596" s="23"/>
      <c r="L1596" s="51"/>
      <c r="M1596" s="23"/>
      <c r="N1596" s="26"/>
      <c r="O1596" s="26"/>
      <c r="P1596" s="26"/>
      <c r="Q1596" s="26"/>
      <c r="R1596" s="26"/>
      <c r="S1596" s="26"/>
      <c r="T1596" s="26"/>
      <c r="U1596" s="26"/>
      <c r="V1596" s="26"/>
      <c r="W1596" s="27"/>
    </row>
    <row r="1597" spans="1:23" ht="15.75" customHeight="1" x14ac:dyDescent="0.25">
      <c r="A1597" s="23"/>
      <c r="B1597" s="23" t="str">
        <f t="shared" si="8"/>
        <v/>
      </c>
      <c r="C1597" s="23"/>
      <c r="D1597" s="44"/>
      <c r="E1597" s="23"/>
      <c r="F1597" s="45"/>
      <c r="G1597" s="23"/>
      <c r="H1597" s="23"/>
      <c r="I1597" s="23"/>
      <c r="J1597" s="25"/>
      <c r="K1597" s="23"/>
      <c r="L1597" s="51"/>
      <c r="M1597" s="23"/>
      <c r="N1597" s="26"/>
      <c r="O1597" s="26"/>
      <c r="P1597" s="26"/>
      <c r="Q1597" s="26"/>
      <c r="R1597" s="26"/>
      <c r="S1597" s="26"/>
      <c r="T1597" s="26"/>
      <c r="U1597" s="26"/>
      <c r="V1597" s="26"/>
      <c r="W1597" s="27"/>
    </row>
    <row r="1598" spans="1:23" ht="15.75" customHeight="1" x14ac:dyDescent="0.25">
      <c r="A1598" s="23"/>
      <c r="B1598" s="23" t="str">
        <f t="shared" si="8"/>
        <v/>
      </c>
      <c r="C1598" s="23"/>
      <c r="D1598" s="44"/>
      <c r="E1598" s="23"/>
      <c r="F1598" s="45"/>
      <c r="G1598" s="23"/>
      <c r="H1598" s="23"/>
      <c r="I1598" s="23"/>
      <c r="J1598" s="25"/>
      <c r="K1598" s="23"/>
      <c r="L1598" s="51"/>
      <c r="M1598" s="23"/>
      <c r="N1598" s="26"/>
      <c r="O1598" s="26"/>
      <c r="P1598" s="26"/>
      <c r="Q1598" s="26"/>
      <c r="R1598" s="26"/>
      <c r="S1598" s="26"/>
      <c r="T1598" s="26"/>
      <c r="U1598" s="26"/>
      <c r="V1598" s="26"/>
      <c r="W1598" s="27"/>
    </row>
    <row r="1599" spans="1:23" ht="15.75" customHeight="1" x14ac:dyDescent="0.25">
      <c r="A1599" s="23"/>
      <c r="B1599" s="23" t="str">
        <f t="shared" si="8"/>
        <v/>
      </c>
      <c r="C1599" s="23"/>
      <c r="D1599" s="44"/>
      <c r="E1599" s="23"/>
      <c r="F1599" s="45"/>
      <c r="G1599" s="23"/>
      <c r="H1599" s="23"/>
      <c r="I1599" s="23"/>
      <c r="J1599" s="25"/>
      <c r="K1599" s="23"/>
      <c r="L1599" s="51"/>
      <c r="M1599" s="23"/>
      <c r="N1599" s="26"/>
      <c r="O1599" s="26"/>
      <c r="P1599" s="26"/>
      <c r="Q1599" s="26"/>
      <c r="R1599" s="26"/>
      <c r="S1599" s="26"/>
      <c r="T1599" s="26"/>
      <c r="U1599" s="26"/>
      <c r="V1599" s="26"/>
      <c r="W1599" s="27"/>
    </row>
    <row r="1600" spans="1:23" ht="15.75" customHeight="1" x14ac:dyDescent="0.25">
      <c r="A1600" s="23"/>
      <c r="B1600" s="23" t="str">
        <f t="shared" si="8"/>
        <v/>
      </c>
      <c r="C1600" s="23"/>
      <c r="D1600" s="44"/>
      <c r="E1600" s="23"/>
      <c r="F1600" s="45"/>
      <c r="G1600" s="23"/>
      <c r="H1600" s="23"/>
      <c r="I1600" s="23"/>
      <c r="J1600" s="25"/>
      <c r="K1600" s="23"/>
      <c r="L1600" s="51"/>
      <c r="M1600" s="23"/>
      <c r="N1600" s="26"/>
      <c r="O1600" s="26"/>
      <c r="P1600" s="26"/>
      <c r="Q1600" s="26"/>
      <c r="R1600" s="26"/>
      <c r="S1600" s="26"/>
      <c r="T1600" s="26"/>
      <c r="U1600" s="26"/>
      <c r="V1600" s="26"/>
      <c r="W1600" s="27"/>
    </row>
    <row r="1601" spans="1:23" ht="15.75" customHeight="1" x14ac:dyDescent="0.25">
      <c r="A1601" s="23"/>
      <c r="B1601" s="23" t="str">
        <f t="shared" si="8"/>
        <v/>
      </c>
      <c r="C1601" s="23"/>
      <c r="D1601" s="44"/>
      <c r="E1601" s="23"/>
      <c r="F1601" s="45"/>
      <c r="G1601" s="23"/>
      <c r="H1601" s="23"/>
      <c r="I1601" s="23"/>
      <c r="J1601" s="25"/>
      <c r="K1601" s="23"/>
      <c r="L1601" s="51"/>
      <c r="M1601" s="23"/>
      <c r="N1601" s="26"/>
      <c r="O1601" s="26"/>
      <c r="P1601" s="26"/>
      <c r="Q1601" s="26"/>
      <c r="R1601" s="26"/>
      <c r="S1601" s="26"/>
      <c r="T1601" s="26"/>
      <c r="U1601" s="26"/>
      <c r="V1601" s="26"/>
      <c r="W1601" s="27"/>
    </row>
    <row r="1602" spans="1:23" ht="15.75" customHeight="1" x14ac:dyDescent="0.25">
      <c r="A1602" s="23"/>
      <c r="B1602" s="23" t="str">
        <f t="shared" si="8"/>
        <v/>
      </c>
      <c r="C1602" s="23"/>
      <c r="D1602" s="44"/>
      <c r="E1602" s="23"/>
      <c r="F1602" s="45"/>
      <c r="G1602" s="23"/>
      <c r="H1602" s="23"/>
      <c r="I1602" s="23"/>
      <c r="J1602" s="25"/>
      <c r="K1602" s="23"/>
      <c r="L1602" s="51"/>
      <c r="M1602" s="23"/>
      <c r="N1602" s="26"/>
      <c r="O1602" s="26"/>
      <c r="P1602" s="26"/>
      <c r="Q1602" s="26"/>
      <c r="R1602" s="26"/>
      <c r="S1602" s="26"/>
      <c r="T1602" s="26"/>
      <c r="U1602" s="26"/>
      <c r="V1602" s="26"/>
      <c r="W1602" s="27"/>
    </row>
    <row r="1603" spans="1:23" ht="15.75" customHeight="1" x14ac:dyDescent="0.25">
      <c r="A1603" s="23"/>
      <c r="B1603" s="23" t="str">
        <f t="shared" si="8"/>
        <v/>
      </c>
      <c r="C1603" s="23"/>
      <c r="D1603" s="44"/>
      <c r="E1603" s="23"/>
      <c r="F1603" s="45"/>
      <c r="G1603" s="23"/>
      <c r="H1603" s="23"/>
      <c r="I1603" s="23"/>
      <c r="J1603" s="25"/>
      <c r="K1603" s="23"/>
      <c r="L1603" s="51"/>
      <c r="M1603" s="23"/>
      <c r="N1603" s="26"/>
      <c r="O1603" s="26"/>
      <c r="P1603" s="26"/>
      <c r="Q1603" s="26"/>
      <c r="R1603" s="26"/>
      <c r="S1603" s="26"/>
      <c r="T1603" s="26"/>
      <c r="U1603" s="26"/>
      <c r="V1603" s="26"/>
      <c r="W1603" s="27"/>
    </row>
    <row r="1604" spans="1:23" ht="15.75" customHeight="1" x14ac:dyDescent="0.25">
      <c r="A1604" s="23"/>
      <c r="B1604" s="23" t="str">
        <f t="shared" si="8"/>
        <v/>
      </c>
      <c r="C1604" s="23"/>
      <c r="D1604" s="44"/>
      <c r="E1604" s="23"/>
      <c r="F1604" s="45"/>
      <c r="G1604" s="23"/>
      <c r="H1604" s="23"/>
      <c r="I1604" s="23"/>
      <c r="J1604" s="25"/>
      <c r="K1604" s="23"/>
      <c r="L1604" s="51"/>
      <c r="M1604" s="23"/>
      <c r="N1604" s="26"/>
      <c r="O1604" s="26"/>
      <c r="P1604" s="26"/>
      <c r="Q1604" s="26"/>
      <c r="R1604" s="26"/>
      <c r="S1604" s="26"/>
      <c r="T1604" s="26"/>
      <c r="U1604" s="26"/>
      <c r="V1604" s="26"/>
      <c r="W1604" s="27"/>
    </row>
    <row r="1605" spans="1:23" ht="15.75" customHeight="1" x14ac:dyDescent="0.25">
      <c r="A1605" s="23"/>
      <c r="B1605" s="23" t="str">
        <f t="shared" si="8"/>
        <v/>
      </c>
      <c r="C1605" s="23"/>
      <c r="D1605" s="44"/>
      <c r="E1605" s="23"/>
      <c r="F1605" s="45"/>
      <c r="G1605" s="23"/>
      <c r="H1605" s="23"/>
      <c r="I1605" s="23"/>
      <c r="J1605" s="25"/>
      <c r="K1605" s="23"/>
      <c r="L1605" s="51"/>
      <c r="M1605" s="23"/>
      <c r="N1605" s="26"/>
      <c r="O1605" s="26"/>
      <c r="P1605" s="26"/>
      <c r="Q1605" s="26"/>
      <c r="R1605" s="26"/>
      <c r="S1605" s="26"/>
      <c r="T1605" s="26"/>
      <c r="U1605" s="26"/>
      <c r="V1605" s="26"/>
      <c r="W1605" s="27"/>
    </row>
    <row r="1606" spans="1:23" ht="15.75" customHeight="1" x14ac:dyDescent="0.25">
      <c r="A1606" s="23"/>
      <c r="B1606" s="23" t="str">
        <f t="shared" si="8"/>
        <v/>
      </c>
      <c r="C1606" s="23"/>
      <c r="D1606" s="44"/>
      <c r="E1606" s="23"/>
      <c r="F1606" s="45"/>
      <c r="G1606" s="23"/>
      <c r="H1606" s="23"/>
      <c r="I1606" s="23"/>
      <c r="J1606" s="25"/>
      <c r="K1606" s="23"/>
      <c r="L1606" s="51"/>
      <c r="M1606" s="23"/>
      <c r="N1606" s="26"/>
      <c r="O1606" s="26"/>
      <c r="P1606" s="26"/>
      <c r="Q1606" s="26"/>
      <c r="R1606" s="26"/>
      <c r="S1606" s="26"/>
      <c r="T1606" s="26"/>
      <c r="U1606" s="26"/>
      <c r="V1606" s="26"/>
      <c r="W1606" s="27"/>
    </row>
    <row r="1607" spans="1:23" ht="15.75" customHeight="1" x14ac:dyDescent="0.25">
      <c r="A1607" s="23"/>
      <c r="B1607" s="23" t="str">
        <f t="shared" si="8"/>
        <v/>
      </c>
      <c r="C1607" s="23"/>
      <c r="D1607" s="44"/>
      <c r="E1607" s="23"/>
      <c r="F1607" s="45"/>
      <c r="G1607" s="23"/>
      <c r="H1607" s="23"/>
      <c r="I1607" s="23"/>
      <c r="J1607" s="25"/>
      <c r="K1607" s="23"/>
      <c r="L1607" s="51"/>
      <c r="M1607" s="23"/>
      <c r="N1607" s="26"/>
      <c r="O1607" s="26"/>
      <c r="P1607" s="26"/>
      <c r="Q1607" s="26"/>
      <c r="R1607" s="26"/>
      <c r="S1607" s="26"/>
      <c r="T1607" s="26"/>
      <c r="U1607" s="26"/>
      <c r="V1607" s="26"/>
      <c r="W1607" s="27"/>
    </row>
    <row r="1608" spans="1:23" ht="15.75" customHeight="1" x14ac:dyDescent="0.25">
      <c r="A1608" s="23"/>
      <c r="B1608" s="23" t="str">
        <f t="shared" si="8"/>
        <v/>
      </c>
      <c r="C1608" s="23"/>
      <c r="D1608" s="44"/>
      <c r="E1608" s="23"/>
      <c r="F1608" s="45"/>
      <c r="G1608" s="23"/>
      <c r="H1608" s="23"/>
      <c r="I1608" s="23"/>
      <c r="J1608" s="25"/>
      <c r="K1608" s="23"/>
      <c r="L1608" s="51"/>
      <c r="M1608" s="23"/>
      <c r="N1608" s="26"/>
      <c r="O1608" s="26"/>
      <c r="P1608" s="26"/>
      <c r="Q1608" s="26"/>
      <c r="R1608" s="26"/>
      <c r="S1608" s="26"/>
      <c r="T1608" s="26"/>
      <c r="U1608" s="26"/>
      <c r="V1608" s="26"/>
      <c r="W1608" s="27"/>
    </row>
    <row r="1609" spans="1:23" ht="15.75" customHeight="1" x14ac:dyDescent="0.25">
      <c r="A1609" s="23"/>
      <c r="B1609" s="23" t="str">
        <f t="shared" si="8"/>
        <v/>
      </c>
      <c r="C1609" s="23"/>
      <c r="D1609" s="44"/>
      <c r="E1609" s="23"/>
      <c r="F1609" s="45"/>
      <c r="G1609" s="23"/>
      <c r="H1609" s="23"/>
      <c r="I1609" s="23"/>
      <c r="J1609" s="25"/>
      <c r="K1609" s="23"/>
      <c r="L1609" s="51"/>
      <c r="M1609" s="23"/>
      <c r="N1609" s="26"/>
      <c r="O1609" s="26"/>
      <c r="P1609" s="26"/>
      <c r="Q1609" s="26"/>
      <c r="R1609" s="26"/>
      <c r="S1609" s="26"/>
      <c r="T1609" s="26"/>
      <c r="U1609" s="26"/>
      <c r="V1609" s="26"/>
      <c r="W1609" s="27"/>
    </row>
    <row r="1610" spans="1:23" ht="15.75" customHeight="1" x14ac:dyDescent="0.25">
      <c r="A1610" s="23"/>
      <c r="B1610" s="23" t="str">
        <f t="shared" si="8"/>
        <v/>
      </c>
      <c r="C1610" s="23"/>
      <c r="D1610" s="44"/>
      <c r="E1610" s="23"/>
      <c r="F1610" s="45"/>
      <c r="G1610" s="23"/>
      <c r="H1610" s="23"/>
      <c r="I1610" s="23"/>
      <c r="J1610" s="25"/>
      <c r="K1610" s="23"/>
      <c r="L1610" s="51"/>
      <c r="M1610" s="23"/>
      <c r="N1610" s="26"/>
      <c r="O1610" s="26"/>
      <c r="P1610" s="26"/>
      <c r="Q1610" s="26"/>
      <c r="R1610" s="26"/>
      <c r="S1610" s="26"/>
      <c r="T1610" s="26"/>
      <c r="U1610" s="26"/>
      <c r="V1610" s="26"/>
      <c r="W1610" s="27"/>
    </row>
    <row r="1611" spans="1:23" ht="15.75" customHeight="1" x14ac:dyDescent="0.25">
      <c r="A1611" s="23"/>
      <c r="B1611" s="23" t="str">
        <f t="shared" si="8"/>
        <v/>
      </c>
      <c r="C1611" s="23"/>
      <c r="D1611" s="44"/>
      <c r="E1611" s="23"/>
      <c r="F1611" s="45"/>
      <c r="G1611" s="23"/>
      <c r="H1611" s="23"/>
      <c r="I1611" s="23"/>
      <c r="J1611" s="25"/>
      <c r="K1611" s="23"/>
      <c r="L1611" s="51"/>
      <c r="M1611" s="23"/>
      <c r="N1611" s="26"/>
      <c r="O1611" s="26"/>
      <c r="P1611" s="26"/>
      <c r="Q1611" s="26"/>
      <c r="R1611" s="26"/>
      <c r="S1611" s="26"/>
      <c r="T1611" s="26"/>
      <c r="U1611" s="26"/>
      <c r="V1611" s="26"/>
      <c r="W1611" s="27"/>
    </row>
    <row r="1612" spans="1:23" ht="15.75" customHeight="1" x14ac:dyDescent="0.25">
      <c r="A1612" s="23"/>
      <c r="B1612" s="23" t="str">
        <f t="shared" si="8"/>
        <v/>
      </c>
      <c r="C1612" s="23"/>
      <c r="D1612" s="44"/>
      <c r="E1612" s="23"/>
      <c r="F1612" s="45"/>
      <c r="G1612" s="23"/>
      <c r="H1612" s="23"/>
      <c r="I1612" s="23"/>
      <c r="J1612" s="25"/>
      <c r="K1612" s="23"/>
      <c r="L1612" s="51"/>
      <c r="M1612" s="23"/>
      <c r="N1612" s="26"/>
      <c r="O1612" s="26"/>
      <c r="P1612" s="26"/>
      <c r="Q1612" s="26"/>
      <c r="R1612" s="26"/>
      <c r="S1612" s="26"/>
      <c r="T1612" s="26"/>
      <c r="U1612" s="26"/>
      <c r="V1612" s="26"/>
      <c r="W1612" s="27"/>
    </row>
    <row r="1613" spans="1:23" ht="15.75" customHeight="1" x14ac:dyDescent="0.25">
      <c r="A1613" s="23"/>
      <c r="B1613" s="23" t="str">
        <f t="shared" si="8"/>
        <v/>
      </c>
      <c r="C1613" s="23"/>
      <c r="D1613" s="44"/>
      <c r="E1613" s="23"/>
      <c r="F1613" s="45"/>
      <c r="G1613" s="23"/>
      <c r="H1613" s="23"/>
      <c r="I1613" s="23"/>
      <c r="J1613" s="25"/>
      <c r="K1613" s="23"/>
      <c r="L1613" s="51"/>
      <c r="M1613" s="23"/>
      <c r="N1613" s="26"/>
      <c r="O1613" s="26"/>
      <c r="P1613" s="26"/>
      <c r="Q1613" s="26"/>
      <c r="R1613" s="26"/>
      <c r="S1613" s="26"/>
      <c r="T1613" s="26"/>
      <c r="U1613" s="26"/>
      <c r="V1613" s="26"/>
      <c r="W1613" s="27"/>
    </row>
    <row r="1614" spans="1:23" ht="15.75" customHeight="1" x14ac:dyDescent="0.25">
      <c r="A1614" s="23"/>
      <c r="B1614" s="23" t="str">
        <f t="shared" si="8"/>
        <v/>
      </c>
      <c r="C1614" s="23"/>
      <c r="D1614" s="44"/>
      <c r="E1614" s="23"/>
      <c r="F1614" s="45"/>
      <c r="G1614" s="23"/>
      <c r="H1614" s="23"/>
      <c r="I1614" s="23"/>
      <c r="J1614" s="25"/>
      <c r="K1614" s="23"/>
      <c r="L1614" s="51"/>
      <c r="M1614" s="23"/>
      <c r="N1614" s="26"/>
      <c r="O1614" s="26"/>
      <c r="P1614" s="26"/>
      <c r="Q1614" s="26"/>
      <c r="R1614" s="26"/>
      <c r="S1614" s="26"/>
      <c r="T1614" s="26"/>
      <c r="U1614" s="26"/>
      <c r="V1614" s="26"/>
      <c r="W1614" s="27"/>
    </row>
    <row r="1615" spans="1:23" ht="15.75" customHeight="1" x14ac:dyDescent="0.25">
      <c r="A1615" s="23"/>
      <c r="B1615" s="23" t="str">
        <f t="shared" si="8"/>
        <v/>
      </c>
      <c r="C1615" s="23"/>
      <c r="D1615" s="44"/>
      <c r="E1615" s="23"/>
      <c r="F1615" s="45"/>
      <c r="G1615" s="23"/>
      <c r="H1615" s="23"/>
      <c r="I1615" s="23"/>
      <c r="J1615" s="25"/>
      <c r="K1615" s="23"/>
      <c r="L1615" s="51"/>
      <c r="M1615" s="23"/>
      <c r="N1615" s="26"/>
      <c r="O1615" s="26"/>
      <c r="P1615" s="26"/>
      <c r="Q1615" s="26"/>
      <c r="R1615" s="26"/>
      <c r="S1615" s="26"/>
      <c r="T1615" s="26"/>
      <c r="U1615" s="26"/>
      <c r="V1615" s="26"/>
      <c r="W1615" s="27"/>
    </row>
    <row r="1616" spans="1:23" ht="15.75" customHeight="1" x14ac:dyDescent="0.25">
      <c r="A1616" s="23"/>
      <c r="B1616" s="23" t="str">
        <f t="shared" si="8"/>
        <v/>
      </c>
      <c r="C1616" s="23"/>
      <c r="D1616" s="44"/>
      <c r="E1616" s="23"/>
      <c r="F1616" s="45"/>
      <c r="G1616" s="23"/>
      <c r="H1616" s="23"/>
      <c r="I1616" s="23"/>
      <c r="J1616" s="25"/>
      <c r="K1616" s="23"/>
      <c r="L1616" s="51"/>
      <c r="M1616" s="23"/>
      <c r="N1616" s="26"/>
      <c r="O1616" s="26"/>
      <c r="P1616" s="26"/>
      <c r="Q1616" s="26"/>
      <c r="R1616" s="26"/>
      <c r="S1616" s="26"/>
      <c r="T1616" s="26"/>
      <c r="U1616" s="26"/>
      <c r="V1616" s="26"/>
      <c r="W1616" s="27"/>
    </row>
    <row r="1617" spans="1:23" ht="15.75" customHeight="1" x14ac:dyDescent="0.25">
      <c r="A1617" s="23"/>
      <c r="B1617" s="23" t="str">
        <f t="shared" si="8"/>
        <v/>
      </c>
      <c r="C1617" s="23"/>
      <c r="D1617" s="44"/>
      <c r="E1617" s="23"/>
      <c r="F1617" s="45"/>
      <c r="G1617" s="23"/>
      <c r="H1617" s="23"/>
      <c r="I1617" s="23"/>
      <c r="J1617" s="25"/>
      <c r="K1617" s="23"/>
      <c r="L1617" s="51"/>
      <c r="M1617" s="23"/>
      <c r="N1617" s="26"/>
      <c r="O1617" s="26"/>
      <c r="P1617" s="26"/>
      <c r="Q1617" s="26"/>
      <c r="R1617" s="26"/>
      <c r="S1617" s="26"/>
      <c r="T1617" s="26"/>
      <c r="U1617" s="26"/>
      <c r="V1617" s="26"/>
      <c r="W1617" s="27"/>
    </row>
    <row r="1618" spans="1:23" ht="15.75" customHeight="1" x14ac:dyDescent="0.25">
      <c r="A1618" s="23"/>
      <c r="B1618" s="23" t="str">
        <f t="shared" si="8"/>
        <v/>
      </c>
      <c r="C1618" s="23"/>
      <c r="D1618" s="44"/>
      <c r="E1618" s="23"/>
      <c r="F1618" s="45"/>
      <c r="G1618" s="23"/>
      <c r="H1618" s="23"/>
      <c r="I1618" s="23"/>
      <c r="J1618" s="25"/>
      <c r="K1618" s="23"/>
      <c r="L1618" s="51"/>
      <c r="M1618" s="23"/>
      <c r="N1618" s="26"/>
      <c r="O1618" s="26"/>
      <c r="P1618" s="26"/>
      <c r="Q1618" s="26"/>
      <c r="R1618" s="26"/>
      <c r="S1618" s="26"/>
      <c r="T1618" s="26"/>
      <c r="U1618" s="26"/>
      <c r="V1618" s="26"/>
      <c r="W1618" s="27"/>
    </row>
    <row r="1619" spans="1:23" ht="15.75" customHeight="1" x14ac:dyDescent="0.25">
      <c r="A1619" s="23"/>
      <c r="B1619" s="23" t="str">
        <f t="shared" si="8"/>
        <v/>
      </c>
      <c r="C1619" s="23"/>
      <c r="D1619" s="44"/>
      <c r="E1619" s="23"/>
      <c r="F1619" s="45"/>
      <c r="G1619" s="23"/>
      <c r="H1619" s="23"/>
      <c r="I1619" s="23"/>
      <c r="J1619" s="25"/>
      <c r="K1619" s="23"/>
      <c r="L1619" s="51"/>
      <c r="M1619" s="23"/>
      <c r="N1619" s="26"/>
      <c r="O1619" s="26"/>
      <c r="P1619" s="26"/>
      <c r="Q1619" s="26"/>
      <c r="R1619" s="26"/>
      <c r="S1619" s="26"/>
      <c r="T1619" s="26"/>
      <c r="U1619" s="26"/>
      <c r="V1619" s="26"/>
      <c r="W1619" s="27"/>
    </row>
    <row r="1620" spans="1:23" ht="15.75" customHeight="1" x14ac:dyDescent="0.25">
      <c r="A1620" s="23"/>
      <c r="B1620" s="23" t="str">
        <f t="shared" si="8"/>
        <v/>
      </c>
      <c r="C1620" s="23"/>
      <c r="D1620" s="44"/>
      <c r="E1620" s="23"/>
      <c r="F1620" s="45"/>
      <c r="G1620" s="23"/>
      <c r="H1620" s="23"/>
      <c r="I1620" s="23"/>
      <c r="J1620" s="25"/>
      <c r="K1620" s="23"/>
      <c r="L1620" s="51"/>
      <c r="M1620" s="23"/>
      <c r="N1620" s="26"/>
      <c r="O1620" s="26"/>
      <c r="P1620" s="26"/>
      <c r="Q1620" s="26"/>
      <c r="R1620" s="26"/>
      <c r="S1620" s="26"/>
      <c r="T1620" s="26"/>
      <c r="U1620" s="26"/>
      <c r="V1620" s="26"/>
      <c r="W1620" s="27"/>
    </row>
    <row r="1621" spans="1:23" ht="15.75" customHeight="1" x14ac:dyDescent="0.25">
      <c r="A1621" s="23"/>
      <c r="B1621" s="23" t="str">
        <f t="shared" si="8"/>
        <v/>
      </c>
      <c r="C1621" s="23"/>
      <c r="D1621" s="44"/>
      <c r="E1621" s="23"/>
      <c r="F1621" s="45"/>
      <c r="G1621" s="23"/>
      <c r="H1621" s="23"/>
      <c r="I1621" s="23"/>
      <c r="J1621" s="25"/>
      <c r="K1621" s="23"/>
      <c r="L1621" s="51"/>
      <c r="M1621" s="23"/>
      <c r="N1621" s="26"/>
      <c r="O1621" s="26"/>
      <c r="P1621" s="26"/>
      <c r="Q1621" s="26"/>
      <c r="R1621" s="26"/>
      <c r="S1621" s="26"/>
      <c r="T1621" s="26"/>
      <c r="U1621" s="26"/>
      <c r="V1621" s="26"/>
      <c r="W1621" s="27"/>
    </row>
    <row r="1622" spans="1:23" ht="15.75" customHeight="1" x14ac:dyDescent="0.25">
      <c r="A1622" s="23"/>
      <c r="B1622" s="23" t="str">
        <f t="shared" si="8"/>
        <v/>
      </c>
      <c r="C1622" s="23"/>
      <c r="D1622" s="44"/>
      <c r="E1622" s="23"/>
      <c r="F1622" s="45"/>
      <c r="G1622" s="23"/>
      <c r="H1622" s="23"/>
      <c r="I1622" s="23"/>
      <c r="J1622" s="25"/>
      <c r="K1622" s="23"/>
      <c r="L1622" s="51"/>
      <c r="M1622" s="23"/>
      <c r="N1622" s="26"/>
      <c r="O1622" s="26"/>
      <c r="P1622" s="26"/>
      <c r="Q1622" s="26"/>
      <c r="R1622" s="26"/>
      <c r="S1622" s="26"/>
      <c r="T1622" s="26"/>
      <c r="U1622" s="26"/>
      <c r="V1622" s="26"/>
      <c r="W1622" s="27"/>
    </row>
    <row r="1623" spans="1:23" ht="15.75" customHeight="1" x14ac:dyDescent="0.25">
      <c r="A1623" s="23"/>
      <c r="B1623" s="23" t="str">
        <f t="shared" si="8"/>
        <v/>
      </c>
      <c r="C1623" s="23"/>
      <c r="D1623" s="44"/>
      <c r="E1623" s="23"/>
      <c r="F1623" s="45"/>
      <c r="G1623" s="23"/>
      <c r="H1623" s="23"/>
      <c r="I1623" s="23"/>
      <c r="J1623" s="25"/>
      <c r="K1623" s="23"/>
      <c r="L1623" s="51"/>
      <c r="M1623" s="23"/>
      <c r="N1623" s="26"/>
      <c r="O1623" s="26"/>
      <c r="P1623" s="26"/>
      <c r="Q1623" s="26"/>
      <c r="R1623" s="26"/>
      <c r="S1623" s="26"/>
      <c r="T1623" s="26"/>
      <c r="U1623" s="26"/>
      <c r="V1623" s="26"/>
      <c r="W1623" s="27"/>
    </row>
    <row r="1624" spans="1:23" ht="15.75" customHeight="1" x14ac:dyDescent="0.25">
      <c r="A1624" s="23"/>
      <c r="B1624" s="23" t="str">
        <f t="shared" si="8"/>
        <v/>
      </c>
      <c r="C1624" s="23"/>
      <c r="D1624" s="44"/>
      <c r="E1624" s="23"/>
      <c r="F1624" s="45"/>
      <c r="G1624" s="23"/>
      <c r="H1624" s="23"/>
      <c r="I1624" s="23"/>
      <c r="J1624" s="25"/>
      <c r="K1624" s="23"/>
      <c r="L1624" s="51"/>
      <c r="M1624" s="23"/>
      <c r="N1624" s="26"/>
      <c r="O1624" s="26"/>
      <c r="P1624" s="26"/>
      <c r="Q1624" s="26"/>
      <c r="R1624" s="26"/>
      <c r="S1624" s="26"/>
      <c r="T1624" s="26"/>
      <c r="U1624" s="26"/>
      <c r="V1624" s="26"/>
      <c r="W1624" s="27"/>
    </row>
    <row r="1625" spans="1:23" ht="15.75" customHeight="1" x14ac:dyDescent="0.25">
      <c r="A1625" s="23"/>
      <c r="B1625" s="23" t="str">
        <f t="shared" si="8"/>
        <v/>
      </c>
      <c r="C1625" s="23"/>
      <c r="D1625" s="44"/>
      <c r="E1625" s="23"/>
      <c r="F1625" s="45"/>
      <c r="G1625" s="23"/>
      <c r="H1625" s="23"/>
      <c r="I1625" s="23"/>
      <c r="J1625" s="25"/>
      <c r="K1625" s="23"/>
      <c r="L1625" s="51"/>
      <c r="M1625" s="23"/>
      <c r="N1625" s="26"/>
      <c r="O1625" s="26"/>
      <c r="P1625" s="26"/>
      <c r="Q1625" s="26"/>
      <c r="R1625" s="26"/>
      <c r="S1625" s="26"/>
      <c r="T1625" s="26"/>
      <c r="U1625" s="26"/>
      <c r="V1625" s="26"/>
      <c r="W1625" s="27"/>
    </row>
    <row r="1626" spans="1:23" ht="15.75" customHeight="1" x14ac:dyDescent="0.25">
      <c r="A1626" s="23"/>
      <c r="B1626" s="23" t="str">
        <f t="shared" si="8"/>
        <v/>
      </c>
      <c r="C1626" s="23"/>
      <c r="D1626" s="44"/>
      <c r="E1626" s="23"/>
      <c r="F1626" s="45"/>
      <c r="G1626" s="23"/>
      <c r="H1626" s="23"/>
      <c r="I1626" s="23"/>
      <c r="J1626" s="25"/>
      <c r="K1626" s="23"/>
      <c r="L1626" s="51"/>
      <c r="M1626" s="23"/>
      <c r="N1626" s="26"/>
      <c r="O1626" s="26"/>
      <c r="P1626" s="26"/>
      <c r="Q1626" s="26"/>
      <c r="R1626" s="26"/>
      <c r="S1626" s="26"/>
      <c r="T1626" s="26"/>
      <c r="U1626" s="26"/>
      <c r="V1626" s="26"/>
      <c r="W1626" s="27"/>
    </row>
    <row r="1627" spans="1:23" ht="15.75" customHeight="1" x14ac:dyDescent="0.25">
      <c r="A1627" s="23"/>
      <c r="B1627" s="23" t="str">
        <f t="shared" si="8"/>
        <v/>
      </c>
      <c r="C1627" s="23"/>
      <c r="D1627" s="44"/>
      <c r="E1627" s="23"/>
      <c r="F1627" s="45"/>
      <c r="G1627" s="23"/>
      <c r="H1627" s="23"/>
      <c r="I1627" s="23"/>
      <c r="J1627" s="25"/>
      <c r="K1627" s="23"/>
      <c r="L1627" s="51"/>
      <c r="M1627" s="23"/>
      <c r="N1627" s="26"/>
      <c r="O1627" s="26"/>
      <c r="P1627" s="26"/>
      <c r="Q1627" s="26"/>
      <c r="R1627" s="26"/>
      <c r="S1627" s="26"/>
      <c r="T1627" s="26"/>
      <c r="U1627" s="26"/>
      <c r="V1627" s="26"/>
      <c r="W1627" s="27"/>
    </row>
    <row r="1628" spans="1:23" ht="15.75" customHeight="1" x14ac:dyDescent="0.25">
      <c r="A1628" s="23"/>
      <c r="B1628" s="23" t="str">
        <f t="shared" si="8"/>
        <v/>
      </c>
      <c r="C1628" s="23"/>
      <c r="D1628" s="44"/>
      <c r="E1628" s="23"/>
      <c r="F1628" s="45"/>
      <c r="G1628" s="23"/>
      <c r="H1628" s="23"/>
      <c r="I1628" s="23"/>
      <c r="J1628" s="25"/>
      <c r="K1628" s="23"/>
      <c r="L1628" s="51"/>
      <c r="M1628" s="23"/>
      <c r="N1628" s="26"/>
      <c r="O1628" s="26"/>
      <c r="P1628" s="26"/>
      <c r="Q1628" s="26"/>
      <c r="R1628" s="26"/>
      <c r="S1628" s="26"/>
      <c r="T1628" s="26"/>
      <c r="U1628" s="26"/>
      <c r="V1628" s="26"/>
      <c r="W1628" s="27"/>
    </row>
    <row r="1629" spans="1:23" ht="15.75" customHeight="1" x14ac:dyDescent="0.25">
      <c r="A1629" s="23"/>
      <c r="B1629" s="23" t="str">
        <f t="shared" si="8"/>
        <v/>
      </c>
      <c r="C1629" s="23"/>
      <c r="D1629" s="44"/>
      <c r="E1629" s="23"/>
      <c r="F1629" s="45"/>
      <c r="G1629" s="23"/>
      <c r="H1629" s="23"/>
      <c r="I1629" s="23"/>
      <c r="J1629" s="25"/>
      <c r="K1629" s="23"/>
      <c r="L1629" s="51"/>
      <c r="M1629" s="23"/>
      <c r="N1629" s="26"/>
      <c r="O1629" s="26"/>
      <c r="P1629" s="26"/>
      <c r="Q1629" s="26"/>
      <c r="R1629" s="26"/>
      <c r="S1629" s="26"/>
      <c r="T1629" s="26"/>
      <c r="U1629" s="26"/>
      <c r="V1629" s="26"/>
      <c r="W1629" s="27"/>
    </row>
    <row r="1630" spans="1:23" ht="15.75" customHeight="1" x14ac:dyDescent="0.25">
      <c r="A1630" s="23"/>
      <c r="B1630" s="23" t="str">
        <f t="shared" si="8"/>
        <v/>
      </c>
      <c r="C1630" s="23"/>
      <c r="D1630" s="44"/>
      <c r="E1630" s="23"/>
      <c r="F1630" s="45"/>
      <c r="G1630" s="23"/>
      <c r="H1630" s="23"/>
      <c r="I1630" s="23"/>
      <c r="J1630" s="25"/>
      <c r="K1630" s="23"/>
      <c r="L1630" s="51"/>
      <c r="M1630" s="23"/>
      <c r="N1630" s="26"/>
      <c r="O1630" s="26"/>
      <c r="P1630" s="26"/>
      <c r="Q1630" s="26"/>
      <c r="R1630" s="26"/>
      <c r="S1630" s="26"/>
      <c r="T1630" s="26"/>
      <c r="U1630" s="26"/>
      <c r="V1630" s="26"/>
      <c r="W1630" s="27"/>
    </row>
    <row r="1631" spans="1:23" ht="15.75" customHeight="1" x14ac:dyDescent="0.25">
      <c r="A1631" s="23"/>
      <c r="B1631" s="23" t="str">
        <f t="shared" si="8"/>
        <v/>
      </c>
      <c r="C1631" s="23"/>
      <c r="D1631" s="44"/>
      <c r="E1631" s="23"/>
      <c r="F1631" s="45"/>
      <c r="G1631" s="23"/>
      <c r="H1631" s="23"/>
      <c r="I1631" s="23"/>
      <c r="J1631" s="25"/>
      <c r="K1631" s="23"/>
      <c r="L1631" s="51"/>
      <c r="M1631" s="23"/>
      <c r="N1631" s="26"/>
      <c r="O1631" s="26"/>
      <c r="P1631" s="26"/>
      <c r="Q1631" s="26"/>
      <c r="R1631" s="26"/>
      <c r="S1631" s="26"/>
      <c r="T1631" s="26"/>
      <c r="U1631" s="26"/>
      <c r="V1631" s="26"/>
      <c r="W1631" s="27"/>
    </row>
    <row r="1632" spans="1:23" ht="15.75" customHeight="1" x14ac:dyDescent="0.25">
      <c r="A1632" s="23"/>
      <c r="B1632" s="23" t="str">
        <f t="shared" si="8"/>
        <v/>
      </c>
      <c r="C1632" s="23"/>
      <c r="D1632" s="44"/>
      <c r="E1632" s="23"/>
      <c r="F1632" s="45"/>
      <c r="G1632" s="23"/>
      <c r="H1632" s="23"/>
      <c r="I1632" s="23"/>
      <c r="J1632" s="25"/>
      <c r="K1632" s="23"/>
      <c r="L1632" s="51"/>
      <c r="M1632" s="23"/>
      <c r="N1632" s="26"/>
      <c r="O1632" s="26"/>
      <c r="P1632" s="26"/>
      <c r="Q1632" s="26"/>
      <c r="R1632" s="26"/>
      <c r="S1632" s="26"/>
      <c r="T1632" s="26"/>
      <c r="U1632" s="26"/>
      <c r="V1632" s="26"/>
      <c r="W1632" s="27"/>
    </row>
    <row r="1633" spans="1:23" ht="15.75" customHeight="1" x14ac:dyDescent="0.25">
      <c r="A1633" s="23"/>
      <c r="B1633" s="23" t="str">
        <f t="shared" si="8"/>
        <v/>
      </c>
      <c r="C1633" s="23"/>
      <c r="D1633" s="44"/>
      <c r="E1633" s="23"/>
      <c r="F1633" s="45"/>
      <c r="G1633" s="23"/>
      <c r="H1633" s="23"/>
      <c r="I1633" s="23"/>
      <c r="J1633" s="25"/>
      <c r="K1633" s="23"/>
      <c r="L1633" s="51"/>
      <c r="M1633" s="23"/>
      <c r="N1633" s="26"/>
      <c r="O1633" s="26"/>
      <c r="P1633" s="26"/>
      <c r="Q1633" s="26"/>
      <c r="R1633" s="26"/>
      <c r="S1633" s="26"/>
      <c r="T1633" s="26"/>
      <c r="U1633" s="26"/>
      <c r="V1633" s="26"/>
      <c r="W1633" s="27"/>
    </row>
    <row r="1634" spans="1:23" ht="15.75" customHeight="1" x14ac:dyDescent="0.25">
      <c r="A1634" s="23"/>
      <c r="B1634" s="23" t="str">
        <f t="shared" si="8"/>
        <v/>
      </c>
      <c r="C1634" s="23"/>
      <c r="D1634" s="44"/>
      <c r="E1634" s="23"/>
      <c r="F1634" s="45"/>
      <c r="G1634" s="23"/>
      <c r="H1634" s="23"/>
      <c r="I1634" s="23"/>
      <c r="J1634" s="25"/>
      <c r="K1634" s="23"/>
      <c r="L1634" s="51"/>
      <c r="M1634" s="23"/>
      <c r="N1634" s="26"/>
      <c r="O1634" s="26"/>
      <c r="P1634" s="26"/>
      <c r="Q1634" s="26"/>
      <c r="R1634" s="26"/>
      <c r="S1634" s="26"/>
      <c r="T1634" s="26"/>
      <c r="U1634" s="26"/>
      <c r="V1634" s="26"/>
      <c r="W1634" s="27"/>
    </row>
    <row r="1635" spans="1:23" ht="15.75" customHeight="1" x14ac:dyDescent="0.25">
      <c r="A1635" s="23"/>
      <c r="B1635" s="23" t="str">
        <f t="shared" si="8"/>
        <v/>
      </c>
      <c r="C1635" s="23"/>
      <c r="D1635" s="44"/>
      <c r="E1635" s="23"/>
      <c r="F1635" s="45"/>
      <c r="G1635" s="23"/>
      <c r="H1635" s="23"/>
      <c r="I1635" s="23"/>
      <c r="J1635" s="25"/>
      <c r="K1635" s="23"/>
      <c r="L1635" s="51"/>
      <c r="M1635" s="23"/>
      <c r="N1635" s="26"/>
      <c r="O1635" s="26"/>
      <c r="P1635" s="26"/>
      <c r="Q1635" s="26"/>
      <c r="R1635" s="26"/>
      <c r="S1635" s="26"/>
      <c r="T1635" s="26"/>
      <c r="U1635" s="26"/>
      <c r="V1635" s="26"/>
      <c r="W1635" s="27"/>
    </row>
    <row r="1636" spans="1:23" ht="15.75" customHeight="1" x14ac:dyDescent="0.25">
      <c r="A1636" s="23"/>
      <c r="B1636" s="23" t="str">
        <f t="shared" si="8"/>
        <v/>
      </c>
      <c r="C1636" s="23"/>
      <c r="D1636" s="44"/>
      <c r="E1636" s="23"/>
      <c r="F1636" s="45"/>
      <c r="G1636" s="23"/>
      <c r="H1636" s="23"/>
      <c r="I1636" s="23"/>
      <c r="J1636" s="25"/>
      <c r="K1636" s="23"/>
      <c r="L1636" s="51"/>
      <c r="M1636" s="23"/>
      <c r="N1636" s="26"/>
      <c r="O1636" s="26"/>
      <c r="P1636" s="26"/>
      <c r="Q1636" s="26"/>
      <c r="R1636" s="26"/>
      <c r="S1636" s="26"/>
      <c r="T1636" s="26"/>
      <c r="U1636" s="26"/>
      <c r="V1636" s="26"/>
      <c r="W1636" s="27"/>
    </row>
    <row r="1637" spans="1:23" ht="15.75" customHeight="1" x14ac:dyDescent="0.25">
      <c r="A1637" s="23"/>
      <c r="B1637" s="23" t="str">
        <f t="shared" si="8"/>
        <v/>
      </c>
      <c r="C1637" s="23"/>
      <c r="D1637" s="44"/>
      <c r="E1637" s="23"/>
      <c r="F1637" s="45"/>
      <c r="G1637" s="23"/>
      <c r="H1637" s="23"/>
      <c r="I1637" s="23"/>
      <c r="J1637" s="25"/>
      <c r="K1637" s="23"/>
      <c r="L1637" s="51"/>
      <c r="M1637" s="23"/>
      <c r="N1637" s="26"/>
      <c r="O1637" s="26"/>
      <c r="P1637" s="26"/>
      <c r="Q1637" s="26"/>
      <c r="R1637" s="26"/>
      <c r="S1637" s="26"/>
      <c r="T1637" s="26"/>
      <c r="U1637" s="26"/>
      <c r="V1637" s="26"/>
      <c r="W1637" s="27"/>
    </row>
    <row r="1638" spans="1:23" ht="15.75" customHeight="1" x14ac:dyDescent="0.25">
      <c r="A1638" s="23"/>
      <c r="B1638" s="23" t="str">
        <f t="shared" si="8"/>
        <v/>
      </c>
      <c r="C1638" s="23"/>
      <c r="D1638" s="44"/>
      <c r="E1638" s="23"/>
      <c r="F1638" s="45"/>
      <c r="G1638" s="23"/>
      <c r="H1638" s="23"/>
      <c r="I1638" s="23"/>
      <c r="J1638" s="25"/>
      <c r="K1638" s="23"/>
      <c r="L1638" s="51"/>
      <c r="M1638" s="23"/>
      <c r="N1638" s="26"/>
      <c r="O1638" s="26"/>
      <c r="P1638" s="26"/>
      <c r="Q1638" s="26"/>
      <c r="R1638" s="26"/>
      <c r="S1638" s="26"/>
      <c r="T1638" s="26"/>
      <c r="U1638" s="26"/>
      <c r="V1638" s="26"/>
      <c r="W1638" s="27"/>
    </row>
    <row r="1639" spans="1:23" ht="15.75" customHeight="1" x14ac:dyDescent="0.25">
      <c r="A1639" s="23"/>
      <c r="B1639" s="23" t="str">
        <f t="shared" si="8"/>
        <v/>
      </c>
      <c r="C1639" s="23"/>
      <c r="D1639" s="44"/>
      <c r="E1639" s="23"/>
      <c r="F1639" s="45"/>
      <c r="G1639" s="23"/>
      <c r="H1639" s="23"/>
      <c r="I1639" s="23"/>
      <c r="J1639" s="25"/>
      <c r="K1639" s="23"/>
      <c r="L1639" s="51"/>
      <c r="M1639" s="23"/>
      <c r="N1639" s="26"/>
      <c r="O1639" s="26"/>
      <c r="P1639" s="26"/>
      <c r="Q1639" s="26"/>
      <c r="R1639" s="26"/>
      <c r="S1639" s="26"/>
      <c r="T1639" s="26"/>
      <c r="U1639" s="26"/>
      <c r="V1639" s="26"/>
      <c r="W1639" s="27"/>
    </row>
    <row r="1640" spans="1:23" ht="15.75" customHeight="1" x14ac:dyDescent="0.25">
      <c r="A1640" s="23"/>
      <c r="B1640" s="23" t="str">
        <f t="shared" si="8"/>
        <v/>
      </c>
      <c r="C1640" s="23"/>
      <c r="D1640" s="44"/>
      <c r="E1640" s="23"/>
      <c r="F1640" s="45"/>
      <c r="G1640" s="23"/>
      <c r="H1640" s="23"/>
      <c r="I1640" s="23"/>
      <c r="J1640" s="25"/>
      <c r="K1640" s="23"/>
      <c r="L1640" s="51"/>
      <c r="M1640" s="23"/>
      <c r="N1640" s="26"/>
      <c r="O1640" s="26"/>
      <c r="P1640" s="26"/>
      <c r="Q1640" s="26"/>
      <c r="R1640" s="26"/>
      <c r="S1640" s="26"/>
      <c r="T1640" s="26"/>
      <c r="U1640" s="26"/>
      <c r="V1640" s="26"/>
      <c r="W1640" s="27"/>
    </row>
    <row r="1641" spans="1:23" ht="15.75" customHeight="1" x14ac:dyDescent="0.25">
      <c r="A1641" s="23"/>
      <c r="B1641" s="23" t="str">
        <f t="shared" si="8"/>
        <v/>
      </c>
      <c r="C1641" s="23"/>
      <c r="D1641" s="44"/>
      <c r="E1641" s="23"/>
      <c r="F1641" s="45"/>
      <c r="G1641" s="23"/>
      <c r="H1641" s="23"/>
      <c r="I1641" s="23"/>
      <c r="J1641" s="25"/>
      <c r="K1641" s="23"/>
      <c r="L1641" s="51"/>
      <c r="M1641" s="23"/>
      <c r="N1641" s="26"/>
      <c r="O1641" s="26"/>
      <c r="P1641" s="26"/>
      <c r="Q1641" s="26"/>
      <c r="R1641" s="26"/>
      <c r="S1641" s="26"/>
      <c r="T1641" s="26"/>
      <c r="U1641" s="26"/>
      <c r="V1641" s="26"/>
      <c r="W1641" s="27"/>
    </row>
    <row r="1642" spans="1:23" ht="15.75" customHeight="1" x14ac:dyDescent="0.25">
      <c r="A1642" s="23"/>
      <c r="B1642" s="23" t="str">
        <f t="shared" si="8"/>
        <v/>
      </c>
      <c r="C1642" s="23"/>
      <c r="D1642" s="44"/>
      <c r="E1642" s="23"/>
      <c r="F1642" s="45"/>
      <c r="G1642" s="23"/>
      <c r="H1642" s="23"/>
      <c r="I1642" s="23"/>
      <c r="J1642" s="25"/>
      <c r="K1642" s="23"/>
      <c r="L1642" s="51"/>
      <c r="M1642" s="23"/>
      <c r="N1642" s="26"/>
      <c r="O1642" s="26"/>
      <c r="P1642" s="26"/>
      <c r="Q1642" s="26"/>
      <c r="R1642" s="26"/>
      <c r="S1642" s="26"/>
      <c r="T1642" s="26"/>
      <c r="U1642" s="26"/>
      <c r="V1642" s="26"/>
      <c r="W1642" s="27"/>
    </row>
    <row r="1643" spans="1:23" ht="15.75" customHeight="1" x14ac:dyDescent="0.25">
      <c r="A1643" s="23"/>
      <c r="B1643" s="23" t="str">
        <f t="shared" si="8"/>
        <v/>
      </c>
      <c r="C1643" s="23"/>
      <c r="D1643" s="44"/>
      <c r="E1643" s="23"/>
      <c r="F1643" s="45"/>
      <c r="G1643" s="23"/>
      <c r="H1643" s="23"/>
      <c r="I1643" s="23"/>
      <c r="J1643" s="25"/>
      <c r="K1643" s="23"/>
      <c r="L1643" s="51"/>
      <c r="M1643" s="23"/>
      <c r="N1643" s="26"/>
      <c r="O1643" s="26"/>
      <c r="P1643" s="26"/>
      <c r="Q1643" s="26"/>
      <c r="R1643" s="26"/>
      <c r="S1643" s="26"/>
      <c r="T1643" s="26"/>
      <c r="U1643" s="26"/>
      <c r="V1643" s="26"/>
      <c r="W1643" s="27"/>
    </row>
    <row r="1644" spans="1:23" ht="15.75" customHeight="1" x14ac:dyDescent="0.25">
      <c r="A1644" s="23"/>
      <c r="B1644" s="23" t="str">
        <f t="shared" si="8"/>
        <v/>
      </c>
      <c r="C1644" s="23"/>
      <c r="D1644" s="44"/>
      <c r="E1644" s="23"/>
      <c r="F1644" s="45"/>
      <c r="G1644" s="23"/>
      <c r="H1644" s="23"/>
      <c r="I1644" s="23"/>
      <c r="J1644" s="25"/>
      <c r="K1644" s="23"/>
      <c r="L1644" s="51"/>
      <c r="M1644" s="23"/>
      <c r="N1644" s="26"/>
      <c r="O1644" s="26"/>
      <c r="P1644" s="26"/>
      <c r="Q1644" s="26"/>
      <c r="R1644" s="26"/>
      <c r="S1644" s="26"/>
      <c r="T1644" s="26"/>
      <c r="U1644" s="26"/>
      <c r="V1644" s="26"/>
      <c r="W1644" s="27"/>
    </row>
    <row r="1645" spans="1:23" ht="15.75" customHeight="1" x14ac:dyDescent="0.25">
      <c r="A1645" s="23"/>
      <c r="B1645" s="23" t="str">
        <f t="shared" si="8"/>
        <v/>
      </c>
      <c r="C1645" s="23"/>
      <c r="D1645" s="44"/>
      <c r="E1645" s="23"/>
      <c r="F1645" s="45"/>
      <c r="G1645" s="23"/>
      <c r="H1645" s="23"/>
      <c r="I1645" s="23"/>
      <c r="J1645" s="25"/>
      <c r="K1645" s="23"/>
      <c r="L1645" s="51"/>
      <c r="M1645" s="23"/>
      <c r="N1645" s="26"/>
      <c r="O1645" s="26"/>
      <c r="P1645" s="26"/>
      <c r="Q1645" s="26"/>
      <c r="R1645" s="26"/>
      <c r="S1645" s="26"/>
      <c r="T1645" s="26"/>
      <c r="U1645" s="26"/>
      <c r="V1645" s="26"/>
      <c r="W1645" s="27"/>
    </row>
    <row r="1646" spans="1:23" ht="15.75" customHeight="1" x14ac:dyDescent="0.25">
      <c r="A1646" s="23"/>
      <c r="B1646" s="23" t="str">
        <f t="shared" si="8"/>
        <v/>
      </c>
      <c r="C1646" s="23"/>
      <c r="D1646" s="44"/>
      <c r="E1646" s="23"/>
      <c r="F1646" s="45"/>
      <c r="G1646" s="23"/>
      <c r="H1646" s="23"/>
      <c r="I1646" s="23"/>
      <c r="J1646" s="25"/>
      <c r="K1646" s="23"/>
      <c r="L1646" s="51"/>
      <c r="M1646" s="23"/>
      <c r="N1646" s="26"/>
      <c r="O1646" s="26"/>
      <c r="P1646" s="26"/>
      <c r="Q1646" s="26"/>
      <c r="R1646" s="26"/>
      <c r="S1646" s="26"/>
      <c r="T1646" s="26"/>
      <c r="U1646" s="26"/>
      <c r="V1646" s="26"/>
      <c r="W1646" s="27"/>
    </row>
    <row r="1647" spans="1:23" ht="15.75" customHeight="1" x14ac:dyDescent="0.25">
      <c r="A1647" s="23"/>
      <c r="B1647" s="23" t="str">
        <f t="shared" si="8"/>
        <v/>
      </c>
      <c r="C1647" s="23"/>
      <c r="D1647" s="44"/>
      <c r="E1647" s="23"/>
      <c r="F1647" s="45"/>
      <c r="G1647" s="23"/>
      <c r="H1647" s="23"/>
      <c r="I1647" s="23"/>
      <c r="J1647" s="25"/>
      <c r="K1647" s="23"/>
      <c r="L1647" s="51"/>
      <c r="M1647" s="23"/>
      <c r="N1647" s="26"/>
      <c r="O1647" s="26"/>
      <c r="P1647" s="26"/>
      <c r="Q1647" s="26"/>
      <c r="R1647" s="26"/>
      <c r="S1647" s="26"/>
      <c r="T1647" s="26"/>
      <c r="U1647" s="26"/>
      <c r="V1647" s="26"/>
      <c r="W1647" s="27"/>
    </row>
    <row r="1648" spans="1:23" ht="15.75" customHeight="1" x14ac:dyDescent="0.25">
      <c r="A1648" s="23"/>
      <c r="B1648" s="23" t="str">
        <f t="shared" si="8"/>
        <v/>
      </c>
      <c r="C1648" s="23"/>
      <c r="D1648" s="44"/>
      <c r="E1648" s="23"/>
      <c r="F1648" s="45"/>
      <c r="G1648" s="23"/>
      <c r="H1648" s="23"/>
      <c r="I1648" s="23"/>
      <c r="J1648" s="25"/>
      <c r="K1648" s="23"/>
      <c r="L1648" s="51"/>
      <c r="M1648" s="23"/>
      <c r="N1648" s="26"/>
      <c r="O1648" s="26"/>
      <c r="P1648" s="26"/>
      <c r="Q1648" s="26"/>
      <c r="R1648" s="26"/>
      <c r="S1648" s="26"/>
      <c r="T1648" s="26"/>
      <c r="U1648" s="26"/>
      <c r="V1648" s="26"/>
      <c r="W1648" s="27"/>
    </row>
    <row r="1649" spans="1:23" ht="15.75" customHeight="1" x14ac:dyDescent="0.25">
      <c r="A1649" s="23"/>
      <c r="B1649" s="23" t="str">
        <f t="shared" si="8"/>
        <v/>
      </c>
      <c r="C1649" s="23"/>
      <c r="D1649" s="44"/>
      <c r="E1649" s="23"/>
      <c r="F1649" s="45"/>
      <c r="G1649" s="23"/>
      <c r="H1649" s="23"/>
      <c r="I1649" s="23"/>
      <c r="J1649" s="25"/>
      <c r="K1649" s="23"/>
      <c r="L1649" s="51"/>
      <c r="M1649" s="23"/>
      <c r="N1649" s="26"/>
      <c r="O1649" s="26"/>
      <c r="P1649" s="26"/>
      <c r="Q1649" s="26"/>
      <c r="R1649" s="26"/>
      <c r="S1649" s="26"/>
      <c r="T1649" s="26"/>
      <c r="U1649" s="26"/>
      <c r="V1649" s="26"/>
      <c r="W1649" s="27"/>
    </row>
    <row r="1650" spans="1:23" ht="15.75" customHeight="1" x14ac:dyDescent="0.25">
      <c r="A1650" s="23"/>
      <c r="B1650" s="23" t="str">
        <f t="shared" si="8"/>
        <v/>
      </c>
      <c r="C1650" s="23"/>
      <c r="D1650" s="44"/>
      <c r="E1650" s="23"/>
      <c r="F1650" s="45"/>
      <c r="G1650" s="23"/>
      <c r="H1650" s="23"/>
      <c r="I1650" s="23"/>
      <c r="J1650" s="25"/>
      <c r="K1650" s="23"/>
      <c r="L1650" s="51"/>
      <c r="M1650" s="23"/>
      <c r="N1650" s="26"/>
      <c r="O1650" s="26"/>
      <c r="P1650" s="26"/>
      <c r="Q1650" s="26"/>
      <c r="R1650" s="26"/>
      <c r="S1650" s="26"/>
      <c r="T1650" s="26"/>
      <c r="U1650" s="26"/>
      <c r="V1650" s="26"/>
      <c r="W1650" s="27"/>
    </row>
    <row r="1651" spans="1:23" ht="15.75" customHeight="1" x14ac:dyDescent="0.25">
      <c r="A1651" s="23"/>
      <c r="B1651" s="23" t="str">
        <f t="shared" si="8"/>
        <v/>
      </c>
      <c r="C1651" s="23"/>
      <c r="D1651" s="44"/>
      <c r="E1651" s="23"/>
      <c r="F1651" s="45"/>
      <c r="G1651" s="23"/>
      <c r="H1651" s="23"/>
      <c r="I1651" s="23"/>
      <c r="J1651" s="25"/>
      <c r="K1651" s="23"/>
      <c r="L1651" s="51"/>
      <c r="M1651" s="23"/>
      <c r="N1651" s="26"/>
      <c r="O1651" s="26"/>
      <c r="P1651" s="26"/>
      <c r="Q1651" s="26"/>
      <c r="R1651" s="26"/>
      <c r="S1651" s="26"/>
      <c r="T1651" s="26"/>
      <c r="U1651" s="26"/>
      <c r="V1651" s="26"/>
      <c r="W1651" s="27"/>
    </row>
    <row r="1652" spans="1:23" ht="15.75" customHeight="1" x14ac:dyDescent="0.25">
      <c r="A1652" s="23"/>
      <c r="B1652" s="23" t="str">
        <f t="shared" si="8"/>
        <v/>
      </c>
      <c r="C1652" s="23"/>
      <c r="D1652" s="44"/>
      <c r="E1652" s="23"/>
      <c r="F1652" s="45"/>
      <c r="G1652" s="23"/>
      <c r="H1652" s="23"/>
      <c r="I1652" s="23"/>
      <c r="J1652" s="25"/>
      <c r="K1652" s="23"/>
      <c r="L1652" s="51"/>
      <c r="M1652" s="23"/>
      <c r="N1652" s="26"/>
      <c r="O1652" s="26"/>
      <c r="P1652" s="26"/>
      <c r="Q1652" s="26"/>
      <c r="R1652" s="26"/>
      <c r="S1652" s="26"/>
      <c r="T1652" s="26"/>
      <c r="U1652" s="26"/>
      <c r="V1652" s="26"/>
      <c r="W1652" s="27"/>
    </row>
    <row r="1653" spans="1:23" ht="15.75" customHeight="1" x14ac:dyDescent="0.25">
      <c r="A1653" s="23"/>
      <c r="B1653" s="23" t="str">
        <f t="shared" si="8"/>
        <v/>
      </c>
      <c r="C1653" s="23"/>
      <c r="D1653" s="44"/>
      <c r="E1653" s="23"/>
      <c r="F1653" s="45"/>
      <c r="G1653" s="23"/>
      <c r="H1653" s="23"/>
      <c r="I1653" s="23"/>
      <c r="J1653" s="25"/>
      <c r="K1653" s="23"/>
      <c r="L1653" s="51"/>
      <c r="M1653" s="23"/>
      <c r="N1653" s="26"/>
      <c r="O1653" s="26"/>
      <c r="P1653" s="26"/>
      <c r="Q1653" s="26"/>
      <c r="R1653" s="26"/>
      <c r="S1653" s="26"/>
      <c r="T1653" s="26"/>
      <c r="U1653" s="26"/>
      <c r="V1653" s="26"/>
      <c r="W1653" s="27"/>
    </row>
    <row r="1654" spans="1:23" ht="15.75" customHeight="1" x14ac:dyDescent="0.25">
      <c r="A1654" s="23"/>
      <c r="B1654" s="23" t="str">
        <f t="shared" si="8"/>
        <v/>
      </c>
      <c r="C1654" s="23"/>
      <c r="D1654" s="44"/>
      <c r="E1654" s="23"/>
      <c r="F1654" s="45"/>
      <c r="G1654" s="23"/>
      <c r="H1654" s="23"/>
      <c r="I1654" s="23"/>
      <c r="J1654" s="25"/>
      <c r="K1654" s="23"/>
      <c r="L1654" s="51"/>
      <c r="M1654" s="23"/>
      <c r="N1654" s="26"/>
      <c r="O1654" s="26"/>
      <c r="P1654" s="26"/>
      <c r="Q1654" s="26"/>
      <c r="R1654" s="26"/>
      <c r="S1654" s="26"/>
      <c r="T1654" s="26"/>
      <c r="U1654" s="26"/>
      <c r="V1654" s="26"/>
      <c r="W1654" s="27"/>
    </row>
    <row r="1655" spans="1:23" ht="15.75" customHeight="1" x14ac:dyDescent="0.25">
      <c r="A1655" s="23"/>
      <c r="B1655" s="23" t="str">
        <f t="shared" si="8"/>
        <v/>
      </c>
      <c r="C1655" s="23"/>
      <c r="D1655" s="44"/>
      <c r="E1655" s="23"/>
      <c r="F1655" s="45"/>
      <c r="G1655" s="23"/>
      <c r="H1655" s="23"/>
      <c r="I1655" s="23"/>
      <c r="J1655" s="25"/>
      <c r="K1655" s="23"/>
      <c r="L1655" s="51"/>
      <c r="M1655" s="23"/>
      <c r="N1655" s="26"/>
      <c r="O1655" s="26"/>
      <c r="P1655" s="26"/>
      <c r="Q1655" s="26"/>
      <c r="R1655" s="26"/>
      <c r="S1655" s="26"/>
      <c r="T1655" s="26"/>
      <c r="U1655" s="26"/>
      <c r="V1655" s="26"/>
      <c r="W1655" s="27"/>
    </row>
    <row r="1656" spans="1:23" ht="15.75" customHeight="1" x14ac:dyDescent="0.25">
      <c r="A1656" s="23"/>
      <c r="B1656" s="23" t="str">
        <f t="shared" si="8"/>
        <v/>
      </c>
      <c r="C1656" s="23"/>
      <c r="D1656" s="44"/>
      <c r="E1656" s="23"/>
      <c r="F1656" s="45"/>
      <c r="G1656" s="23"/>
      <c r="H1656" s="23"/>
      <c r="I1656" s="23"/>
      <c r="J1656" s="25"/>
      <c r="K1656" s="23"/>
      <c r="L1656" s="51"/>
      <c r="M1656" s="23"/>
      <c r="N1656" s="26"/>
      <c r="O1656" s="26"/>
      <c r="P1656" s="26"/>
      <c r="Q1656" s="26"/>
      <c r="R1656" s="26"/>
      <c r="S1656" s="26"/>
      <c r="T1656" s="26"/>
      <c r="U1656" s="26"/>
      <c r="V1656" s="26"/>
      <c r="W1656" s="27"/>
    </row>
    <row r="1657" spans="1:23" ht="15.75" customHeight="1" x14ac:dyDescent="0.25">
      <c r="A1657" s="23"/>
      <c r="B1657" s="23" t="str">
        <f t="shared" si="8"/>
        <v/>
      </c>
      <c r="C1657" s="23"/>
      <c r="D1657" s="44"/>
      <c r="E1657" s="23"/>
      <c r="F1657" s="45"/>
      <c r="G1657" s="23"/>
      <c r="H1657" s="23"/>
      <c r="I1657" s="23"/>
      <c r="J1657" s="25"/>
      <c r="K1657" s="23"/>
      <c r="L1657" s="51"/>
      <c r="M1657" s="23"/>
      <c r="N1657" s="26"/>
      <c r="O1657" s="26"/>
      <c r="P1657" s="26"/>
      <c r="Q1657" s="26"/>
      <c r="R1657" s="26"/>
      <c r="S1657" s="26"/>
      <c r="T1657" s="26"/>
      <c r="U1657" s="26"/>
      <c r="V1657" s="26"/>
      <c r="W1657" s="27"/>
    </row>
    <row r="1658" spans="1:23" ht="15.75" customHeight="1" x14ac:dyDescent="0.25">
      <c r="A1658" s="23"/>
      <c r="B1658" s="23" t="str">
        <f t="shared" si="8"/>
        <v/>
      </c>
      <c r="C1658" s="23"/>
      <c r="D1658" s="44"/>
      <c r="E1658" s="23"/>
      <c r="F1658" s="45"/>
      <c r="G1658" s="23"/>
      <c r="H1658" s="23"/>
      <c r="I1658" s="23"/>
      <c r="J1658" s="25"/>
      <c r="K1658" s="23"/>
      <c r="L1658" s="51"/>
      <c r="M1658" s="23"/>
      <c r="N1658" s="26"/>
      <c r="O1658" s="26"/>
      <c r="P1658" s="26"/>
      <c r="Q1658" s="26"/>
      <c r="R1658" s="26"/>
      <c r="S1658" s="26"/>
      <c r="T1658" s="26"/>
      <c r="U1658" s="26"/>
      <c r="V1658" s="26"/>
      <c r="W1658" s="27"/>
    </row>
    <row r="1659" spans="1:23" ht="15.75" customHeight="1" x14ac:dyDescent="0.25">
      <c r="A1659" s="23"/>
      <c r="B1659" s="23" t="str">
        <f t="shared" si="8"/>
        <v/>
      </c>
      <c r="C1659" s="23"/>
      <c r="D1659" s="44"/>
      <c r="E1659" s="23"/>
      <c r="F1659" s="45"/>
      <c r="G1659" s="23"/>
      <c r="H1659" s="23"/>
      <c r="I1659" s="23"/>
      <c r="J1659" s="25"/>
      <c r="K1659" s="23"/>
      <c r="L1659" s="51"/>
      <c r="M1659" s="23"/>
      <c r="N1659" s="26"/>
      <c r="O1659" s="26"/>
      <c r="P1659" s="26"/>
      <c r="Q1659" s="26"/>
      <c r="R1659" s="26"/>
      <c r="S1659" s="26"/>
      <c r="T1659" s="26"/>
      <c r="U1659" s="26"/>
      <c r="V1659" s="26"/>
      <c r="W1659" s="27"/>
    </row>
    <row r="1660" spans="1:23" ht="15.75" customHeight="1" x14ac:dyDescent="0.25">
      <c r="A1660" s="23"/>
      <c r="B1660" s="23" t="str">
        <f t="shared" si="8"/>
        <v/>
      </c>
      <c r="C1660" s="23"/>
      <c r="D1660" s="44"/>
      <c r="E1660" s="23"/>
      <c r="F1660" s="45"/>
      <c r="G1660" s="23"/>
      <c r="H1660" s="23"/>
      <c r="I1660" s="23"/>
      <c r="J1660" s="25"/>
      <c r="K1660" s="23"/>
      <c r="L1660" s="51"/>
      <c r="M1660" s="23"/>
      <c r="N1660" s="26"/>
      <c r="O1660" s="26"/>
      <c r="P1660" s="26"/>
      <c r="Q1660" s="26"/>
      <c r="R1660" s="26"/>
      <c r="S1660" s="26"/>
      <c r="T1660" s="26"/>
      <c r="U1660" s="26"/>
      <c r="V1660" s="26"/>
      <c r="W1660" s="27"/>
    </row>
    <row r="1661" spans="1:23" ht="15.75" customHeight="1" x14ac:dyDescent="0.25">
      <c r="A1661" s="23"/>
      <c r="B1661" s="23" t="str">
        <f t="shared" si="8"/>
        <v/>
      </c>
      <c r="C1661" s="23"/>
      <c r="D1661" s="44"/>
      <c r="E1661" s="23"/>
      <c r="F1661" s="45"/>
      <c r="G1661" s="23"/>
      <c r="H1661" s="23"/>
      <c r="I1661" s="23"/>
      <c r="J1661" s="25"/>
      <c r="K1661" s="23"/>
      <c r="L1661" s="51"/>
      <c r="M1661" s="23"/>
      <c r="N1661" s="26"/>
      <c r="O1661" s="26"/>
      <c r="P1661" s="26"/>
      <c r="Q1661" s="26"/>
      <c r="R1661" s="26"/>
      <c r="S1661" s="26"/>
      <c r="T1661" s="26"/>
      <c r="U1661" s="26"/>
      <c r="V1661" s="26"/>
      <c r="W1661" s="27"/>
    </row>
    <row r="1662" spans="1:23" ht="15.75" customHeight="1" x14ac:dyDescent="0.25">
      <c r="A1662" s="23"/>
      <c r="B1662" s="23" t="str">
        <f t="shared" si="8"/>
        <v/>
      </c>
      <c r="C1662" s="23"/>
      <c r="D1662" s="44"/>
      <c r="E1662" s="23"/>
      <c r="F1662" s="45"/>
      <c r="G1662" s="23"/>
      <c r="H1662" s="23"/>
      <c r="I1662" s="23"/>
      <c r="J1662" s="25"/>
      <c r="K1662" s="23"/>
      <c r="L1662" s="51"/>
      <c r="M1662" s="23"/>
      <c r="N1662" s="26"/>
      <c r="O1662" s="26"/>
      <c r="P1662" s="26"/>
      <c r="Q1662" s="26"/>
      <c r="R1662" s="26"/>
      <c r="S1662" s="26"/>
      <c r="T1662" s="26"/>
      <c r="U1662" s="26"/>
      <c r="V1662" s="26"/>
      <c r="W1662" s="27"/>
    </row>
    <row r="1663" spans="1:23" ht="15.75" customHeight="1" x14ac:dyDescent="0.25">
      <c r="A1663" s="23"/>
      <c r="B1663" s="23" t="str">
        <f t="shared" si="8"/>
        <v/>
      </c>
      <c r="C1663" s="23"/>
      <c r="D1663" s="44"/>
      <c r="E1663" s="23"/>
      <c r="F1663" s="45"/>
      <c r="G1663" s="23"/>
      <c r="H1663" s="23"/>
      <c r="I1663" s="23"/>
      <c r="J1663" s="25"/>
      <c r="K1663" s="23"/>
      <c r="L1663" s="51"/>
      <c r="M1663" s="23"/>
      <c r="N1663" s="26"/>
      <c r="O1663" s="26"/>
      <c r="P1663" s="26"/>
      <c r="Q1663" s="26"/>
      <c r="R1663" s="26"/>
      <c r="S1663" s="26"/>
      <c r="T1663" s="26"/>
      <c r="U1663" s="26"/>
      <c r="V1663" s="26"/>
      <c r="W1663" s="27"/>
    </row>
    <row r="1664" spans="1:23" ht="15.75" customHeight="1" x14ac:dyDescent="0.25">
      <c r="A1664" s="23"/>
      <c r="B1664" s="23" t="str">
        <f t="shared" si="8"/>
        <v/>
      </c>
      <c r="C1664" s="23"/>
      <c r="D1664" s="44"/>
      <c r="E1664" s="23"/>
      <c r="F1664" s="45"/>
      <c r="G1664" s="23"/>
      <c r="H1664" s="23"/>
      <c r="I1664" s="23"/>
      <c r="J1664" s="25"/>
      <c r="K1664" s="23"/>
      <c r="L1664" s="51"/>
      <c r="M1664" s="23"/>
      <c r="N1664" s="26"/>
      <c r="O1664" s="26"/>
      <c r="P1664" s="26"/>
      <c r="Q1664" s="26"/>
      <c r="R1664" s="26"/>
      <c r="S1664" s="26"/>
      <c r="T1664" s="26"/>
      <c r="U1664" s="26"/>
      <c r="V1664" s="26"/>
      <c r="W1664" s="27"/>
    </row>
    <row r="1665" spans="1:23" ht="15.75" customHeight="1" x14ac:dyDescent="0.25">
      <c r="A1665" s="23"/>
      <c r="B1665" s="23" t="str">
        <f t="shared" si="8"/>
        <v/>
      </c>
      <c r="C1665" s="23"/>
      <c r="D1665" s="44"/>
      <c r="E1665" s="23"/>
      <c r="F1665" s="45"/>
      <c r="G1665" s="23"/>
      <c r="H1665" s="23"/>
      <c r="I1665" s="23"/>
      <c r="J1665" s="25"/>
      <c r="K1665" s="23"/>
      <c r="L1665" s="51"/>
      <c r="M1665" s="23"/>
      <c r="N1665" s="26"/>
      <c r="O1665" s="26"/>
      <c r="P1665" s="26"/>
      <c r="Q1665" s="26"/>
      <c r="R1665" s="26"/>
      <c r="S1665" s="26"/>
      <c r="T1665" s="26"/>
      <c r="U1665" s="26"/>
      <c r="V1665" s="26"/>
      <c r="W1665" s="27"/>
    </row>
    <row r="1666" spans="1:23" ht="15.75" customHeight="1" x14ac:dyDescent="0.25">
      <c r="A1666" s="23"/>
      <c r="B1666" s="23" t="str">
        <f t="shared" si="8"/>
        <v/>
      </c>
      <c r="C1666" s="23"/>
      <c r="D1666" s="44"/>
      <c r="E1666" s="23"/>
      <c r="F1666" s="45"/>
      <c r="G1666" s="23"/>
      <c r="H1666" s="23"/>
      <c r="I1666" s="23"/>
      <c r="J1666" s="25"/>
      <c r="K1666" s="23"/>
      <c r="L1666" s="51"/>
      <c r="M1666" s="23"/>
      <c r="N1666" s="26"/>
      <c r="O1666" s="26"/>
      <c r="P1666" s="26"/>
      <c r="Q1666" s="26"/>
      <c r="R1666" s="26"/>
      <c r="S1666" s="26"/>
      <c r="T1666" s="26"/>
      <c r="U1666" s="26"/>
      <c r="V1666" s="26"/>
      <c r="W1666" s="27"/>
    </row>
    <row r="1667" spans="1:23" ht="15.75" customHeight="1" x14ac:dyDescent="0.25">
      <c r="A1667" s="23"/>
      <c r="B1667" s="23" t="str">
        <f t="shared" si="8"/>
        <v/>
      </c>
      <c r="C1667" s="23"/>
      <c r="D1667" s="44"/>
      <c r="E1667" s="23"/>
      <c r="F1667" s="45"/>
      <c r="G1667" s="23"/>
      <c r="H1667" s="23"/>
      <c r="I1667" s="23"/>
      <c r="J1667" s="25"/>
      <c r="K1667" s="23"/>
      <c r="L1667" s="51"/>
      <c r="M1667" s="23"/>
      <c r="N1667" s="26"/>
      <c r="O1667" s="26"/>
      <c r="P1667" s="26"/>
      <c r="Q1667" s="26"/>
      <c r="R1667" s="26"/>
      <c r="S1667" s="26"/>
      <c r="T1667" s="26"/>
      <c r="U1667" s="26"/>
      <c r="V1667" s="26"/>
      <c r="W1667" s="27"/>
    </row>
    <row r="1668" spans="1:23" ht="15.75" customHeight="1" x14ac:dyDescent="0.25">
      <c r="A1668" s="23"/>
      <c r="B1668" s="23" t="str">
        <f t="shared" si="8"/>
        <v/>
      </c>
      <c r="C1668" s="23"/>
      <c r="D1668" s="44"/>
      <c r="E1668" s="23"/>
      <c r="F1668" s="45"/>
      <c r="G1668" s="23"/>
      <c r="H1668" s="23"/>
      <c r="I1668" s="23"/>
      <c r="J1668" s="25"/>
      <c r="K1668" s="23"/>
      <c r="L1668" s="51"/>
      <c r="M1668" s="23"/>
      <c r="N1668" s="26"/>
      <c r="O1668" s="26"/>
      <c r="P1668" s="26"/>
      <c r="Q1668" s="26"/>
      <c r="R1668" s="26"/>
      <c r="S1668" s="26"/>
      <c r="T1668" s="26"/>
      <c r="U1668" s="26"/>
      <c r="V1668" s="26"/>
      <c r="W1668" s="27"/>
    </row>
    <row r="1669" spans="1:23" ht="15.75" customHeight="1" x14ac:dyDescent="0.25">
      <c r="A1669" s="23"/>
      <c r="B1669" s="23" t="str">
        <f t="shared" si="8"/>
        <v/>
      </c>
      <c r="C1669" s="23"/>
      <c r="D1669" s="44"/>
      <c r="E1669" s="23"/>
      <c r="F1669" s="45"/>
      <c r="G1669" s="23"/>
      <c r="H1669" s="23"/>
      <c r="I1669" s="23"/>
      <c r="J1669" s="25"/>
      <c r="K1669" s="23"/>
      <c r="L1669" s="51"/>
      <c r="M1669" s="23"/>
      <c r="N1669" s="26"/>
      <c r="O1669" s="26"/>
      <c r="P1669" s="26"/>
      <c r="Q1669" s="26"/>
      <c r="R1669" s="26"/>
      <c r="S1669" s="26"/>
      <c r="T1669" s="26"/>
      <c r="U1669" s="26"/>
      <c r="V1669" s="26"/>
      <c r="W1669" s="27"/>
    </row>
    <row r="1670" spans="1:23" ht="15.75" customHeight="1" x14ac:dyDescent="0.25">
      <c r="A1670" s="23"/>
      <c r="B1670" s="23" t="str">
        <f t="shared" si="8"/>
        <v/>
      </c>
      <c r="C1670" s="23"/>
      <c r="D1670" s="44"/>
      <c r="E1670" s="23"/>
      <c r="F1670" s="45"/>
      <c r="G1670" s="23"/>
      <c r="H1670" s="23"/>
      <c r="I1670" s="23"/>
      <c r="J1670" s="25"/>
      <c r="K1670" s="23"/>
      <c r="L1670" s="51"/>
      <c r="M1670" s="23"/>
      <c r="N1670" s="26"/>
      <c r="O1670" s="26"/>
      <c r="P1670" s="26"/>
      <c r="Q1670" s="26"/>
      <c r="R1670" s="26"/>
      <c r="S1670" s="26"/>
      <c r="T1670" s="26"/>
      <c r="U1670" s="26"/>
      <c r="V1670" s="26"/>
      <c r="W1670" s="27"/>
    </row>
    <row r="1671" spans="1:23" ht="15.75" customHeight="1" x14ac:dyDescent="0.25">
      <c r="A1671" s="23"/>
      <c r="B1671" s="23" t="str">
        <f t="shared" si="8"/>
        <v/>
      </c>
      <c r="C1671" s="23"/>
      <c r="D1671" s="44"/>
      <c r="E1671" s="23"/>
      <c r="F1671" s="45"/>
      <c r="G1671" s="23"/>
      <c r="H1671" s="23"/>
      <c r="I1671" s="23"/>
      <c r="J1671" s="25"/>
      <c r="K1671" s="23"/>
      <c r="L1671" s="51"/>
      <c r="M1671" s="23"/>
      <c r="N1671" s="26"/>
      <c r="O1671" s="26"/>
      <c r="P1671" s="26"/>
      <c r="Q1671" s="26"/>
      <c r="R1671" s="26"/>
      <c r="S1671" s="26"/>
      <c r="T1671" s="26"/>
      <c r="U1671" s="26"/>
      <c r="V1671" s="26"/>
      <c r="W1671" s="27"/>
    </row>
    <row r="1672" spans="1:23" ht="15.75" customHeight="1" x14ac:dyDescent="0.25">
      <c r="A1672" s="23"/>
      <c r="B1672" s="23" t="str">
        <f t="shared" si="8"/>
        <v/>
      </c>
      <c r="C1672" s="23"/>
      <c r="D1672" s="44"/>
      <c r="E1672" s="23"/>
      <c r="F1672" s="45"/>
      <c r="G1672" s="23"/>
      <c r="H1672" s="23"/>
      <c r="I1672" s="23"/>
      <c r="J1672" s="25"/>
      <c r="K1672" s="23"/>
      <c r="L1672" s="51"/>
      <c r="M1672" s="23"/>
      <c r="N1672" s="26"/>
      <c r="O1672" s="26"/>
      <c r="P1672" s="26"/>
      <c r="Q1672" s="26"/>
      <c r="R1672" s="26"/>
      <c r="S1672" s="26"/>
      <c r="T1672" s="26"/>
      <c r="U1672" s="26"/>
      <c r="V1672" s="26"/>
      <c r="W1672" s="27"/>
    </row>
    <row r="1673" spans="1:23" ht="15.75" customHeight="1" x14ac:dyDescent="0.25">
      <c r="A1673" s="23"/>
      <c r="B1673" s="23" t="str">
        <f t="shared" si="8"/>
        <v/>
      </c>
      <c r="C1673" s="23"/>
      <c r="D1673" s="44"/>
      <c r="E1673" s="23"/>
      <c r="F1673" s="45"/>
      <c r="G1673" s="23"/>
      <c r="H1673" s="23"/>
      <c r="I1673" s="23"/>
      <c r="J1673" s="25"/>
      <c r="K1673" s="23"/>
      <c r="L1673" s="51"/>
      <c r="M1673" s="23"/>
      <c r="N1673" s="26"/>
      <c r="O1673" s="26"/>
      <c r="P1673" s="26"/>
      <c r="Q1673" s="26"/>
      <c r="R1673" s="26"/>
      <c r="S1673" s="26"/>
      <c r="T1673" s="26"/>
      <c r="U1673" s="26"/>
      <c r="V1673" s="26"/>
      <c r="W1673" s="27"/>
    </row>
    <row r="1674" spans="1:23" ht="15.75" customHeight="1" x14ac:dyDescent="0.25">
      <c r="A1674" s="23"/>
      <c r="B1674" s="23" t="str">
        <f t="shared" si="8"/>
        <v/>
      </c>
      <c r="C1674" s="23"/>
      <c r="D1674" s="44"/>
      <c r="E1674" s="23"/>
      <c r="F1674" s="45"/>
      <c r="G1674" s="23"/>
      <c r="H1674" s="23"/>
      <c r="I1674" s="23"/>
      <c r="J1674" s="25"/>
      <c r="K1674" s="23"/>
      <c r="L1674" s="51"/>
      <c r="M1674" s="23"/>
      <c r="N1674" s="26"/>
      <c r="O1674" s="26"/>
      <c r="P1674" s="26"/>
      <c r="Q1674" s="26"/>
      <c r="R1674" s="26"/>
      <c r="S1674" s="26"/>
      <c r="T1674" s="26"/>
      <c r="U1674" s="26"/>
      <c r="V1674" s="26"/>
      <c r="W1674" s="27"/>
    </row>
    <row r="1675" spans="1:23" ht="15.75" customHeight="1" x14ac:dyDescent="0.25">
      <c r="A1675" s="23"/>
      <c r="B1675" s="23" t="str">
        <f t="shared" si="8"/>
        <v/>
      </c>
      <c r="C1675" s="23"/>
      <c r="D1675" s="44"/>
      <c r="E1675" s="23"/>
      <c r="F1675" s="45"/>
      <c r="G1675" s="23"/>
      <c r="H1675" s="23"/>
      <c r="I1675" s="23"/>
      <c r="J1675" s="25"/>
      <c r="K1675" s="23"/>
      <c r="L1675" s="51"/>
      <c r="M1675" s="23"/>
      <c r="N1675" s="26"/>
      <c r="O1675" s="26"/>
      <c r="P1675" s="26"/>
      <c r="Q1675" s="26"/>
      <c r="R1675" s="26"/>
      <c r="S1675" s="26"/>
      <c r="T1675" s="26"/>
      <c r="U1675" s="26"/>
      <c r="V1675" s="26"/>
      <c r="W1675" s="27"/>
    </row>
    <row r="1676" spans="1:23" ht="15.75" customHeight="1" x14ac:dyDescent="0.25">
      <c r="A1676" s="23"/>
      <c r="B1676" s="23" t="str">
        <f t="shared" si="8"/>
        <v/>
      </c>
      <c r="C1676" s="23"/>
      <c r="D1676" s="44"/>
      <c r="E1676" s="23"/>
      <c r="F1676" s="45"/>
      <c r="G1676" s="23"/>
      <c r="H1676" s="23"/>
      <c r="I1676" s="23"/>
      <c r="J1676" s="25"/>
      <c r="K1676" s="23"/>
      <c r="L1676" s="51"/>
      <c r="M1676" s="23"/>
      <c r="N1676" s="26"/>
      <c r="O1676" s="26"/>
      <c r="P1676" s="26"/>
      <c r="Q1676" s="26"/>
      <c r="R1676" s="26"/>
      <c r="S1676" s="26"/>
      <c r="T1676" s="26"/>
      <c r="U1676" s="26"/>
      <c r="V1676" s="26"/>
      <c r="W1676" s="27"/>
    </row>
    <row r="1677" spans="1:23" ht="15.75" customHeight="1" x14ac:dyDescent="0.25">
      <c r="A1677" s="23"/>
      <c r="B1677" s="23" t="str">
        <f t="shared" si="8"/>
        <v/>
      </c>
      <c r="C1677" s="23"/>
      <c r="D1677" s="44"/>
      <c r="E1677" s="23"/>
      <c r="F1677" s="45"/>
      <c r="G1677" s="23"/>
      <c r="H1677" s="23"/>
      <c r="I1677" s="23"/>
      <c r="J1677" s="25"/>
      <c r="K1677" s="23"/>
      <c r="L1677" s="51"/>
      <c r="M1677" s="23"/>
      <c r="N1677" s="26"/>
      <c r="O1677" s="26"/>
      <c r="P1677" s="26"/>
      <c r="Q1677" s="26"/>
      <c r="R1677" s="26"/>
      <c r="S1677" s="26"/>
      <c r="T1677" s="26"/>
      <c r="U1677" s="26"/>
      <c r="V1677" s="26"/>
      <c r="W1677" s="27"/>
    </row>
    <row r="1678" spans="1:23" ht="15.75" customHeight="1" x14ac:dyDescent="0.25">
      <c r="A1678" s="23"/>
      <c r="B1678" s="23" t="str">
        <f t="shared" si="8"/>
        <v/>
      </c>
      <c r="C1678" s="23"/>
      <c r="D1678" s="44"/>
      <c r="E1678" s="23"/>
      <c r="F1678" s="45"/>
      <c r="G1678" s="23"/>
      <c r="H1678" s="23"/>
      <c r="I1678" s="23"/>
      <c r="J1678" s="25"/>
      <c r="K1678" s="23"/>
      <c r="L1678" s="51"/>
      <c r="M1678" s="23"/>
      <c r="N1678" s="26"/>
      <c r="O1678" s="26"/>
      <c r="P1678" s="26"/>
      <c r="Q1678" s="26"/>
      <c r="R1678" s="26"/>
      <c r="S1678" s="26"/>
      <c r="T1678" s="26"/>
      <c r="U1678" s="26"/>
      <c r="V1678" s="26"/>
      <c r="W1678" s="27"/>
    </row>
    <row r="1679" spans="1:23" ht="15.75" customHeight="1" x14ac:dyDescent="0.25">
      <c r="A1679" s="23"/>
      <c r="B1679" s="23" t="str">
        <f t="shared" si="8"/>
        <v/>
      </c>
      <c r="C1679" s="23"/>
      <c r="D1679" s="44"/>
      <c r="E1679" s="23"/>
      <c r="F1679" s="45"/>
      <c r="G1679" s="23"/>
      <c r="H1679" s="23"/>
      <c r="I1679" s="23"/>
      <c r="J1679" s="25"/>
      <c r="K1679" s="23"/>
      <c r="L1679" s="51"/>
      <c r="M1679" s="23"/>
      <c r="N1679" s="26"/>
      <c r="O1679" s="26"/>
      <c r="P1679" s="26"/>
      <c r="Q1679" s="26"/>
      <c r="R1679" s="26"/>
      <c r="S1679" s="26"/>
      <c r="T1679" s="26"/>
      <c r="U1679" s="26"/>
      <c r="V1679" s="26"/>
      <c r="W1679" s="27"/>
    </row>
    <row r="1680" spans="1:23" ht="15.75" customHeight="1" x14ac:dyDescent="0.25">
      <c r="A1680" s="23"/>
      <c r="B1680" s="23" t="str">
        <f t="shared" si="8"/>
        <v/>
      </c>
      <c r="C1680" s="23"/>
      <c r="D1680" s="44"/>
      <c r="E1680" s="23"/>
      <c r="F1680" s="45"/>
      <c r="G1680" s="23"/>
      <c r="H1680" s="23"/>
      <c r="I1680" s="23"/>
      <c r="J1680" s="25"/>
      <c r="K1680" s="23"/>
      <c r="L1680" s="51"/>
      <c r="M1680" s="23"/>
      <c r="N1680" s="26"/>
      <c r="O1680" s="26"/>
      <c r="P1680" s="26"/>
      <c r="Q1680" s="26"/>
      <c r="R1680" s="26"/>
      <c r="S1680" s="26"/>
      <c r="T1680" s="26"/>
      <c r="U1680" s="26"/>
      <c r="V1680" s="26"/>
      <c r="W1680" s="27"/>
    </row>
    <row r="1681" spans="1:23" ht="15.75" customHeight="1" x14ac:dyDescent="0.25">
      <c r="A1681" s="23"/>
      <c r="B1681" s="23" t="str">
        <f t="shared" si="8"/>
        <v/>
      </c>
      <c r="C1681" s="23"/>
      <c r="D1681" s="44"/>
      <c r="E1681" s="23"/>
      <c r="F1681" s="45"/>
      <c r="G1681" s="23"/>
      <c r="H1681" s="23"/>
      <c r="I1681" s="23"/>
      <c r="J1681" s="25"/>
      <c r="K1681" s="23"/>
      <c r="L1681" s="51"/>
      <c r="M1681" s="23"/>
      <c r="N1681" s="26"/>
      <c r="O1681" s="26"/>
      <c r="P1681" s="26"/>
      <c r="Q1681" s="26"/>
      <c r="R1681" s="26"/>
      <c r="S1681" s="26"/>
      <c r="T1681" s="26"/>
      <c r="U1681" s="26"/>
      <c r="V1681" s="26"/>
      <c r="W1681" s="27"/>
    </row>
    <row r="1682" spans="1:23" ht="15.75" customHeight="1" x14ac:dyDescent="0.25">
      <c r="A1682" s="23"/>
      <c r="B1682" s="23" t="str">
        <f t="shared" si="8"/>
        <v/>
      </c>
      <c r="C1682" s="23"/>
      <c r="D1682" s="44"/>
      <c r="E1682" s="23"/>
      <c r="F1682" s="45"/>
      <c r="G1682" s="23"/>
      <c r="H1682" s="23"/>
      <c r="I1682" s="23"/>
      <c r="J1682" s="25"/>
      <c r="K1682" s="23"/>
      <c r="L1682" s="51"/>
      <c r="M1682" s="23"/>
      <c r="N1682" s="26"/>
      <c r="O1682" s="26"/>
      <c r="P1682" s="26"/>
      <c r="Q1682" s="26"/>
      <c r="R1682" s="26"/>
      <c r="S1682" s="26"/>
      <c r="T1682" s="26"/>
      <c r="U1682" s="26"/>
      <c r="V1682" s="26"/>
      <c r="W1682" s="27"/>
    </row>
    <row r="1683" spans="1:23" ht="15.75" customHeight="1" x14ac:dyDescent="0.25">
      <c r="A1683" s="23"/>
      <c r="B1683" s="23" t="str">
        <f t="shared" si="8"/>
        <v/>
      </c>
      <c r="C1683" s="23"/>
      <c r="D1683" s="44"/>
      <c r="E1683" s="23"/>
      <c r="F1683" s="45"/>
      <c r="G1683" s="23"/>
      <c r="H1683" s="23"/>
      <c r="I1683" s="23"/>
      <c r="J1683" s="25"/>
      <c r="K1683" s="23"/>
      <c r="L1683" s="51"/>
      <c r="M1683" s="23"/>
      <c r="N1683" s="26"/>
      <c r="O1683" s="26"/>
      <c r="P1683" s="26"/>
      <c r="Q1683" s="26"/>
      <c r="R1683" s="26"/>
      <c r="S1683" s="26"/>
      <c r="T1683" s="26"/>
      <c r="U1683" s="26"/>
      <c r="V1683" s="26"/>
      <c r="W1683" s="27"/>
    </row>
    <row r="1684" spans="1:23" ht="15.75" customHeight="1" x14ac:dyDescent="0.25">
      <c r="A1684" s="23"/>
      <c r="B1684" s="23" t="str">
        <f t="shared" si="8"/>
        <v/>
      </c>
      <c r="C1684" s="23"/>
      <c r="D1684" s="44"/>
      <c r="E1684" s="23"/>
      <c r="F1684" s="45"/>
      <c r="G1684" s="23"/>
      <c r="H1684" s="23"/>
      <c r="I1684" s="23"/>
      <c r="J1684" s="25"/>
      <c r="K1684" s="23"/>
      <c r="L1684" s="51"/>
      <c r="M1684" s="23"/>
      <c r="N1684" s="26"/>
      <c r="O1684" s="26"/>
      <c r="P1684" s="26"/>
      <c r="Q1684" s="26"/>
      <c r="R1684" s="26"/>
      <c r="S1684" s="26"/>
      <c r="T1684" s="26"/>
      <c r="U1684" s="26"/>
      <c r="V1684" s="26"/>
      <c r="W1684" s="27"/>
    </row>
    <row r="1685" spans="1:23" ht="15.75" customHeight="1" x14ac:dyDescent="0.25">
      <c r="A1685" s="23"/>
      <c r="B1685" s="23" t="str">
        <f t="shared" si="8"/>
        <v/>
      </c>
      <c r="C1685" s="23"/>
      <c r="D1685" s="44"/>
      <c r="E1685" s="23"/>
      <c r="F1685" s="45"/>
      <c r="G1685" s="23"/>
      <c r="H1685" s="23"/>
      <c r="I1685" s="23"/>
      <c r="J1685" s="25"/>
      <c r="K1685" s="23"/>
      <c r="L1685" s="51"/>
      <c r="M1685" s="23"/>
      <c r="N1685" s="26"/>
      <c r="O1685" s="26"/>
      <c r="P1685" s="26"/>
      <c r="Q1685" s="26"/>
      <c r="R1685" s="26"/>
      <c r="S1685" s="26"/>
      <c r="T1685" s="26"/>
      <c r="U1685" s="26"/>
      <c r="V1685" s="26"/>
      <c r="W1685" s="27"/>
    </row>
    <row r="1686" spans="1:23" ht="15.75" customHeight="1" x14ac:dyDescent="0.25">
      <c r="A1686" s="23"/>
      <c r="B1686" s="23" t="str">
        <f t="shared" si="8"/>
        <v/>
      </c>
      <c r="C1686" s="23"/>
      <c r="D1686" s="44"/>
      <c r="E1686" s="23"/>
      <c r="F1686" s="45"/>
      <c r="G1686" s="23"/>
      <c r="H1686" s="23"/>
      <c r="I1686" s="23"/>
      <c r="J1686" s="25"/>
      <c r="K1686" s="23"/>
      <c r="L1686" s="51"/>
      <c r="M1686" s="23"/>
      <c r="N1686" s="26"/>
      <c r="O1686" s="26"/>
      <c r="P1686" s="26"/>
      <c r="Q1686" s="26"/>
      <c r="R1686" s="26"/>
      <c r="S1686" s="26"/>
      <c r="T1686" s="26"/>
      <c r="U1686" s="26"/>
      <c r="V1686" s="26"/>
      <c r="W1686" s="27"/>
    </row>
    <row r="1687" spans="1:23" ht="15.75" customHeight="1" x14ac:dyDescent="0.25">
      <c r="A1687" s="23"/>
      <c r="B1687" s="23" t="str">
        <f t="shared" si="8"/>
        <v/>
      </c>
      <c r="C1687" s="23"/>
      <c r="D1687" s="44"/>
      <c r="E1687" s="23"/>
      <c r="F1687" s="45"/>
      <c r="G1687" s="23"/>
      <c r="H1687" s="23"/>
      <c r="I1687" s="23"/>
      <c r="J1687" s="25"/>
      <c r="K1687" s="23"/>
      <c r="L1687" s="51"/>
      <c r="M1687" s="23"/>
      <c r="N1687" s="26"/>
      <c r="O1687" s="26"/>
      <c r="P1687" s="26"/>
      <c r="Q1687" s="26"/>
      <c r="R1687" s="26"/>
      <c r="S1687" s="26"/>
      <c r="T1687" s="26"/>
      <c r="U1687" s="26"/>
      <c r="V1687" s="26"/>
      <c r="W1687" s="27"/>
    </row>
    <row r="1688" spans="1:23" ht="15.75" customHeight="1" x14ac:dyDescent="0.25">
      <c r="A1688" s="23"/>
      <c r="B1688" s="23" t="str">
        <f t="shared" si="8"/>
        <v/>
      </c>
      <c r="C1688" s="23"/>
      <c r="D1688" s="44"/>
      <c r="E1688" s="23"/>
      <c r="F1688" s="45"/>
      <c r="G1688" s="23"/>
      <c r="H1688" s="23"/>
      <c r="I1688" s="23"/>
      <c r="J1688" s="25"/>
      <c r="K1688" s="23"/>
      <c r="L1688" s="51"/>
      <c r="M1688" s="23"/>
      <c r="N1688" s="26"/>
      <c r="O1688" s="26"/>
      <c r="P1688" s="26"/>
      <c r="Q1688" s="26"/>
      <c r="R1688" s="26"/>
      <c r="S1688" s="26"/>
      <c r="T1688" s="26"/>
      <c r="U1688" s="26"/>
      <c r="V1688" s="26"/>
      <c r="W1688" s="27"/>
    </row>
    <row r="1689" spans="1:23" ht="15.75" customHeight="1" x14ac:dyDescent="0.25">
      <c r="A1689" s="23"/>
      <c r="B1689" s="23" t="str">
        <f t="shared" si="8"/>
        <v/>
      </c>
      <c r="C1689" s="23"/>
      <c r="D1689" s="44"/>
      <c r="E1689" s="23"/>
      <c r="F1689" s="45"/>
      <c r="G1689" s="23"/>
      <c r="H1689" s="23"/>
      <c r="I1689" s="23"/>
      <c r="J1689" s="25"/>
      <c r="K1689" s="23"/>
      <c r="L1689" s="51"/>
      <c r="M1689" s="23"/>
      <c r="N1689" s="26"/>
      <c r="O1689" s="26"/>
      <c r="P1689" s="26"/>
      <c r="Q1689" s="26"/>
      <c r="R1689" s="26"/>
      <c r="S1689" s="26"/>
      <c r="T1689" s="26"/>
      <c r="U1689" s="26"/>
      <c r="V1689" s="26"/>
      <c r="W1689" s="27"/>
    </row>
    <row r="1690" spans="1:23" ht="15.75" customHeight="1" x14ac:dyDescent="0.25">
      <c r="A1690" s="23"/>
      <c r="B1690" s="23" t="str">
        <f t="shared" si="8"/>
        <v/>
      </c>
      <c r="C1690" s="23"/>
      <c r="D1690" s="44"/>
      <c r="E1690" s="23"/>
      <c r="F1690" s="45"/>
      <c r="G1690" s="23"/>
      <c r="H1690" s="23"/>
      <c r="I1690" s="23"/>
      <c r="J1690" s="25"/>
      <c r="K1690" s="23"/>
      <c r="L1690" s="51"/>
      <c r="M1690" s="23"/>
      <c r="N1690" s="26"/>
      <c r="O1690" s="26"/>
      <c r="P1690" s="26"/>
      <c r="Q1690" s="26"/>
      <c r="R1690" s="26"/>
      <c r="S1690" s="26"/>
      <c r="T1690" s="26"/>
      <c r="U1690" s="26"/>
      <c r="V1690" s="26"/>
      <c r="W1690" s="27"/>
    </row>
    <row r="1691" spans="1:23" ht="15.75" customHeight="1" x14ac:dyDescent="0.25">
      <c r="A1691" s="23"/>
      <c r="B1691" s="23" t="str">
        <f t="shared" si="8"/>
        <v/>
      </c>
      <c r="C1691" s="23"/>
      <c r="D1691" s="44"/>
      <c r="E1691" s="23"/>
      <c r="F1691" s="45"/>
      <c r="G1691" s="23"/>
      <c r="H1691" s="23"/>
      <c r="I1691" s="23"/>
      <c r="J1691" s="25"/>
      <c r="K1691" s="23"/>
      <c r="L1691" s="51"/>
      <c r="M1691" s="23"/>
      <c r="N1691" s="26"/>
      <c r="O1691" s="26"/>
      <c r="P1691" s="26"/>
      <c r="Q1691" s="26"/>
      <c r="R1691" s="26"/>
      <c r="S1691" s="26"/>
      <c r="T1691" s="26"/>
      <c r="U1691" s="26"/>
      <c r="V1691" s="26"/>
      <c r="W1691" s="27"/>
    </row>
    <row r="1692" spans="1:23" ht="15.75" customHeight="1" x14ac:dyDescent="0.25">
      <c r="A1692" s="23"/>
      <c r="B1692" s="23" t="str">
        <f t="shared" si="8"/>
        <v/>
      </c>
      <c r="C1692" s="23"/>
      <c r="D1692" s="44"/>
      <c r="E1692" s="23"/>
      <c r="F1692" s="45"/>
      <c r="G1692" s="23"/>
      <c r="H1692" s="23"/>
      <c r="I1692" s="23"/>
      <c r="J1692" s="25"/>
      <c r="K1692" s="23"/>
      <c r="L1692" s="51"/>
      <c r="M1692" s="23"/>
      <c r="N1692" s="26"/>
      <c r="O1692" s="26"/>
      <c r="P1692" s="26"/>
      <c r="Q1692" s="26"/>
      <c r="R1692" s="26"/>
      <c r="S1692" s="26"/>
      <c r="T1692" s="26"/>
      <c r="U1692" s="26"/>
      <c r="V1692" s="26"/>
      <c r="W1692" s="27"/>
    </row>
    <row r="1693" spans="1:23" ht="15.75" customHeight="1" x14ac:dyDescent="0.25">
      <c r="A1693" s="23"/>
      <c r="B1693" s="23" t="str">
        <f t="shared" si="8"/>
        <v/>
      </c>
      <c r="C1693" s="23"/>
      <c r="D1693" s="44"/>
      <c r="E1693" s="23"/>
      <c r="F1693" s="45"/>
      <c r="G1693" s="23"/>
      <c r="H1693" s="23"/>
      <c r="I1693" s="23"/>
      <c r="J1693" s="25"/>
      <c r="K1693" s="23"/>
      <c r="L1693" s="51"/>
      <c r="M1693" s="23"/>
      <c r="N1693" s="26"/>
      <c r="O1693" s="26"/>
      <c r="P1693" s="26"/>
      <c r="Q1693" s="26"/>
      <c r="R1693" s="26"/>
      <c r="S1693" s="26"/>
      <c r="T1693" s="26"/>
      <c r="U1693" s="26"/>
      <c r="V1693" s="26"/>
      <c r="W1693" s="27"/>
    </row>
    <row r="1694" spans="1:23" ht="15.75" customHeight="1" x14ac:dyDescent="0.25">
      <c r="A1694" s="23"/>
      <c r="B1694" s="23" t="str">
        <f t="shared" si="8"/>
        <v/>
      </c>
      <c r="C1694" s="23"/>
      <c r="D1694" s="44"/>
      <c r="E1694" s="23"/>
      <c r="F1694" s="45"/>
      <c r="G1694" s="23"/>
      <c r="H1694" s="23"/>
      <c r="I1694" s="23"/>
      <c r="J1694" s="25"/>
      <c r="K1694" s="23"/>
      <c r="L1694" s="51"/>
      <c r="M1694" s="23"/>
      <c r="N1694" s="26"/>
      <c r="O1694" s="26"/>
      <c r="P1694" s="26"/>
      <c r="Q1694" s="26"/>
      <c r="R1694" s="26"/>
      <c r="S1694" s="26"/>
      <c r="T1694" s="26"/>
      <c r="U1694" s="26"/>
      <c r="V1694" s="26"/>
      <c r="W1694" s="27"/>
    </row>
    <row r="1695" spans="1:23" ht="15.75" customHeight="1" x14ac:dyDescent="0.25">
      <c r="A1695" s="23"/>
      <c r="B1695" s="23" t="str">
        <f t="shared" si="8"/>
        <v/>
      </c>
      <c r="C1695" s="23"/>
      <c r="D1695" s="44"/>
      <c r="E1695" s="23"/>
      <c r="F1695" s="45"/>
      <c r="G1695" s="23"/>
      <c r="H1695" s="23"/>
      <c r="I1695" s="23"/>
      <c r="J1695" s="25"/>
      <c r="K1695" s="23"/>
      <c r="L1695" s="51"/>
      <c r="M1695" s="23"/>
      <c r="N1695" s="26"/>
      <c r="O1695" s="26"/>
      <c r="P1695" s="26"/>
      <c r="Q1695" s="26"/>
      <c r="R1695" s="26"/>
      <c r="S1695" s="26"/>
      <c r="T1695" s="26"/>
      <c r="U1695" s="26"/>
      <c r="V1695" s="26"/>
      <c r="W1695" s="27"/>
    </row>
    <row r="1696" spans="1:23" ht="15.75" customHeight="1" x14ac:dyDescent="0.25">
      <c r="A1696" s="23"/>
      <c r="B1696" s="23" t="str">
        <f t="shared" si="8"/>
        <v/>
      </c>
      <c r="C1696" s="23"/>
      <c r="D1696" s="44"/>
      <c r="E1696" s="23"/>
      <c r="F1696" s="45"/>
      <c r="G1696" s="23"/>
      <c r="H1696" s="23"/>
      <c r="I1696" s="23"/>
      <c r="J1696" s="25"/>
      <c r="K1696" s="23"/>
      <c r="L1696" s="51"/>
      <c r="M1696" s="23"/>
      <c r="N1696" s="26"/>
      <c r="O1696" s="26"/>
      <c r="P1696" s="26"/>
      <c r="Q1696" s="26"/>
      <c r="R1696" s="26"/>
      <c r="S1696" s="26"/>
      <c r="T1696" s="26"/>
      <c r="U1696" s="26"/>
      <c r="V1696" s="26"/>
      <c r="W1696" s="27"/>
    </row>
    <row r="1697" spans="1:23" ht="15.75" customHeight="1" x14ac:dyDescent="0.25">
      <c r="A1697" s="23"/>
      <c r="B1697" s="23" t="str">
        <f t="shared" si="8"/>
        <v/>
      </c>
      <c r="C1697" s="23"/>
      <c r="D1697" s="44"/>
      <c r="E1697" s="23"/>
      <c r="F1697" s="45"/>
      <c r="G1697" s="23"/>
      <c r="H1697" s="23"/>
      <c r="I1697" s="23"/>
      <c r="J1697" s="25"/>
      <c r="K1697" s="23"/>
      <c r="L1697" s="51"/>
      <c r="M1697" s="23"/>
      <c r="N1697" s="26"/>
      <c r="O1697" s="26"/>
      <c r="P1697" s="26"/>
      <c r="Q1697" s="26"/>
      <c r="R1697" s="26"/>
      <c r="S1697" s="26"/>
      <c r="T1697" s="26"/>
      <c r="U1697" s="26"/>
      <c r="V1697" s="26"/>
      <c r="W1697" s="27"/>
    </row>
    <row r="1698" spans="1:23" ht="15.75" customHeight="1" x14ac:dyDescent="0.25">
      <c r="A1698" s="23"/>
      <c r="B1698" s="23" t="str">
        <f t="shared" si="8"/>
        <v/>
      </c>
      <c r="C1698" s="23"/>
      <c r="D1698" s="44"/>
      <c r="E1698" s="23"/>
      <c r="F1698" s="45"/>
      <c r="G1698" s="23"/>
      <c r="H1698" s="23"/>
      <c r="I1698" s="23"/>
      <c r="J1698" s="25"/>
      <c r="K1698" s="23"/>
      <c r="L1698" s="51"/>
      <c r="M1698" s="23"/>
      <c r="N1698" s="26"/>
      <c r="O1698" s="26"/>
      <c r="P1698" s="26"/>
      <c r="Q1698" s="26"/>
      <c r="R1698" s="26"/>
      <c r="S1698" s="26"/>
      <c r="T1698" s="26"/>
      <c r="U1698" s="26"/>
      <c r="V1698" s="26"/>
      <c r="W1698" s="27"/>
    </row>
    <row r="1699" spans="1:23" ht="15.75" customHeight="1" x14ac:dyDescent="0.25">
      <c r="A1699" s="23"/>
      <c r="B1699" s="23" t="str">
        <f t="shared" si="8"/>
        <v/>
      </c>
      <c r="C1699" s="23"/>
      <c r="D1699" s="44"/>
      <c r="E1699" s="23"/>
      <c r="F1699" s="45"/>
      <c r="G1699" s="23"/>
      <c r="H1699" s="23"/>
      <c r="I1699" s="23"/>
      <c r="J1699" s="25"/>
      <c r="K1699" s="23"/>
      <c r="L1699" s="51"/>
      <c r="M1699" s="23"/>
      <c r="N1699" s="26"/>
      <c r="O1699" s="26"/>
      <c r="P1699" s="26"/>
      <c r="Q1699" s="26"/>
      <c r="R1699" s="26"/>
      <c r="S1699" s="26"/>
      <c r="T1699" s="26"/>
      <c r="U1699" s="26"/>
      <c r="V1699" s="26"/>
      <c r="W1699" s="27"/>
    </row>
    <row r="1700" spans="1:23" ht="15.75" customHeight="1" x14ac:dyDescent="0.25">
      <c r="A1700" s="23"/>
      <c r="B1700" s="23" t="str">
        <f t="shared" si="8"/>
        <v/>
      </c>
      <c r="C1700" s="23"/>
      <c r="D1700" s="44"/>
      <c r="E1700" s="23"/>
      <c r="F1700" s="45"/>
      <c r="G1700" s="23"/>
      <c r="H1700" s="23"/>
      <c r="I1700" s="23"/>
      <c r="J1700" s="25"/>
      <c r="K1700" s="23"/>
      <c r="L1700" s="51"/>
      <c r="M1700" s="23"/>
      <c r="N1700" s="26"/>
      <c r="O1700" s="26"/>
      <c r="P1700" s="26"/>
      <c r="Q1700" s="26"/>
      <c r="R1700" s="26"/>
      <c r="S1700" s="26"/>
      <c r="T1700" s="26"/>
      <c r="U1700" s="26"/>
      <c r="V1700" s="26"/>
      <c r="W1700" s="27"/>
    </row>
    <row r="1701" spans="1:23" ht="15.75" customHeight="1" x14ac:dyDescent="0.25">
      <c r="A1701" s="23"/>
      <c r="B1701" s="23" t="str">
        <f t="shared" si="8"/>
        <v/>
      </c>
      <c r="C1701" s="23"/>
      <c r="D1701" s="44"/>
      <c r="E1701" s="23"/>
      <c r="F1701" s="45"/>
      <c r="G1701" s="23"/>
      <c r="H1701" s="23"/>
      <c r="I1701" s="23"/>
      <c r="J1701" s="25"/>
      <c r="K1701" s="23"/>
      <c r="L1701" s="51"/>
      <c r="M1701" s="23"/>
      <c r="N1701" s="26"/>
      <c r="O1701" s="26"/>
      <c r="P1701" s="26"/>
      <c r="Q1701" s="26"/>
      <c r="R1701" s="26"/>
      <c r="S1701" s="26"/>
      <c r="T1701" s="26"/>
      <c r="U1701" s="26"/>
      <c r="V1701" s="26"/>
      <c r="W1701" s="27"/>
    </row>
    <row r="1702" spans="1:23" ht="15.75" customHeight="1" x14ac:dyDescent="0.25">
      <c r="A1702" s="23"/>
      <c r="B1702" s="23" t="str">
        <f t="shared" si="8"/>
        <v/>
      </c>
      <c r="C1702" s="23"/>
      <c r="D1702" s="44"/>
      <c r="E1702" s="23"/>
      <c r="F1702" s="45"/>
      <c r="G1702" s="23"/>
      <c r="H1702" s="23"/>
      <c r="I1702" s="23"/>
      <c r="J1702" s="25"/>
      <c r="K1702" s="23"/>
      <c r="L1702" s="51"/>
      <c r="M1702" s="23"/>
      <c r="N1702" s="26"/>
      <c r="O1702" s="26"/>
      <c r="P1702" s="26"/>
      <c r="Q1702" s="26"/>
      <c r="R1702" s="26"/>
      <c r="S1702" s="26"/>
      <c r="T1702" s="26"/>
      <c r="U1702" s="26"/>
      <c r="V1702" s="26"/>
      <c r="W1702" s="27"/>
    </row>
    <row r="1703" spans="1:23" ht="15.75" customHeight="1" x14ac:dyDescent="0.25">
      <c r="A1703" s="23"/>
      <c r="B1703" s="23" t="str">
        <f t="shared" si="8"/>
        <v/>
      </c>
      <c r="C1703" s="23"/>
      <c r="D1703" s="44"/>
      <c r="E1703" s="23"/>
      <c r="F1703" s="45"/>
      <c r="G1703" s="23"/>
      <c r="H1703" s="23"/>
      <c r="I1703" s="23"/>
      <c r="J1703" s="25"/>
      <c r="K1703" s="23"/>
      <c r="L1703" s="51"/>
      <c r="M1703" s="23"/>
      <c r="N1703" s="26"/>
      <c r="O1703" s="26"/>
      <c r="P1703" s="26"/>
      <c r="Q1703" s="26"/>
      <c r="R1703" s="26"/>
      <c r="S1703" s="26"/>
      <c r="T1703" s="26"/>
      <c r="U1703" s="26"/>
      <c r="V1703" s="26"/>
      <c r="W1703" s="27"/>
    </row>
    <row r="1704" spans="1:23" ht="15.75" customHeight="1" x14ac:dyDescent="0.25">
      <c r="A1704" s="23"/>
      <c r="B1704" s="23" t="str">
        <f t="shared" si="8"/>
        <v/>
      </c>
      <c r="C1704" s="23"/>
      <c r="D1704" s="44"/>
      <c r="E1704" s="23"/>
      <c r="F1704" s="45"/>
      <c r="G1704" s="23"/>
      <c r="H1704" s="23"/>
      <c r="I1704" s="23"/>
      <c r="J1704" s="25"/>
      <c r="K1704" s="23"/>
      <c r="L1704" s="51"/>
      <c r="M1704" s="23"/>
      <c r="N1704" s="26"/>
      <c r="O1704" s="26"/>
      <c r="P1704" s="26"/>
      <c r="Q1704" s="26"/>
      <c r="R1704" s="26"/>
      <c r="S1704" s="26"/>
      <c r="T1704" s="26"/>
      <c r="U1704" s="26"/>
      <c r="V1704" s="26"/>
      <c r="W1704" s="27"/>
    </row>
    <row r="1705" spans="1:23" ht="15.75" customHeight="1" x14ac:dyDescent="0.25">
      <c r="A1705" s="23"/>
      <c r="B1705" s="23" t="str">
        <f t="shared" si="8"/>
        <v/>
      </c>
      <c r="C1705" s="23"/>
      <c r="D1705" s="44"/>
      <c r="E1705" s="23"/>
      <c r="F1705" s="45"/>
      <c r="G1705" s="23"/>
      <c r="H1705" s="23"/>
      <c r="I1705" s="23"/>
      <c r="J1705" s="25"/>
      <c r="K1705" s="23"/>
      <c r="L1705" s="51"/>
      <c r="M1705" s="23"/>
      <c r="N1705" s="26"/>
      <c r="O1705" s="26"/>
      <c r="P1705" s="26"/>
      <c r="Q1705" s="26"/>
      <c r="R1705" s="26"/>
      <c r="S1705" s="26"/>
      <c r="T1705" s="26"/>
      <c r="U1705" s="26"/>
      <c r="V1705" s="26"/>
      <c r="W1705" s="27"/>
    </row>
    <row r="1706" spans="1:23" ht="15.75" customHeight="1" x14ac:dyDescent="0.25">
      <c r="A1706" s="23"/>
      <c r="B1706" s="23" t="str">
        <f t="shared" si="8"/>
        <v/>
      </c>
      <c r="C1706" s="23"/>
      <c r="D1706" s="44"/>
      <c r="E1706" s="23"/>
      <c r="F1706" s="45"/>
      <c r="G1706" s="23"/>
      <c r="H1706" s="23"/>
      <c r="I1706" s="23"/>
      <c r="J1706" s="25"/>
      <c r="K1706" s="23"/>
      <c r="L1706" s="51"/>
      <c r="M1706" s="23"/>
      <c r="N1706" s="26"/>
      <c r="O1706" s="26"/>
      <c r="P1706" s="26"/>
      <c r="Q1706" s="26"/>
      <c r="R1706" s="26"/>
      <c r="S1706" s="26"/>
      <c r="T1706" s="26"/>
      <c r="U1706" s="26"/>
      <c r="V1706" s="26"/>
      <c r="W1706" s="27"/>
    </row>
    <row r="1707" spans="1:23" ht="15.75" customHeight="1" x14ac:dyDescent="0.25">
      <c r="A1707" s="23"/>
      <c r="B1707" s="23" t="str">
        <f t="shared" si="8"/>
        <v/>
      </c>
      <c r="C1707" s="23"/>
      <c r="D1707" s="44"/>
      <c r="E1707" s="23"/>
      <c r="F1707" s="45"/>
      <c r="G1707" s="23"/>
      <c r="H1707" s="23"/>
      <c r="I1707" s="23"/>
      <c r="J1707" s="25"/>
      <c r="K1707" s="23"/>
      <c r="L1707" s="51"/>
      <c r="M1707" s="23"/>
      <c r="N1707" s="26"/>
      <c r="O1707" s="26"/>
      <c r="P1707" s="26"/>
      <c r="Q1707" s="26"/>
      <c r="R1707" s="26"/>
      <c r="S1707" s="26"/>
      <c r="T1707" s="26"/>
      <c r="U1707" s="26"/>
      <c r="V1707" s="26"/>
      <c r="W1707" s="27"/>
    </row>
    <row r="1708" spans="1:23" ht="15.75" customHeight="1" x14ac:dyDescent="0.25">
      <c r="A1708" s="23"/>
      <c r="B1708" s="23" t="str">
        <f t="shared" si="8"/>
        <v/>
      </c>
      <c r="C1708" s="23"/>
      <c r="D1708" s="44"/>
      <c r="E1708" s="23"/>
      <c r="F1708" s="45"/>
      <c r="G1708" s="23"/>
      <c r="H1708" s="23"/>
      <c r="I1708" s="23"/>
      <c r="J1708" s="25"/>
      <c r="K1708" s="23"/>
      <c r="L1708" s="51"/>
      <c r="M1708" s="23"/>
      <c r="N1708" s="26"/>
      <c r="O1708" s="26"/>
      <c r="P1708" s="26"/>
      <c r="Q1708" s="26"/>
      <c r="R1708" s="26"/>
      <c r="S1708" s="26"/>
      <c r="T1708" s="26"/>
      <c r="U1708" s="26"/>
      <c r="V1708" s="26"/>
      <c r="W1708" s="27"/>
    </row>
    <row r="1709" spans="1:23" ht="15.75" customHeight="1" x14ac:dyDescent="0.25">
      <c r="A1709" s="23"/>
      <c r="B1709" s="23" t="str">
        <f t="shared" si="8"/>
        <v/>
      </c>
      <c r="C1709" s="23"/>
      <c r="D1709" s="44"/>
      <c r="E1709" s="23"/>
      <c r="F1709" s="45"/>
      <c r="G1709" s="23"/>
      <c r="H1709" s="23"/>
      <c r="I1709" s="23"/>
      <c r="J1709" s="25"/>
      <c r="K1709" s="23"/>
      <c r="L1709" s="51"/>
      <c r="M1709" s="23"/>
      <c r="N1709" s="26"/>
      <c r="O1709" s="26"/>
      <c r="P1709" s="26"/>
      <c r="Q1709" s="26"/>
      <c r="R1709" s="26"/>
      <c r="S1709" s="26"/>
      <c r="T1709" s="26"/>
      <c r="U1709" s="26"/>
      <c r="V1709" s="26"/>
      <c r="W1709" s="27"/>
    </row>
    <row r="1710" spans="1:23" ht="15.75" customHeight="1" x14ac:dyDescent="0.25">
      <c r="A1710" s="23"/>
      <c r="B1710" s="23" t="str">
        <f t="shared" si="8"/>
        <v/>
      </c>
      <c r="C1710" s="23"/>
      <c r="D1710" s="44"/>
      <c r="E1710" s="23"/>
      <c r="F1710" s="45"/>
      <c r="G1710" s="23"/>
      <c r="H1710" s="23"/>
      <c r="I1710" s="23"/>
      <c r="J1710" s="25"/>
      <c r="K1710" s="23"/>
      <c r="L1710" s="51"/>
      <c r="M1710" s="23"/>
      <c r="N1710" s="26"/>
      <c r="O1710" s="26"/>
      <c r="P1710" s="26"/>
      <c r="Q1710" s="26"/>
      <c r="R1710" s="26"/>
      <c r="S1710" s="26"/>
      <c r="T1710" s="26"/>
      <c r="U1710" s="26"/>
      <c r="V1710" s="26"/>
      <c r="W1710" s="27"/>
    </row>
    <row r="1711" spans="1:23" ht="15.75" customHeight="1" x14ac:dyDescent="0.25">
      <c r="A1711" s="23"/>
      <c r="B1711" s="23" t="str">
        <f t="shared" si="8"/>
        <v/>
      </c>
      <c r="C1711" s="23"/>
      <c r="D1711" s="44"/>
      <c r="E1711" s="23"/>
      <c r="F1711" s="45"/>
      <c r="G1711" s="23"/>
      <c r="H1711" s="23"/>
      <c r="I1711" s="23"/>
      <c r="J1711" s="25"/>
      <c r="K1711" s="23"/>
      <c r="L1711" s="51"/>
      <c r="M1711" s="23"/>
      <c r="N1711" s="26"/>
      <c r="O1711" s="26"/>
      <c r="P1711" s="26"/>
      <c r="Q1711" s="26"/>
      <c r="R1711" s="26"/>
      <c r="S1711" s="26"/>
      <c r="T1711" s="26"/>
      <c r="U1711" s="26"/>
      <c r="V1711" s="26"/>
      <c r="W1711" s="27"/>
    </row>
    <row r="1712" spans="1:23" ht="15.75" customHeight="1" x14ac:dyDescent="0.25">
      <c r="A1712" s="23"/>
      <c r="B1712" s="23" t="str">
        <f t="shared" si="8"/>
        <v/>
      </c>
      <c r="C1712" s="23"/>
      <c r="D1712" s="44"/>
      <c r="E1712" s="23"/>
      <c r="F1712" s="45"/>
      <c r="G1712" s="23"/>
      <c r="H1712" s="23"/>
      <c r="I1712" s="23"/>
      <c r="J1712" s="25"/>
      <c r="K1712" s="23"/>
      <c r="L1712" s="51"/>
      <c r="M1712" s="23"/>
      <c r="N1712" s="26"/>
      <c r="O1712" s="26"/>
      <c r="P1712" s="26"/>
      <c r="Q1712" s="26"/>
      <c r="R1712" s="26"/>
      <c r="S1712" s="26"/>
      <c r="T1712" s="26"/>
      <c r="U1712" s="26"/>
      <c r="V1712" s="26"/>
      <c r="W1712" s="27"/>
    </row>
    <row r="1713" spans="1:23" ht="15.75" customHeight="1" x14ac:dyDescent="0.25">
      <c r="A1713" s="23"/>
      <c r="B1713" s="23" t="str">
        <f t="shared" si="8"/>
        <v/>
      </c>
      <c r="C1713" s="23"/>
      <c r="D1713" s="44"/>
      <c r="E1713" s="23"/>
      <c r="F1713" s="45"/>
      <c r="G1713" s="23"/>
      <c r="H1713" s="23"/>
      <c r="I1713" s="23"/>
      <c r="J1713" s="25"/>
      <c r="K1713" s="23"/>
      <c r="L1713" s="51"/>
      <c r="M1713" s="23"/>
      <c r="N1713" s="26"/>
      <c r="O1713" s="26"/>
      <c r="P1713" s="26"/>
      <c r="Q1713" s="26"/>
      <c r="R1713" s="26"/>
      <c r="S1713" s="26"/>
      <c r="T1713" s="26"/>
      <c r="U1713" s="26"/>
      <c r="V1713" s="26"/>
      <c r="W1713" s="27"/>
    </row>
    <row r="1714" spans="1:23" ht="15.75" customHeight="1" x14ac:dyDescent="0.25">
      <c r="A1714" s="23"/>
      <c r="B1714" s="23" t="str">
        <f t="shared" si="8"/>
        <v/>
      </c>
      <c r="C1714" s="23"/>
      <c r="D1714" s="44"/>
      <c r="E1714" s="23"/>
      <c r="F1714" s="45"/>
      <c r="G1714" s="23"/>
      <c r="H1714" s="23"/>
      <c r="I1714" s="23"/>
      <c r="J1714" s="25"/>
      <c r="K1714" s="23"/>
      <c r="L1714" s="51"/>
      <c r="M1714" s="23"/>
      <c r="N1714" s="26"/>
      <c r="O1714" s="26"/>
      <c r="P1714" s="26"/>
      <c r="Q1714" s="26"/>
      <c r="R1714" s="26"/>
      <c r="S1714" s="26"/>
      <c r="T1714" s="26"/>
      <c r="U1714" s="26"/>
      <c r="V1714" s="26"/>
      <c r="W1714" s="27"/>
    </row>
    <row r="1715" spans="1:23" ht="15.75" customHeight="1" x14ac:dyDescent="0.25">
      <c r="A1715" s="23"/>
      <c r="B1715" s="23" t="str">
        <f t="shared" si="8"/>
        <v/>
      </c>
      <c r="C1715" s="23"/>
      <c r="D1715" s="44"/>
      <c r="E1715" s="23"/>
      <c r="F1715" s="45"/>
      <c r="G1715" s="23"/>
      <c r="H1715" s="23"/>
      <c r="I1715" s="23"/>
      <c r="J1715" s="25"/>
      <c r="K1715" s="23"/>
      <c r="L1715" s="51"/>
      <c r="M1715" s="23"/>
      <c r="N1715" s="26"/>
      <c r="O1715" s="26"/>
      <c r="P1715" s="26"/>
      <c r="Q1715" s="26"/>
      <c r="R1715" s="26"/>
      <c r="S1715" s="26"/>
      <c r="T1715" s="26"/>
      <c r="U1715" s="26"/>
      <c r="V1715" s="26"/>
      <c r="W1715" s="27"/>
    </row>
    <row r="1716" spans="1:23" ht="15.75" customHeight="1" x14ac:dyDescent="0.25">
      <c r="A1716" s="23"/>
      <c r="B1716" s="23" t="str">
        <f t="shared" si="8"/>
        <v/>
      </c>
      <c r="C1716" s="23"/>
      <c r="D1716" s="44"/>
      <c r="E1716" s="23"/>
      <c r="F1716" s="45"/>
      <c r="G1716" s="23"/>
      <c r="H1716" s="23"/>
      <c r="I1716" s="23"/>
      <c r="J1716" s="25"/>
      <c r="K1716" s="23"/>
      <c r="L1716" s="51"/>
      <c r="M1716" s="23"/>
      <c r="N1716" s="26"/>
      <c r="O1716" s="26"/>
      <c r="P1716" s="26"/>
      <c r="Q1716" s="26"/>
      <c r="R1716" s="26"/>
      <c r="S1716" s="26"/>
      <c r="T1716" s="26"/>
      <c r="U1716" s="26"/>
      <c r="V1716" s="26"/>
      <c r="W1716" s="27"/>
    </row>
    <row r="1717" spans="1:23" ht="15.75" customHeight="1" x14ac:dyDescent="0.25">
      <c r="A1717" s="23"/>
      <c r="B1717" s="23" t="str">
        <f t="shared" si="8"/>
        <v/>
      </c>
      <c r="C1717" s="23"/>
      <c r="D1717" s="44"/>
      <c r="E1717" s="23"/>
      <c r="F1717" s="45"/>
      <c r="G1717" s="23"/>
      <c r="H1717" s="23"/>
      <c r="I1717" s="23"/>
      <c r="J1717" s="25"/>
      <c r="K1717" s="23"/>
      <c r="L1717" s="51"/>
      <c r="M1717" s="23"/>
      <c r="N1717" s="26"/>
      <c r="O1717" s="26"/>
      <c r="P1717" s="26"/>
      <c r="Q1717" s="26"/>
      <c r="R1717" s="26"/>
      <c r="S1717" s="26"/>
      <c r="T1717" s="26"/>
      <c r="U1717" s="26"/>
      <c r="V1717" s="26"/>
      <c r="W1717" s="27"/>
    </row>
    <row r="1718" spans="1:23" ht="15.75" customHeight="1" x14ac:dyDescent="0.25">
      <c r="A1718" s="23"/>
      <c r="B1718" s="23" t="str">
        <f t="shared" si="8"/>
        <v/>
      </c>
      <c r="C1718" s="23"/>
      <c r="D1718" s="44"/>
      <c r="E1718" s="23"/>
      <c r="F1718" s="45"/>
      <c r="G1718" s="23"/>
      <c r="H1718" s="23"/>
      <c r="I1718" s="23"/>
      <c r="J1718" s="25"/>
      <c r="K1718" s="23"/>
      <c r="L1718" s="51"/>
      <c r="M1718" s="23"/>
      <c r="N1718" s="26"/>
      <c r="O1718" s="26"/>
      <c r="P1718" s="26"/>
      <c r="Q1718" s="26"/>
      <c r="R1718" s="26"/>
      <c r="S1718" s="26"/>
      <c r="T1718" s="26"/>
      <c r="U1718" s="26"/>
      <c r="V1718" s="26"/>
      <c r="W1718" s="27"/>
    </row>
    <row r="1719" spans="1:23" ht="15.75" customHeight="1" x14ac:dyDescent="0.25">
      <c r="A1719" s="23"/>
      <c r="B1719" s="23" t="str">
        <f t="shared" si="8"/>
        <v/>
      </c>
      <c r="C1719" s="23"/>
      <c r="D1719" s="44"/>
      <c r="E1719" s="23"/>
      <c r="F1719" s="45"/>
      <c r="G1719" s="23"/>
      <c r="H1719" s="23"/>
      <c r="I1719" s="23"/>
      <c r="J1719" s="25"/>
      <c r="K1719" s="23"/>
      <c r="L1719" s="51"/>
      <c r="M1719" s="23"/>
      <c r="N1719" s="26"/>
      <c r="O1719" s="26"/>
      <c r="P1719" s="26"/>
      <c r="Q1719" s="26"/>
      <c r="R1719" s="26"/>
      <c r="S1719" s="26"/>
      <c r="T1719" s="26"/>
      <c r="U1719" s="26"/>
      <c r="V1719" s="26"/>
      <c r="W1719" s="27"/>
    </row>
    <row r="1720" spans="1:23" ht="15.75" customHeight="1" x14ac:dyDescent="0.25">
      <c r="A1720" s="23"/>
      <c r="B1720" s="23" t="str">
        <f t="shared" si="8"/>
        <v/>
      </c>
      <c r="C1720" s="23"/>
      <c r="D1720" s="44"/>
      <c r="E1720" s="23"/>
      <c r="F1720" s="45"/>
      <c r="G1720" s="23"/>
      <c r="H1720" s="23"/>
      <c r="I1720" s="23"/>
      <c r="J1720" s="25"/>
      <c r="K1720" s="23"/>
      <c r="L1720" s="51"/>
      <c r="M1720" s="23"/>
      <c r="N1720" s="26"/>
      <c r="O1720" s="26"/>
      <c r="P1720" s="26"/>
      <c r="Q1720" s="26"/>
      <c r="R1720" s="26"/>
      <c r="S1720" s="26"/>
      <c r="T1720" s="26"/>
      <c r="U1720" s="26"/>
      <c r="V1720" s="26"/>
      <c r="W1720" s="27"/>
    </row>
    <row r="1721" spans="1:23" ht="15.75" customHeight="1" x14ac:dyDescent="0.25">
      <c r="A1721" s="23"/>
      <c r="B1721" s="23" t="str">
        <f t="shared" si="8"/>
        <v/>
      </c>
      <c r="C1721" s="23"/>
      <c r="D1721" s="44"/>
      <c r="E1721" s="23"/>
      <c r="F1721" s="45"/>
      <c r="G1721" s="23"/>
      <c r="H1721" s="23"/>
      <c r="I1721" s="23"/>
      <c r="J1721" s="25"/>
      <c r="K1721" s="23"/>
      <c r="L1721" s="51"/>
      <c r="M1721" s="23"/>
      <c r="N1721" s="26"/>
      <c r="O1721" s="26"/>
      <c r="P1721" s="26"/>
      <c r="Q1721" s="26"/>
      <c r="R1721" s="26"/>
      <c r="S1721" s="26"/>
      <c r="T1721" s="26"/>
      <c r="U1721" s="26"/>
      <c r="V1721" s="26"/>
      <c r="W1721" s="27"/>
    </row>
    <row r="1722" spans="1:23" ht="15.75" customHeight="1" x14ac:dyDescent="0.25">
      <c r="A1722" s="23"/>
      <c r="B1722" s="23" t="str">
        <f t="shared" si="8"/>
        <v/>
      </c>
      <c r="C1722" s="23"/>
      <c r="D1722" s="44"/>
      <c r="E1722" s="23"/>
      <c r="F1722" s="45"/>
      <c r="G1722" s="23"/>
      <c r="H1722" s="23"/>
      <c r="I1722" s="23"/>
      <c r="J1722" s="25"/>
      <c r="K1722" s="23"/>
      <c r="L1722" s="51"/>
      <c r="M1722" s="23"/>
      <c r="N1722" s="26"/>
      <c r="O1722" s="26"/>
      <c r="P1722" s="26"/>
      <c r="Q1722" s="26"/>
      <c r="R1722" s="26"/>
      <c r="S1722" s="26"/>
      <c r="T1722" s="26"/>
      <c r="U1722" s="26"/>
      <c r="V1722" s="26"/>
      <c r="W1722" s="27"/>
    </row>
    <row r="1723" spans="1:23" ht="15.75" customHeight="1" x14ac:dyDescent="0.25">
      <c r="A1723" s="23"/>
      <c r="B1723" s="23" t="str">
        <f t="shared" si="8"/>
        <v/>
      </c>
      <c r="C1723" s="23"/>
      <c r="D1723" s="44"/>
      <c r="E1723" s="23"/>
      <c r="F1723" s="45"/>
      <c r="G1723" s="23"/>
      <c r="H1723" s="23"/>
      <c r="I1723" s="23"/>
      <c r="J1723" s="25"/>
      <c r="K1723" s="23"/>
      <c r="L1723" s="51"/>
      <c r="M1723" s="23"/>
      <c r="N1723" s="26"/>
      <c r="O1723" s="26"/>
      <c r="P1723" s="26"/>
      <c r="Q1723" s="26"/>
      <c r="R1723" s="26"/>
      <c r="S1723" s="26"/>
      <c r="T1723" s="26"/>
      <c r="U1723" s="26"/>
      <c r="V1723" s="26"/>
      <c r="W1723" s="27"/>
    </row>
    <row r="1724" spans="1:23" ht="15.75" customHeight="1" x14ac:dyDescent="0.25">
      <c r="A1724" s="23"/>
      <c r="B1724" s="23" t="str">
        <f t="shared" si="8"/>
        <v/>
      </c>
      <c r="C1724" s="23"/>
      <c r="D1724" s="44"/>
      <c r="E1724" s="23"/>
      <c r="F1724" s="45"/>
      <c r="G1724" s="23"/>
      <c r="H1724" s="23"/>
      <c r="I1724" s="23"/>
      <c r="J1724" s="25"/>
      <c r="K1724" s="23"/>
      <c r="L1724" s="51"/>
      <c r="M1724" s="23"/>
      <c r="N1724" s="26"/>
      <c r="O1724" s="26"/>
      <c r="P1724" s="26"/>
      <c r="Q1724" s="26"/>
      <c r="R1724" s="26"/>
      <c r="S1724" s="26"/>
      <c r="T1724" s="26"/>
      <c r="U1724" s="26"/>
      <c r="V1724" s="26"/>
      <c r="W1724" s="27"/>
    </row>
    <row r="1725" spans="1:23" ht="15.75" customHeight="1" x14ac:dyDescent="0.25">
      <c r="A1725" s="23"/>
      <c r="B1725" s="23" t="str">
        <f t="shared" si="8"/>
        <v/>
      </c>
      <c r="C1725" s="23"/>
      <c r="D1725" s="44"/>
      <c r="E1725" s="23"/>
      <c r="F1725" s="45"/>
      <c r="G1725" s="23"/>
      <c r="H1725" s="23"/>
      <c r="I1725" s="23"/>
      <c r="J1725" s="25"/>
      <c r="K1725" s="23"/>
      <c r="L1725" s="51"/>
      <c r="M1725" s="23"/>
      <c r="N1725" s="26"/>
      <c r="O1725" s="26"/>
      <c r="P1725" s="26"/>
      <c r="Q1725" s="26"/>
      <c r="R1725" s="26"/>
      <c r="S1725" s="26"/>
      <c r="T1725" s="26"/>
      <c r="U1725" s="26"/>
      <c r="V1725" s="26"/>
      <c r="W1725" s="27"/>
    </row>
    <row r="1726" spans="1:23" ht="15.75" customHeight="1" x14ac:dyDescent="0.25">
      <c r="A1726" s="23"/>
      <c r="B1726" s="23" t="str">
        <f t="shared" si="8"/>
        <v/>
      </c>
      <c r="C1726" s="23"/>
      <c r="D1726" s="44"/>
      <c r="E1726" s="23"/>
      <c r="F1726" s="45"/>
      <c r="G1726" s="23"/>
      <c r="H1726" s="23"/>
      <c r="I1726" s="23"/>
      <c r="J1726" s="25"/>
      <c r="K1726" s="23"/>
      <c r="L1726" s="51"/>
      <c r="M1726" s="23"/>
      <c r="N1726" s="26"/>
      <c r="O1726" s="26"/>
      <c r="P1726" s="26"/>
      <c r="Q1726" s="26"/>
      <c r="R1726" s="26"/>
      <c r="S1726" s="26"/>
      <c r="T1726" s="26"/>
      <c r="U1726" s="26"/>
      <c r="V1726" s="26"/>
      <c r="W1726" s="27"/>
    </row>
    <row r="1727" spans="1:23" ht="15.75" customHeight="1" x14ac:dyDescent="0.25">
      <c r="A1727" s="23"/>
      <c r="B1727" s="23" t="str">
        <f t="shared" si="8"/>
        <v/>
      </c>
      <c r="C1727" s="23"/>
      <c r="D1727" s="44"/>
      <c r="E1727" s="23"/>
      <c r="F1727" s="45"/>
      <c r="G1727" s="23"/>
      <c r="H1727" s="23"/>
      <c r="I1727" s="23"/>
      <c r="J1727" s="25"/>
      <c r="K1727" s="23"/>
      <c r="L1727" s="51"/>
      <c r="M1727" s="23"/>
      <c r="N1727" s="26"/>
      <c r="O1727" s="26"/>
      <c r="P1727" s="26"/>
      <c r="Q1727" s="26"/>
      <c r="R1727" s="26"/>
      <c r="S1727" s="26"/>
      <c r="T1727" s="26"/>
      <c r="U1727" s="26"/>
      <c r="V1727" s="26"/>
      <c r="W1727" s="27"/>
    </row>
    <row r="1728" spans="1:23" ht="15.75" customHeight="1" x14ac:dyDescent="0.25">
      <c r="A1728" s="23"/>
      <c r="B1728" s="23" t="str">
        <f t="shared" si="8"/>
        <v/>
      </c>
      <c r="C1728" s="23"/>
      <c r="D1728" s="44"/>
      <c r="E1728" s="23"/>
      <c r="F1728" s="45"/>
      <c r="G1728" s="23"/>
      <c r="H1728" s="23"/>
      <c r="I1728" s="23"/>
      <c r="J1728" s="25"/>
      <c r="K1728" s="23"/>
      <c r="L1728" s="51"/>
      <c r="M1728" s="23"/>
      <c r="N1728" s="26"/>
      <c r="O1728" s="26"/>
      <c r="P1728" s="26"/>
      <c r="Q1728" s="26"/>
      <c r="R1728" s="26"/>
      <c r="S1728" s="26"/>
      <c r="T1728" s="26"/>
      <c r="U1728" s="26"/>
      <c r="V1728" s="26"/>
      <c r="W1728" s="27"/>
    </row>
    <row r="1729" spans="1:23" ht="15.75" customHeight="1" x14ac:dyDescent="0.25">
      <c r="A1729" s="23"/>
      <c r="B1729" s="23" t="str">
        <f t="shared" si="8"/>
        <v/>
      </c>
      <c r="C1729" s="23"/>
      <c r="D1729" s="44"/>
      <c r="E1729" s="23"/>
      <c r="F1729" s="45"/>
      <c r="G1729" s="23"/>
      <c r="H1729" s="23"/>
      <c r="I1729" s="23"/>
      <c r="J1729" s="25"/>
      <c r="K1729" s="23"/>
      <c r="L1729" s="51"/>
      <c r="M1729" s="23"/>
      <c r="N1729" s="26"/>
      <c r="O1729" s="26"/>
      <c r="P1729" s="26"/>
      <c r="Q1729" s="26"/>
      <c r="R1729" s="26"/>
      <c r="S1729" s="26"/>
      <c r="T1729" s="26"/>
      <c r="U1729" s="26"/>
      <c r="V1729" s="26"/>
      <c r="W1729" s="27"/>
    </row>
    <row r="1730" spans="1:23" ht="15.75" customHeight="1" x14ac:dyDescent="0.25">
      <c r="A1730" s="23"/>
      <c r="B1730" s="23" t="str">
        <f t="shared" si="8"/>
        <v/>
      </c>
      <c r="C1730" s="23"/>
      <c r="D1730" s="44"/>
      <c r="E1730" s="23"/>
      <c r="F1730" s="45"/>
      <c r="G1730" s="23"/>
      <c r="H1730" s="23"/>
      <c r="I1730" s="23"/>
      <c r="J1730" s="25"/>
      <c r="K1730" s="23"/>
      <c r="L1730" s="51"/>
      <c r="M1730" s="23"/>
      <c r="N1730" s="26"/>
      <c r="O1730" s="26"/>
      <c r="P1730" s="26"/>
      <c r="Q1730" s="26"/>
      <c r="R1730" s="26"/>
      <c r="S1730" s="26"/>
      <c r="T1730" s="26"/>
      <c r="U1730" s="26"/>
      <c r="V1730" s="26"/>
      <c r="W1730" s="27"/>
    </row>
    <row r="1731" spans="1:23" ht="15.75" customHeight="1" x14ac:dyDescent="0.25">
      <c r="A1731" s="23"/>
      <c r="B1731" s="23" t="str">
        <f t="shared" si="8"/>
        <v/>
      </c>
      <c r="C1731" s="23"/>
      <c r="D1731" s="44"/>
      <c r="E1731" s="23"/>
      <c r="F1731" s="45"/>
      <c r="G1731" s="23"/>
      <c r="H1731" s="23"/>
      <c r="I1731" s="23"/>
      <c r="J1731" s="25"/>
      <c r="K1731" s="23"/>
      <c r="L1731" s="51"/>
      <c r="M1731" s="23"/>
      <c r="N1731" s="26"/>
      <c r="O1731" s="26"/>
      <c r="P1731" s="26"/>
      <c r="Q1731" s="26"/>
      <c r="R1731" s="26"/>
      <c r="S1731" s="26"/>
      <c r="T1731" s="26"/>
      <c r="U1731" s="26"/>
      <c r="V1731" s="26"/>
      <c r="W1731" s="27"/>
    </row>
    <row r="1732" spans="1:23" ht="15.75" customHeight="1" x14ac:dyDescent="0.25">
      <c r="A1732" s="23"/>
      <c r="B1732" s="23" t="str">
        <f t="shared" si="8"/>
        <v/>
      </c>
      <c r="C1732" s="23"/>
      <c r="D1732" s="44"/>
      <c r="E1732" s="23"/>
      <c r="F1732" s="45"/>
      <c r="G1732" s="23"/>
      <c r="H1732" s="23"/>
      <c r="I1732" s="23"/>
      <c r="J1732" s="25"/>
      <c r="K1732" s="23"/>
      <c r="L1732" s="51"/>
      <c r="M1732" s="23"/>
      <c r="N1732" s="26"/>
      <c r="O1732" s="26"/>
      <c r="P1732" s="26"/>
      <c r="Q1732" s="26"/>
      <c r="R1732" s="26"/>
      <c r="S1732" s="26"/>
      <c r="T1732" s="26"/>
      <c r="U1732" s="26"/>
      <c r="V1732" s="26"/>
      <c r="W1732" s="27"/>
    </row>
    <row r="1733" spans="1:23" ht="15.75" customHeight="1" x14ac:dyDescent="0.25">
      <c r="A1733" s="23"/>
      <c r="B1733" s="23" t="str">
        <f t="shared" si="8"/>
        <v/>
      </c>
      <c r="C1733" s="23"/>
      <c r="D1733" s="44"/>
      <c r="E1733" s="23"/>
      <c r="F1733" s="45"/>
      <c r="G1733" s="23"/>
      <c r="H1733" s="23"/>
      <c r="I1733" s="23"/>
      <c r="J1733" s="25"/>
      <c r="K1733" s="23"/>
      <c r="L1733" s="51"/>
      <c r="M1733" s="23"/>
      <c r="N1733" s="26"/>
      <c r="O1733" s="26"/>
      <c r="P1733" s="26"/>
      <c r="Q1733" s="26"/>
      <c r="R1733" s="26"/>
      <c r="S1733" s="26"/>
      <c r="T1733" s="26"/>
      <c r="U1733" s="26"/>
      <c r="V1733" s="26"/>
      <c r="W1733" s="27"/>
    </row>
    <row r="1734" spans="1:23" ht="15.75" customHeight="1" x14ac:dyDescent="0.25">
      <c r="A1734" s="23"/>
      <c r="B1734" s="23" t="str">
        <f t="shared" si="8"/>
        <v/>
      </c>
      <c r="C1734" s="23"/>
      <c r="D1734" s="44"/>
      <c r="E1734" s="23"/>
      <c r="F1734" s="45"/>
      <c r="G1734" s="23"/>
      <c r="H1734" s="23"/>
      <c r="I1734" s="23"/>
      <c r="J1734" s="25"/>
      <c r="K1734" s="23"/>
      <c r="L1734" s="51"/>
      <c r="M1734" s="23"/>
      <c r="N1734" s="26"/>
      <c r="O1734" s="26"/>
      <c r="P1734" s="26"/>
      <c r="Q1734" s="26"/>
      <c r="R1734" s="26"/>
      <c r="S1734" s="26"/>
      <c r="T1734" s="26"/>
      <c r="U1734" s="26"/>
      <c r="V1734" s="26"/>
      <c r="W1734" s="27"/>
    </row>
    <row r="1735" spans="1:23" ht="15.75" customHeight="1" x14ac:dyDescent="0.25">
      <c r="A1735" s="23"/>
      <c r="B1735" s="23" t="str">
        <f t="shared" si="8"/>
        <v/>
      </c>
      <c r="C1735" s="23"/>
      <c r="D1735" s="44"/>
      <c r="E1735" s="23"/>
      <c r="F1735" s="45"/>
      <c r="G1735" s="23"/>
      <c r="H1735" s="23"/>
      <c r="I1735" s="23"/>
      <c r="J1735" s="25"/>
      <c r="K1735" s="23"/>
      <c r="L1735" s="51"/>
      <c r="M1735" s="23"/>
      <c r="N1735" s="26"/>
      <c r="O1735" s="26"/>
      <c r="P1735" s="26"/>
      <c r="Q1735" s="26"/>
      <c r="R1735" s="26"/>
      <c r="S1735" s="26"/>
      <c r="T1735" s="26"/>
      <c r="U1735" s="26"/>
      <c r="V1735" s="26"/>
      <c r="W1735" s="27"/>
    </row>
    <row r="1736" spans="1:23" ht="15.75" customHeight="1" x14ac:dyDescent="0.25">
      <c r="A1736" s="23"/>
      <c r="B1736" s="23" t="str">
        <f t="shared" si="8"/>
        <v/>
      </c>
      <c r="C1736" s="23"/>
      <c r="D1736" s="44"/>
      <c r="E1736" s="23"/>
      <c r="F1736" s="45"/>
      <c r="G1736" s="23"/>
      <c r="H1736" s="23"/>
      <c r="I1736" s="23"/>
      <c r="J1736" s="25"/>
      <c r="K1736" s="23"/>
      <c r="L1736" s="51"/>
      <c r="M1736" s="23"/>
      <c r="N1736" s="26"/>
      <c r="O1736" s="26"/>
      <c r="P1736" s="26"/>
      <c r="Q1736" s="26"/>
      <c r="R1736" s="26"/>
      <c r="S1736" s="26"/>
      <c r="T1736" s="26"/>
      <c r="U1736" s="26"/>
      <c r="V1736" s="26"/>
      <c r="W1736" s="27"/>
    </row>
    <row r="1737" spans="1:23" ht="15.75" customHeight="1" x14ac:dyDescent="0.25">
      <c r="A1737" s="23"/>
      <c r="B1737" s="23" t="str">
        <f t="shared" si="8"/>
        <v/>
      </c>
      <c r="C1737" s="23"/>
      <c r="D1737" s="44"/>
      <c r="E1737" s="23"/>
      <c r="F1737" s="45"/>
      <c r="G1737" s="23"/>
      <c r="H1737" s="23"/>
      <c r="I1737" s="23"/>
      <c r="J1737" s="25"/>
      <c r="K1737" s="23"/>
      <c r="L1737" s="51"/>
      <c r="M1737" s="23"/>
      <c r="N1737" s="26"/>
      <c r="O1737" s="26"/>
      <c r="P1737" s="26"/>
      <c r="Q1737" s="26"/>
      <c r="R1737" s="26"/>
      <c r="S1737" s="26"/>
      <c r="T1737" s="26"/>
      <c r="U1737" s="26"/>
      <c r="V1737" s="26"/>
      <c r="W1737" s="27"/>
    </row>
    <row r="1738" spans="1:23" ht="15.75" customHeight="1" x14ac:dyDescent="0.25">
      <c r="A1738" s="23"/>
      <c r="B1738" s="23" t="str">
        <f t="shared" si="8"/>
        <v/>
      </c>
      <c r="C1738" s="23"/>
      <c r="D1738" s="44"/>
      <c r="E1738" s="23"/>
      <c r="F1738" s="45"/>
      <c r="G1738" s="23"/>
      <c r="H1738" s="23"/>
      <c r="I1738" s="23"/>
      <c r="J1738" s="25"/>
      <c r="K1738" s="23"/>
      <c r="L1738" s="51"/>
      <c r="M1738" s="23"/>
      <c r="N1738" s="26"/>
      <c r="O1738" s="26"/>
      <c r="P1738" s="26"/>
      <c r="Q1738" s="26"/>
      <c r="R1738" s="26"/>
      <c r="S1738" s="26"/>
      <c r="T1738" s="26"/>
      <c r="U1738" s="26"/>
      <c r="V1738" s="26"/>
      <c r="W1738" s="27"/>
    </row>
    <row r="1739" spans="1:23" ht="15.75" customHeight="1" x14ac:dyDescent="0.25">
      <c r="A1739" s="23"/>
      <c r="B1739" s="23" t="str">
        <f t="shared" si="8"/>
        <v/>
      </c>
      <c r="C1739" s="23"/>
      <c r="D1739" s="44"/>
      <c r="E1739" s="23"/>
      <c r="F1739" s="45"/>
      <c r="G1739" s="23"/>
      <c r="H1739" s="23"/>
      <c r="I1739" s="23"/>
      <c r="J1739" s="25"/>
      <c r="K1739" s="23"/>
      <c r="L1739" s="51"/>
      <c r="M1739" s="23"/>
      <c r="N1739" s="26"/>
      <c r="O1739" s="26"/>
      <c r="P1739" s="26"/>
      <c r="Q1739" s="26"/>
      <c r="R1739" s="26"/>
      <c r="S1739" s="26"/>
      <c r="T1739" s="26"/>
      <c r="U1739" s="26"/>
      <c r="V1739" s="26"/>
      <c r="W1739" s="27"/>
    </row>
    <row r="1740" spans="1:23" ht="15.75" customHeight="1" x14ac:dyDescent="0.25">
      <c r="A1740" s="23"/>
      <c r="B1740" s="23" t="str">
        <f t="shared" si="8"/>
        <v/>
      </c>
      <c r="C1740" s="23"/>
      <c r="D1740" s="44"/>
      <c r="E1740" s="23"/>
      <c r="F1740" s="45"/>
      <c r="G1740" s="23"/>
      <c r="H1740" s="23"/>
      <c r="I1740" s="23"/>
      <c r="J1740" s="25"/>
      <c r="K1740" s="23"/>
      <c r="L1740" s="51"/>
      <c r="M1740" s="23"/>
      <c r="N1740" s="26"/>
      <c r="O1740" s="26"/>
      <c r="P1740" s="26"/>
      <c r="Q1740" s="26"/>
      <c r="R1740" s="26"/>
      <c r="S1740" s="26"/>
      <c r="T1740" s="26"/>
      <c r="U1740" s="26"/>
      <c r="V1740" s="26"/>
      <c r="W1740" s="27"/>
    </row>
    <row r="1741" spans="1:23" ht="15.75" customHeight="1" x14ac:dyDescent="0.25">
      <c r="A1741" s="23"/>
      <c r="B1741" s="23" t="str">
        <f t="shared" si="8"/>
        <v/>
      </c>
      <c r="C1741" s="23"/>
      <c r="D1741" s="44"/>
      <c r="E1741" s="23"/>
      <c r="F1741" s="45"/>
      <c r="G1741" s="23"/>
      <c r="H1741" s="23"/>
      <c r="I1741" s="23"/>
      <c r="J1741" s="25"/>
      <c r="K1741" s="23"/>
      <c r="L1741" s="51"/>
      <c r="M1741" s="23"/>
      <c r="N1741" s="26"/>
      <c r="O1741" s="26"/>
      <c r="P1741" s="26"/>
      <c r="Q1741" s="26"/>
      <c r="R1741" s="26"/>
      <c r="S1741" s="26"/>
      <c r="T1741" s="26"/>
      <c r="U1741" s="26"/>
      <c r="V1741" s="26"/>
      <c r="W1741" s="27"/>
    </row>
    <row r="1742" spans="1:23" ht="15.75" customHeight="1" x14ac:dyDescent="0.25">
      <c r="A1742" s="23"/>
      <c r="B1742" s="23" t="str">
        <f t="shared" si="8"/>
        <v/>
      </c>
      <c r="C1742" s="23"/>
      <c r="D1742" s="44"/>
      <c r="E1742" s="23"/>
      <c r="F1742" s="45"/>
      <c r="G1742" s="23"/>
      <c r="H1742" s="23"/>
      <c r="I1742" s="23"/>
      <c r="J1742" s="25"/>
      <c r="K1742" s="23"/>
      <c r="L1742" s="51"/>
      <c r="M1742" s="23"/>
      <c r="N1742" s="26"/>
      <c r="O1742" s="26"/>
      <c r="P1742" s="26"/>
      <c r="Q1742" s="26"/>
      <c r="R1742" s="26"/>
      <c r="S1742" s="26"/>
      <c r="T1742" s="26"/>
      <c r="U1742" s="26"/>
      <c r="V1742" s="26"/>
      <c r="W1742" s="27"/>
    </row>
    <row r="1743" spans="1:23" ht="15.75" customHeight="1" x14ac:dyDescent="0.25">
      <c r="A1743" s="23"/>
      <c r="B1743" s="23" t="str">
        <f t="shared" si="8"/>
        <v/>
      </c>
      <c r="C1743" s="23"/>
      <c r="D1743" s="44"/>
      <c r="E1743" s="23"/>
      <c r="F1743" s="45"/>
      <c r="G1743" s="23"/>
      <c r="H1743" s="23"/>
      <c r="I1743" s="23"/>
      <c r="J1743" s="25"/>
      <c r="K1743" s="23"/>
      <c r="L1743" s="51"/>
      <c r="M1743" s="23"/>
      <c r="N1743" s="26"/>
      <c r="O1743" s="26"/>
      <c r="P1743" s="26"/>
      <c r="Q1743" s="26"/>
      <c r="R1743" s="26"/>
      <c r="S1743" s="26"/>
      <c r="T1743" s="26"/>
      <c r="U1743" s="26"/>
      <c r="V1743" s="26"/>
      <c r="W1743" s="27"/>
    </row>
    <row r="1744" spans="1:23" ht="15.75" customHeight="1" x14ac:dyDescent="0.25">
      <c r="A1744" s="23"/>
      <c r="B1744" s="23" t="str">
        <f t="shared" si="8"/>
        <v/>
      </c>
      <c r="C1744" s="23"/>
      <c r="D1744" s="44"/>
      <c r="E1744" s="23"/>
      <c r="F1744" s="45"/>
      <c r="G1744" s="23"/>
      <c r="H1744" s="23"/>
      <c r="I1744" s="23"/>
      <c r="J1744" s="25"/>
      <c r="K1744" s="23"/>
      <c r="L1744" s="51"/>
      <c r="M1744" s="23"/>
      <c r="N1744" s="26"/>
      <c r="O1744" s="26"/>
      <c r="P1744" s="26"/>
      <c r="Q1744" s="26"/>
      <c r="R1744" s="26"/>
      <c r="S1744" s="26"/>
      <c r="T1744" s="26"/>
      <c r="U1744" s="26"/>
      <c r="V1744" s="26"/>
      <c r="W1744" s="27"/>
    </row>
    <row r="1745" spans="1:23" ht="15.75" customHeight="1" x14ac:dyDescent="0.25">
      <c r="A1745" s="23"/>
      <c r="B1745" s="23" t="str">
        <f t="shared" si="8"/>
        <v/>
      </c>
      <c r="C1745" s="23"/>
      <c r="D1745" s="44"/>
      <c r="E1745" s="23"/>
      <c r="F1745" s="45"/>
      <c r="G1745" s="23"/>
      <c r="H1745" s="23"/>
      <c r="I1745" s="23"/>
      <c r="J1745" s="25"/>
      <c r="K1745" s="23"/>
      <c r="L1745" s="51"/>
      <c r="M1745" s="23"/>
      <c r="N1745" s="26"/>
      <c r="O1745" s="26"/>
      <c r="P1745" s="26"/>
      <c r="Q1745" s="26"/>
      <c r="R1745" s="26"/>
      <c r="S1745" s="26"/>
      <c r="T1745" s="26"/>
      <c r="U1745" s="26"/>
      <c r="V1745" s="26"/>
      <c r="W1745" s="27"/>
    </row>
    <row r="1746" spans="1:23" ht="15.75" customHeight="1" x14ac:dyDescent="0.25">
      <c r="A1746" s="23"/>
      <c r="B1746" s="23" t="str">
        <f t="shared" si="8"/>
        <v/>
      </c>
      <c r="C1746" s="23"/>
      <c r="D1746" s="44"/>
      <c r="E1746" s="23"/>
      <c r="F1746" s="45"/>
      <c r="G1746" s="23"/>
      <c r="H1746" s="23"/>
      <c r="I1746" s="23"/>
      <c r="J1746" s="25"/>
      <c r="K1746" s="23"/>
      <c r="L1746" s="51"/>
      <c r="M1746" s="23"/>
      <c r="N1746" s="26"/>
      <c r="O1746" s="26"/>
      <c r="P1746" s="26"/>
      <c r="Q1746" s="26"/>
      <c r="R1746" s="26"/>
      <c r="S1746" s="26"/>
      <c r="T1746" s="26"/>
      <c r="U1746" s="26"/>
      <c r="V1746" s="26"/>
      <c r="W1746" s="27"/>
    </row>
    <row r="1747" spans="1:23" ht="15.75" customHeight="1" x14ac:dyDescent="0.25">
      <c r="A1747" s="23"/>
      <c r="B1747" s="23" t="str">
        <f t="shared" si="8"/>
        <v/>
      </c>
      <c r="C1747" s="23"/>
      <c r="D1747" s="44"/>
      <c r="E1747" s="23"/>
      <c r="F1747" s="45"/>
      <c r="G1747" s="23"/>
      <c r="H1747" s="23"/>
      <c r="I1747" s="23"/>
      <c r="J1747" s="25"/>
      <c r="K1747" s="23"/>
      <c r="L1747" s="51"/>
      <c r="M1747" s="23"/>
      <c r="N1747" s="26"/>
      <c r="O1747" s="26"/>
      <c r="P1747" s="26"/>
      <c r="Q1747" s="26"/>
      <c r="R1747" s="26"/>
      <c r="S1747" s="26"/>
      <c r="T1747" s="26"/>
      <c r="U1747" s="26"/>
      <c r="V1747" s="26"/>
      <c r="W1747" s="27"/>
    </row>
    <row r="1748" spans="1:23" ht="15.75" customHeight="1" x14ac:dyDescent="0.25">
      <c r="A1748" s="23"/>
      <c r="B1748" s="23" t="str">
        <f t="shared" si="8"/>
        <v/>
      </c>
      <c r="C1748" s="23"/>
      <c r="D1748" s="44"/>
      <c r="E1748" s="23"/>
      <c r="F1748" s="45"/>
      <c r="G1748" s="23"/>
      <c r="H1748" s="23"/>
      <c r="I1748" s="23"/>
      <c r="J1748" s="25"/>
      <c r="K1748" s="23"/>
      <c r="L1748" s="51"/>
      <c r="M1748" s="23"/>
      <c r="N1748" s="26"/>
      <c r="O1748" s="26"/>
      <c r="P1748" s="26"/>
      <c r="Q1748" s="26"/>
      <c r="R1748" s="26"/>
      <c r="S1748" s="26"/>
      <c r="T1748" s="26"/>
      <c r="U1748" s="26"/>
      <c r="V1748" s="26"/>
      <c r="W1748" s="27"/>
    </row>
    <row r="1749" spans="1:23" ht="15.75" customHeight="1" x14ac:dyDescent="0.25">
      <c r="A1749" s="23"/>
      <c r="B1749" s="23" t="str">
        <f t="shared" si="8"/>
        <v/>
      </c>
      <c r="C1749" s="23"/>
      <c r="D1749" s="44"/>
      <c r="E1749" s="23"/>
      <c r="F1749" s="45"/>
      <c r="G1749" s="23"/>
      <c r="H1749" s="23"/>
      <c r="I1749" s="23"/>
      <c r="J1749" s="25"/>
      <c r="K1749" s="23"/>
      <c r="L1749" s="51"/>
      <c r="M1749" s="23"/>
      <c r="N1749" s="26"/>
      <c r="O1749" s="26"/>
      <c r="P1749" s="26"/>
      <c r="Q1749" s="26"/>
      <c r="R1749" s="26"/>
      <c r="S1749" s="26"/>
      <c r="T1749" s="26"/>
      <c r="U1749" s="26"/>
      <c r="V1749" s="26"/>
      <c r="W1749" s="27"/>
    </row>
    <row r="1750" spans="1:23" ht="15.75" customHeight="1" x14ac:dyDescent="0.25">
      <c r="A1750" s="23"/>
      <c r="B1750" s="23" t="str">
        <f t="shared" si="8"/>
        <v/>
      </c>
      <c r="C1750" s="23"/>
      <c r="D1750" s="44"/>
      <c r="E1750" s="23"/>
      <c r="F1750" s="45"/>
      <c r="G1750" s="23"/>
      <c r="H1750" s="23"/>
      <c r="I1750" s="23"/>
      <c r="J1750" s="25"/>
      <c r="K1750" s="23"/>
      <c r="L1750" s="51"/>
      <c r="M1750" s="23"/>
      <c r="N1750" s="26"/>
      <c r="O1750" s="26"/>
      <c r="P1750" s="26"/>
      <c r="Q1750" s="26"/>
      <c r="R1750" s="26"/>
      <c r="S1750" s="26"/>
      <c r="T1750" s="26"/>
      <c r="U1750" s="26"/>
      <c r="V1750" s="26"/>
      <c r="W1750" s="27"/>
    </row>
    <row r="1751" spans="1:23" ht="15.75" customHeight="1" x14ac:dyDescent="0.25">
      <c r="A1751" s="23"/>
      <c r="B1751" s="23" t="str">
        <f t="shared" si="8"/>
        <v/>
      </c>
      <c r="C1751" s="23"/>
      <c r="D1751" s="44"/>
      <c r="E1751" s="23"/>
      <c r="F1751" s="45"/>
      <c r="G1751" s="23"/>
      <c r="H1751" s="23"/>
      <c r="I1751" s="23"/>
      <c r="J1751" s="25"/>
      <c r="K1751" s="23"/>
      <c r="L1751" s="51"/>
      <c r="M1751" s="23"/>
      <c r="N1751" s="26"/>
      <c r="O1751" s="26"/>
      <c r="P1751" s="26"/>
      <c r="Q1751" s="26"/>
      <c r="R1751" s="26"/>
      <c r="S1751" s="26"/>
      <c r="T1751" s="26"/>
      <c r="U1751" s="26"/>
      <c r="V1751" s="26"/>
      <c r="W1751" s="27"/>
    </row>
    <row r="1752" spans="1:23" ht="15.75" customHeight="1" x14ac:dyDescent="0.25">
      <c r="A1752" s="23"/>
      <c r="B1752" s="23" t="str">
        <f t="shared" si="8"/>
        <v/>
      </c>
      <c r="C1752" s="23"/>
      <c r="D1752" s="44"/>
      <c r="E1752" s="23"/>
      <c r="F1752" s="45"/>
      <c r="G1752" s="23"/>
      <c r="H1752" s="23"/>
      <c r="I1752" s="23"/>
      <c r="J1752" s="25"/>
      <c r="K1752" s="23"/>
      <c r="L1752" s="51"/>
      <c r="M1752" s="23"/>
      <c r="N1752" s="26"/>
      <c r="O1752" s="26"/>
      <c r="P1752" s="26"/>
      <c r="Q1752" s="26"/>
      <c r="R1752" s="26"/>
      <c r="S1752" s="26"/>
      <c r="T1752" s="26"/>
      <c r="U1752" s="26"/>
      <c r="V1752" s="26"/>
      <c r="W1752" s="27"/>
    </row>
    <row r="1753" spans="1:23" ht="15.75" customHeight="1" x14ac:dyDescent="0.25">
      <c r="A1753" s="23"/>
      <c r="B1753" s="23" t="str">
        <f t="shared" si="8"/>
        <v/>
      </c>
      <c r="C1753" s="23"/>
      <c r="D1753" s="44"/>
      <c r="E1753" s="23"/>
      <c r="F1753" s="45"/>
      <c r="G1753" s="23"/>
      <c r="H1753" s="23"/>
      <c r="I1753" s="23"/>
      <c r="J1753" s="25"/>
      <c r="K1753" s="23"/>
      <c r="L1753" s="51"/>
      <c r="M1753" s="23"/>
      <c r="N1753" s="26"/>
      <c r="O1753" s="26"/>
      <c r="P1753" s="26"/>
      <c r="Q1753" s="26"/>
      <c r="R1753" s="26"/>
      <c r="S1753" s="26"/>
      <c r="T1753" s="26"/>
      <c r="U1753" s="26"/>
      <c r="V1753" s="26"/>
      <c r="W1753" s="27"/>
    </row>
    <row r="1754" spans="1:23" ht="15.75" customHeight="1" x14ac:dyDescent="0.25">
      <c r="A1754" s="23"/>
      <c r="B1754" s="23" t="str">
        <f t="shared" si="8"/>
        <v/>
      </c>
      <c r="C1754" s="23"/>
      <c r="D1754" s="44"/>
      <c r="E1754" s="23"/>
      <c r="F1754" s="45"/>
      <c r="G1754" s="23"/>
      <c r="H1754" s="23"/>
      <c r="I1754" s="23"/>
      <c r="J1754" s="25"/>
      <c r="K1754" s="23"/>
      <c r="L1754" s="51"/>
      <c r="M1754" s="23"/>
      <c r="N1754" s="26"/>
      <c r="O1754" s="26"/>
      <c r="P1754" s="26"/>
      <c r="Q1754" s="26"/>
      <c r="R1754" s="26"/>
      <c r="S1754" s="26"/>
      <c r="T1754" s="26"/>
      <c r="U1754" s="26"/>
      <c r="V1754" s="26"/>
      <c r="W1754" s="27"/>
    </row>
    <row r="1755" spans="1:23" ht="15.75" customHeight="1" x14ac:dyDescent="0.25">
      <c r="A1755" s="23"/>
      <c r="B1755" s="23" t="str">
        <f t="shared" si="8"/>
        <v/>
      </c>
      <c r="C1755" s="23"/>
      <c r="D1755" s="44"/>
      <c r="E1755" s="23"/>
      <c r="F1755" s="45"/>
      <c r="G1755" s="23"/>
      <c r="H1755" s="23"/>
      <c r="I1755" s="23"/>
      <c r="J1755" s="25"/>
      <c r="K1755" s="23"/>
      <c r="L1755" s="51"/>
      <c r="M1755" s="23"/>
      <c r="N1755" s="26"/>
      <c r="O1755" s="26"/>
      <c r="P1755" s="26"/>
      <c r="Q1755" s="26"/>
      <c r="R1755" s="26"/>
      <c r="S1755" s="26"/>
      <c r="T1755" s="26"/>
      <c r="U1755" s="26"/>
      <c r="V1755" s="26"/>
      <c r="W1755" s="27"/>
    </row>
    <row r="1756" spans="1:23" ht="15.75" customHeight="1" x14ac:dyDescent="0.25">
      <c r="A1756" s="23"/>
      <c r="B1756" s="23" t="str">
        <f t="shared" si="8"/>
        <v/>
      </c>
      <c r="C1756" s="23"/>
      <c r="D1756" s="44"/>
      <c r="E1756" s="23"/>
      <c r="F1756" s="45"/>
      <c r="G1756" s="23"/>
      <c r="H1756" s="23"/>
      <c r="I1756" s="23"/>
      <c r="J1756" s="25"/>
      <c r="K1756" s="23"/>
      <c r="L1756" s="51"/>
      <c r="M1756" s="23"/>
      <c r="N1756" s="26"/>
      <c r="O1756" s="26"/>
      <c r="P1756" s="26"/>
      <c r="Q1756" s="26"/>
      <c r="R1756" s="26"/>
      <c r="S1756" s="26"/>
      <c r="T1756" s="26"/>
      <c r="U1756" s="26"/>
      <c r="V1756" s="26"/>
      <c r="W1756" s="27"/>
    </row>
    <row r="1757" spans="1:23" ht="15.75" customHeight="1" x14ac:dyDescent="0.25">
      <c r="A1757" s="23"/>
      <c r="B1757" s="23" t="str">
        <f t="shared" si="8"/>
        <v/>
      </c>
      <c r="C1757" s="23"/>
      <c r="D1757" s="44"/>
      <c r="E1757" s="23"/>
      <c r="F1757" s="45"/>
      <c r="G1757" s="23"/>
      <c r="H1757" s="23"/>
      <c r="I1757" s="23"/>
      <c r="J1757" s="25"/>
      <c r="K1757" s="23"/>
      <c r="L1757" s="51"/>
      <c r="M1757" s="23"/>
      <c r="N1757" s="26"/>
      <c r="O1757" s="26"/>
      <c r="P1757" s="26"/>
      <c r="Q1757" s="26"/>
      <c r="R1757" s="26"/>
      <c r="S1757" s="26"/>
      <c r="T1757" s="26"/>
      <c r="U1757" s="26"/>
      <c r="V1757" s="26"/>
      <c r="W1757" s="27"/>
    </row>
    <row r="1758" spans="1:23" ht="15.75" customHeight="1" x14ac:dyDescent="0.25">
      <c r="A1758" s="23"/>
      <c r="B1758" s="23" t="str">
        <f t="shared" si="8"/>
        <v/>
      </c>
      <c r="C1758" s="23"/>
      <c r="D1758" s="44"/>
      <c r="E1758" s="23"/>
      <c r="F1758" s="45"/>
      <c r="G1758" s="23"/>
      <c r="H1758" s="23"/>
      <c r="I1758" s="23"/>
      <c r="J1758" s="25"/>
      <c r="K1758" s="23"/>
      <c r="L1758" s="51"/>
      <c r="M1758" s="23"/>
      <c r="N1758" s="26"/>
      <c r="O1758" s="26"/>
      <c r="P1758" s="26"/>
      <c r="Q1758" s="26"/>
      <c r="R1758" s="26"/>
      <c r="S1758" s="26"/>
      <c r="T1758" s="26"/>
      <c r="U1758" s="26"/>
      <c r="V1758" s="26"/>
      <c r="W1758" s="27"/>
    </row>
    <row r="1759" spans="1:23" ht="15.75" customHeight="1" x14ac:dyDescent="0.25">
      <c r="A1759" s="23"/>
      <c r="B1759" s="23" t="str">
        <f t="shared" si="8"/>
        <v/>
      </c>
      <c r="C1759" s="23"/>
      <c r="D1759" s="44"/>
      <c r="E1759" s="23"/>
      <c r="F1759" s="45"/>
      <c r="G1759" s="23"/>
      <c r="H1759" s="23"/>
      <c r="I1759" s="23"/>
      <c r="J1759" s="25"/>
      <c r="K1759" s="23"/>
      <c r="L1759" s="51"/>
      <c r="M1759" s="23"/>
      <c r="N1759" s="26"/>
      <c r="O1759" s="26"/>
      <c r="P1759" s="26"/>
      <c r="Q1759" s="26"/>
      <c r="R1759" s="26"/>
      <c r="S1759" s="26"/>
      <c r="T1759" s="26"/>
      <c r="U1759" s="26"/>
      <c r="V1759" s="26"/>
      <c r="W1759" s="27"/>
    </row>
    <row r="1760" spans="1:23" ht="15.75" customHeight="1" x14ac:dyDescent="0.25">
      <c r="A1760" s="23"/>
      <c r="B1760" s="23" t="str">
        <f t="shared" si="8"/>
        <v/>
      </c>
      <c r="C1760" s="23"/>
      <c r="D1760" s="44"/>
      <c r="E1760" s="23"/>
      <c r="F1760" s="45"/>
      <c r="G1760" s="23"/>
      <c r="H1760" s="23"/>
      <c r="I1760" s="23"/>
      <c r="J1760" s="25"/>
      <c r="K1760" s="23"/>
      <c r="L1760" s="51"/>
      <c r="M1760" s="23"/>
      <c r="N1760" s="26"/>
      <c r="O1760" s="26"/>
      <c r="P1760" s="26"/>
      <c r="Q1760" s="26"/>
      <c r="R1760" s="26"/>
      <c r="S1760" s="26"/>
      <c r="T1760" s="26"/>
      <c r="U1760" s="26"/>
      <c r="V1760" s="26"/>
      <c r="W1760" s="27"/>
    </row>
    <row r="1761" spans="1:23" ht="15.75" customHeight="1" x14ac:dyDescent="0.25">
      <c r="A1761" s="23"/>
      <c r="B1761" s="23" t="str">
        <f t="shared" si="8"/>
        <v/>
      </c>
      <c r="C1761" s="23"/>
      <c r="D1761" s="44"/>
      <c r="E1761" s="23"/>
      <c r="F1761" s="45"/>
      <c r="G1761" s="23"/>
      <c r="H1761" s="23"/>
      <c r="I1761" s="23"/>
      <c r="J1761" s="25"/>
      <c r="K1761" s="23"/>
      <c r="L1761" s="51"/>
      <c r="M1761" s="23"/>
      <c r="N1761" s="26"/>
      <c r="O1761" s="26"/>
      <c r="P1761" s="26"/>
      <c r="Q1761" s="26"/>
      <c r="R1761" s="26"/>
      <c r="S1761" s="26"/>
      <c r="T1761" s="26"/>
      <c r="U1761" s="26"/>
      <c r="V1761" s="26"/>
      <c r="W1761" s="27"/>
    </row>
    <row r="1762" spans="1:23" ht="15.75" customHeight="1" x14ac:dyDescent="0.25">
      <c r="A1762" s="23"/>
      <c r="B1762" s="23" t="str">
        <f t="shared" si="8"/>
        <v/>
      </c>
      <c r="C1762" s="23"/>
      <c r="D1762" s="44"/>
      <c r="E1762" s="23"/>
      <c r="F1762" s="45"/>
      <c r="G1762" s="23"/>
      <c r="H1762" s="23"/>
      <c r="I1762" s="23"/>
      <c r="J1762" s="25"/>
      <c r="K1762" s="23"/>
      <c r="L1762" s="51"/>
      <c r="M1762" s="23"/>
      <c r="N1762" s="26"/>
      <c r="O1762" s="26"/>
      <c r="P1762" s="26"/>
      <c r="Q1762" s="26"/>
      <c r="R1762" s="26"/>
      <c r="S1762" s="26"/>
      <c r="T1762" s="26"/>
      <c r="U1762" s="26"/>
      <c r="V1762" s="26"/>
      <c r="W1762" s="27"/>
    </row>
    <row r="1763" spans="1:23" ht="15.75" customHeight="1" x14ac:dyDescent="0.25">
      <c r="A1763" s="23"/>
      <c r="B1763" s="23" t="str">
        <f t="shared" si="8"/>
        <v/>
      </c>
      <c r="C1763" s="23"/>
      <c r="D1763" s="44"/>
      <c r="E1763" s="23"/>
      <c r="F1763" s="45"/>
      <c r="G1763" s="23"/>
      <c r="H1763" s="23"/>
      <c r="I1763" s="23"/>
      <c r="J1763" s="25"/>
      <c r="K1763" s="23"/>
      <c r="L1763" s="51"/>
      <c r="M1763" s="23"/>
      <c r="N1763" s="26"/>
      <c r="O1763" s="26"/>
      <c r="P1763" s="26"/>
      <c r="Q1763" s="26"/>
      <c r="R1763" s="26"/>
      <c r="S1763" s="26"/>
      <c r="T1763" s="26"/>
      <c r="U1763" s="26"/>
      <c r="V1763" s="26"/>
      <c r="W1763" s="27"/>
    </row>
    <row r="1764" spans="1:23" ht="15.75" customHeight="1" x14ac:dyDescent="0.25">
      <c r="A1764" s="23"/>
      <c r="B1764" s="23" t="str">
        <f t="shared" si="8"/>
        <v/>
      </c>
      <c r="C1764" s="23"/>
      <c r="D1764" s="44"/>
      <c r="E1764" s="23"/>
      <c r="F1764" s="45"/>
      <c r="G1764" s="23"/>
      <c r="H1764" s="23"/>
      <c r="I1764" s="23"/>
      <c r="J1764" s="25"/>
      <c r="K1764" s="23"/>
      <c r="L1764" s="51"/>
      <c r="M1764" s="23"/>
      <c r="N1764" s="26"/>
      <c r="O1764" s="26"/>
      <c r="P1764" s="26"/>
      <c r="Q1764" s="26"/>
      <c r="R1764" s="26"/>
      <c r="S1764" s="26"/>
      <c r="T1764" s="26"/>
      <c r="U1764" s="26"/>
      <c r="V1764" s="26"/>
      <c r="W1764" s="27"/>
    </row>
    <row r="1765" spans="1:23" ht="15.75" customHeight="1" x14ac:dyDescent="0.25">
      <c r="A1765" s="23"/>
      <c r="B1765" s="23" t="str">
        <f t="shared" si="8"/>
        <v/>
      </c>
      <c r="C1765" s="23"/>
      <c r="D1765" s="44"/>
      <c r="E1765" s="23"/>
      <c r="F1765" s="45"/>
      <c r="G1765" s="23"/>
      <c r="H1765" s="23"/>
      <c r="I1765" s="23"/>
      <c r="J1765" s="25"/>
      <c r="K1765" s="23"/>
      <c r="L1765" s="51"/>
      <c r="M1765" s="23"/>
      <c r="N1765" s="26"/>
      <c r="O1765" s="26"/>
      <c r="P1765" s="26"/>
      <c r="Q1765" s="26"/>
      <c r="R1765" s="26"/>
      <c r="S1765" s="26"/>
      <c r="T1765" s="26"/>
      <c r="U1765" s="26"/>
      <c r="V1765" s="26"/>
      <c r="W1765" s="27"/>
    </row>
    <row r="1766" spans="1:23" ht="15.75" customHeight="1" x14ac:dyDescent="0.25">
      <c r="A1766" s="23"/>
      <c r="B1766" s="23" t="str">
        <f t="shared" si="8"/>
        <v/>
      </c>
      <c r="C1766" s="23"/>
      <c r="D1766" s="44"/>
      <c r="E1766" s="23"/>
      <c r="F1766" s="45"/>
      <c r="G1766" s="23"/>
      <c r="H1766" s="23"/>
      <c r="I1766" s="23"/>
      <c r="J1766" s="25"/>
      <c r="K1766" s="23"/>
      <c r="L1766" s="51"/>
      <c r="M1766" s="23"/>
      <c r="N1766" s="26"/>
      <c r="O1766" s="26"/>
      <c r="P1766" s="26"/>
      <c r="Q1766" s="26"/>
      <c r="R1766" s="26"/>
      <c r="S1766" s="26"/>
      <c r="T1766" s="26"/>
      <c r="U1766" s="26"/>
      <c r="V1766" s="26"/>
      <c r="W1766" s="27"/>
    </row>
    <row r="1767" spans="1:23" ht="15.75" customHeight="1" x14ac:dyDescent="0.25">
      <c r="A1767" s="23"/>
      <c r="B1767" s="23" t="str">
        <f t="shared" si="8"/>
        <v/>
      </c>
      <c r="C1767" s="23"/>
      <c r="D1767" s="44"/>
      <c r="E1767" s="23"/>
      <c r="F1767" s="45"/>
      <c r="G1767" s="23"/>
      <c r="H1767" s="23"/>
      <c r="I1767" s="23"/>
      <c r="J1767" s="25"/>
      <c r="K1767" s="23"/>
      <c r="L1767" s="51"/>
      <c r="M1767" s="23"/>
      <c r="N1767" s="26"/>
      <c r="O1767" s="26"/>
      <c r="P1767" s="26"/>
      <c r="Q1767" s="26"/>
      <c r="R1767" s="26"/>
      <c r="S1767" s="26"/>
      <c r="T1767" s="26"/>
      <c r="U1767" s="26"/>
      <c r="V1767" s="26"/>
      <c r="W1767" s="27"/>
    </row>
    <row r="1768" spans="1:23" ht="15.75" customHeight="1" x14ac:dyDescent="0.25">
      <c r="A1768" s="23"/>
      <c r="B1768" s="23" t="str">
        <f t="shared" si="8"/>
        <v/>
      </c>
      <c r="C1768" s="23"/>
      <c r="D1768" s="44"/>
      <c r="E1768" s="23"/>
      <c r="F1768" s="45"/>
      <c r="G1768" s="23"/>
      <c r="H1768" s="23"/>
      <c r="I1768" s="23"/>
      <c r="J1768" s="25"/>
      <c r="K1768" s="23"/>
      <c r="L1768" s="51"/>
      <c r="M1768" s="23"/>
      <c r="N1768" s="26"/>
      <c r="O1768" s="26"/>
      <c r="P1768" s="26"/>
      <c r="Q1768" s="26"/>
      <c r="R1768" s="26"/>
      <c r="S1768" s="26"/>
      <c r="T1768" s="26"/>
      <c r="U1768" s="26"/>
      <c r="V1768" s="26"/>
      <c r="W1768" s="27"/>
    </row>
    <row r="1769" spans="1:23" ht="15.75" customHeight="1" x14ac:dyDescent="0.25">
      <c r="A1769" s="23"/>
      <c r="B1769" s="23" t="str">
        <f t="shared" si="8"/>
        <v/>
      </c>
      <c r="C1769" s="23"/>
      <c r="D1769" s="44"/>
      <c r="E1769" s="23"/>
      <c r="F1769" s="45"/>
      <c r="G1769" s="23"/>
      <c r="H1769" s="23"/>
      <c r="I1769" s="23"/>
      <c r="J1769" s="25"/>
      <c r="K1769" s="23"/>
      <c r="L1769" s="51"/>
      <c r="M1769" s="23"/>
      <c r="N1769" s="26"/>
      <c r="O1769" s="26"/>
      <c r="P1769" s="26"/>
      <c r="Q1769" s="26"/>
      <c r="R1769" s="26"/>
      <c r="S1769" s="26"/>
      <c r="T1769" s="26"/>
      <c r="U1769" s="26"/>
      <c r="V1769" s="26"/>
      <c r="W1769" s="27"/>
    </row>
    <row r="1770" spans="1:23" ht="15.75" customHeight="1" x14ac:dyDescent="0.25">
      <c r="A1770" s="23"/>
      <c r="B1770" s="23" t="str">
        <f t="shared" si="8"/>
        <v/>
      </c>
      <c r="C1770" s="23"/>
      <c r="D1770" s="44"/>
      <c r="E1770" s="23"/>
      <c r="F1770" s="45"/>
      <c r="G1770" s="23"/>
      <c r="H1770" s="23"/>
      <c r="I1770" s="23"/>
      <c r="J1770" s="25"/>
      <c r="K1770" s="23"/>
      <c r="L1770" s="51"/>
      <c r="M1770" s="23"/>
      <c r="N1770" s="26"/>
      <c r="O1770" s="26"/>
      <c r="P1770" s="26"/>
      <c r="Q1770" s="26"/>
      <c r="R1770" s="26"/>
      <c r="S1770" s="26"/>
      <c r="T1770" s="26"/>
      <c r="U1770" s="26"/>
      <c r="V1770" s="26"/>
      <c r="W1770" s="27"/>
    </row>
    <row r="1771" spans="1:23" ht="15.75" customHeight="1" x14ac:dyDescent="0.25">
      <c r="A1771" s="23"/>
      <c r="B1771" s="23" t="str">
        <f t="shared" si="8"/>
        <v/>
      </c>
      <c r="C1771" s="23"/>
      <c r="D1771" s="44"/>
      <c r="E1771" s="23"/>
      <c r="F1771" s="45"/>
      <c r="G1771" s="23"/>
      <c r="H1771" s="23"/>
      <c r="I1771" s="23"/>
      <c r="J1771" s="25"/>
      <c r="K1771" s="23"/>
      <c r="L1771" s="51"/>
      <c r="M1771" s="23"/>
      <c r="N1771" s="26"/>
      <c r="O1771" s="26"/>
      <c r="P1771" s="26"/>
      <c r="Q1771" s="26"/>
      <c r="R1771" s="26"/>
      <c r="S1771" s="26"/>
      <c r="T1771" s="26"/>
      <c r="U1771" s="26"/>
      <c r="V1771" s="26"/>
      <c r="W1771" s="27"/>
    </row>
    <row r="1772" spans="1:23" ht="15.75" customHeight="1" x14ac:dyDescent="0.25">
      <c r="A1772" s="23"/>
      <c r="B1772" s="23" t="str">
        <f t="shared" si="8"/>
        <v/>
      </c>
      <c r="C1772" s="23"/>
      <c r="D1772" s="44"/>
      <c r="E1772" s="23"/>
      <c r="F1772" s="45"/>
      <c r="G1772" s="23"/>
      <c r="H1772" s="23"/>
      <c r="I1772" s="23"/>
      <c r="J1772" s="25"/>
      <c r="K1772" s="23"/>
      <c r="L1772" s="51"/>
      <c r="M1772" s="23"/>
      <c r="N1772" s="26"/>
      <c r="O1772" s="26"/>
      <c r="P1772" s="26"/>
      <c r="Q1772" s="26"/>
      <c r="R1772" s="26"/>
      <c r="S1772" s="26"/>
      <c r="T1772" s="26"/>
      <c r="U1772" s="26"/>
      <c r="V1772" s="26"/>
      <c r="W1772" s="27"/>
    </row>
    <row r="1773" spans="1:23" ht="15.75" customHeight="1" x14ac:dyDescent="0.25">
      <c r="A1773" s="23"/>
      <c r="B1773" s="23" t="str">
        <f t="shared" si="8"/>
        <v/>
      </c>
      <c r="C1773" s="23"/>
      <c r="D1773" s="44"/>
      <c r="E1773" s="23"/>
      <c r="F1773" s="45"/>
      <c r="G1773" s="23"/>
      <c r="H1773" s="23"/>
      <c r="I1773" s="23"/>
      <c r="J1773" s="25"/>
      <c r="K1773" s="23"/>
      <c r="L1773" s="51"/>
      <c r="M1773" s="23"/>
      <c r="N1773" s="26"/>
      <c r="O1773" s="26"/>
      <c r="P1773" s="26"/>
      <c r="Q1773" s="26"/>
      <c r="R1773" s="26"/>
      <c r="S1773" s="26"/>
      <c r="T1773" s="26"/>
      <c r="U1773" s="26"/>
      <c r="V1773" s="26"/>
      <c r="W1773" s="27"/>
    </row>
    <row r="1774" spans="1:23" ht="15.75" customHeight="1" x14ac:dyDescent="0.25">
      <c r="A1774" s="23"/>
      <c r="B1774" s="23" t="str">
        <f t="shared" si="8"/>
        <v/>
      </c>
      <c r="C1774" s="23"/>
      <c r="D1774" s="44"/>
      <c r="E1774" s="23"/>
      <c r="F1774" s="45"/>
      <c r="G1774" s="23"/>
      <c r="H1774" s="23"/>
      <c r="I1774" s="23"/>
      <c r="J1774" s="25"/>
      <c r="K1774" s="23"/>
      <c r="L1774" s="51"/>
      <c r="M1774" s="23"/>
      <c r="N1774" s="26"/>
      <c r="O1774" s="26"/>
      <c r="P1774" s="26"/>
      <c r="Q1774" s="26"/>
      <c r="R1774" s="26"/>
      <c r="S1774" s="26"/>
      <c r="T1774" s="26"/>
      <c r="U1774" s="26"/>
      <c r="V1774" s="26"/>
      <c r="W1774" s="27"/>
    </row>
    <row r="1775" spans="1:23" ht="15.75" customHeight="1" x14ac:dyDescent="0.25">
      <c r="A1775" s="23"/>
      <c r="B1775" s="23" t="str">
        <f t="shared" si="8"/>
        <v/>
      </c>
      <c r="C1775" s="23"/>
      <c r="D1775" s="44"/>
      <c r="E1775" s="23"/>
      <c r="F1775" s="45"/>
      <c r="G1775" s="23"/>
      <c r="H1775" s="23"/>
      <c r="I1775" s="23"/>
      <c r="J1775" s="25"/>
      <c r="K1775" s="23"/>
      <c r="L1775" s="51"/>
      <c r="M1775" s="23"/>
      <c r="N1775" s="26"/>
      <c r="O1775" s="26"/>
      <c r="P1775" s="26"/>
      <c r="Q1775" s="26"/>
      <c r="R1775" s="26"/>
      <c r="S1775" s="26"/>
      <c r="T1775" s="26"/>
      <c r="U1775" s="26"/>
      <c r="V1775" s="26"/>
      <c r="W1775" s="27"/>
    </row>
    <row r="1776" spans="1:23" ht="15.75" customHeight="1" x14ac:dyDescent="0.25">
      <c r="A1776" s="23"/>
      <c r="B1776" s="23" t="str">
        <f t="shared" si="8"/>
        <v/>
      </c>
      <c r="C1776" s="23"/>
      <c r="D1776" s="44"/>
      <c r="E1776" s="23"/>
      <c r="F1776" s="45"/>
      <c r="G1776" s="23"/>
      <c r="H1776" s="23"/>
      <c r="I1776" s="23"/>
      <c r="J1776" s="25"/>
      <c r="K1776" s="23"/>
      <c r="L1776" s="51"/>
      <c r="M1776" s="23"/>
      <c r="N1776" s="26"/>
      <c r="O1776" s="26"/>
      <c r="P1776" s="26"/>
      <c r="Q1776" s="26"/>
      <c r="R1776" s="26"/>
      <c r="S1776" s="26"/>
      <c r="T1776" s="26"/>
      <c r="U1776" s="26"/>
      <c r="V1776" s="26"/>
      <c r="W1776" s="27"/>
    </row>
    <row r="1777" spans="1:23" ht="15.75" customHeight="1" x14ac:dyDescent="0.25">
      <c r="A1777" s="23"/>
      <c r="B1777" s="23" t="str">
        <f t="shared" si="8"/>
        <v/>
      </c>
      <c r="C1777" s="23"/>
      <c r="D1777" s="44"/>
      <c r="E1777" s="23"/>
      <c r="F1777" s="45"/>
      <c r="G1777" s="23"/>
      <c r="H1777" s="23"/>
      <c r="I1777" s="23"/>
      <c r="J1777" s="25"/>
      <c r="K1777" s="23"/>
      <c r="L1777" s="51"/>
      <c r="M1777" s="23"/>
      <c r="N1777" s="26"/>
      <c r="O1777" s="26"/>
      <c r="P1777" s="26"/>
      <c r="Q1777" s="26"/>
      <c r="R1777" s="26"/>
      <c r="S1777" s="26"/>
      <c r="T1777" s="26"/>
      <c r="U1777" s="26"/>
      <c r="V1777" s="26"/>
      <c r="W1777" s="27"/>
    </row>
    <row r="1778" spans="1:23" ht="15.75" customHeight="1" x14ac:dyDescent="0.25">
      <c r="A1778" s="23"/>
      <c r="B1778" s="23" t="str">
        <f t="shared" si="8"/>
        <v/>
      </c>
      <c r="C1778" s="23"/>
      <c r="D1778" s="44"/>
      <c r="E1778" s="23"/>
      <c r="F1778" s="45"/>
      <c r="G1778" s="23"/>
      <c r="H1778" s="23"/>
      <c r="I1778" s="23"/>
      <c r="J1778" s="25"/>
      <c r="K1778" s="23"/>
      <c r="L1778" s="51"/>
      <c r="M1778" s="23"/>
      <c r="N1778" s="26"/>
      <c r="O1778" s="26"/>
      <c r="P1778" s="26"/>
      <c r="Q1778" s="26"/>
      <c r="R1778" s="26"/>
      <c r="S1778" s="26"/>
      <c r="T1778" s="26"/>
      <c r="U1778" s="26"/>
      <c r="V1778" s="26"/>
      <c r="W1778" s="27"/>
    </row>
    <row r="1779" spans="1:23" ht="15.75" customHeight="1" x14ac:dyDescent="0.25">
      <c r="A1779" s="23"/>
      <c r="B1779" s="23" t="str">
        <f t="shared" si="8"/>
        <v/>
      </c>
      <c r="C1779" s="23"/>
      <c r="D1779" s="44"/>
      <c r="E1779" s="23"/>
      <c r="F1779" s="45"/>
      <c r="G1779" s="23"/>
      <c r="H1779" s="23"/>
      <c r="I1779" s="23"/>
      <c r="J1779" s="25"/>
      <c r="K1779" s="23"/>
      <c r="L1779" s="51"/>
      <c r="M1779" s="23"/>
      <c r="N1779" s="26"/>
      <c r="O1779" s="26"/>
      <c r="P1779" s="26"/>
      <c r="Q1779" s="26"/>
      <c r="R1779" s="26"/>
      <c r="S1779" s="26"/>
      <c r="T1779" s="26"/>
      <c r="U1779" s="26"/>
      <c r="V1779" s="26"/>
      <c r="W1779" s="27"/>
    </row>
    <row r="1780" spans="1:23" ht="15.75" customHeight="1" x14ac:dyDescent="0.25">
      <c r="A1780" s="23"/>
      <c r="B1780" s="23" t="str">
        <f t="shared" si="8"/>
        <v/>
      </c>
      <c r="C1780" s="23"/>
      <c r="D1780" s="44"/>
      <c r="E1780" s="23"/>
      <c r="F1780" s="45"/>
      <c r="G1780" s="23"/>
      <c r="H1780" s="23"/>
      <c r="I1780" s="23"/>
      <c r="J1780" s="25"/>
      <c r="K1780" s="23"/>
      <c r="L1780" s="51"/>
      <c r="M1780" s="23"/>
      <c r="N1780" s="26"/>
      <c r="O1780" s="26"/>
      <c r="P1780" s="26"/>
      <c r="Q1780" s="26"/>
      <c r="R1780" s="26"/>
      <c r="S1780" s="26"/>
      <c r="T1780" s="26"/>
      <c r="U1780" s="26"/>
      <c r="V1780" s="26"/>
      <c r="W1780" s="27"/>
    </row>
    <row r="1781" spans="1:23" ht="15.75" customHeight="1" x14ac:dyDescent="0.25">
      <c r="A1781" s="23"/>
      <c r="B1781" s="23" t="str">
        <f t="shared" si="8"/>
        <v/>
      </c>
      <c r="C1781" s="23"/>
      <c r="D1781" s="44"/>
      <c r="E1781" s="23"/>
      <c r="F1781" s="45"/>
      <c r="G1781" s="23"/>
      <c r="H1781" s="23"/>
      <c r="I1781" s="23"/>
      <c r="J1781" s="25"/>
      <c r="K1781" s="23"/>
      <c r="L1781" s="51"/>
      <c r="M1781" s="23"/>
      <c r="N1781" s="26"/>
      <c r="O1781" s="26"/>
      <c r="P1781" s="26"/>
      <c r="Q1781" s="26"/>
      <c r="R1781" s="26"/>
      <c r="S1781" s="26"/>
      <c r="T1781" s="26"/>
      <c r="U1781" s="26"/>
      <c r="V1781" s="26"/>
      <c r="W1781" s="27"/>
    </row>
    <row r="1782" spans="1:23" ht="15.75" customHeight="1" x14ac:dyDescent="0.25">
      <c r="A1782" s="23"/>
      <c r="B1782" s="23" t="str">
        <f t="shared" si="8"/>
        <v/>
      </c>
      <c r="C1782" s="23"/>
      <c r="D1782" s="44"/>
      <c r="E1782" s="23"/>
      <c r="F1782" s="45"/>
      <c r="G1782" s="23"/>
      <c r="H1782" s="23"/>
      <c r="I1782" s="23"/>
      <c r="J1782" s="25"/>
      <c r="K1782" s="23"/>
      <c r="L1782" s="51"/>
      <c r="M1782" s="23"/>
      <c r="N1782" s="26"/>
      <c r="O1782" s="26"/>
      <c r="P1782" s="26"/>
      <c r="Q1782" s="26"/>
      <c r="R1782" s="26"/>
      <c r="S1782" s="26"/>
      <c r="T1782" s="26"/>
      <c r="U1782" s="26"/>
      <c r="V1782" s="26"/>
      <c r="W1782" s="27"/>
    </row>
    <row r="1783" spans="1:23" ht="15.75" customHeight="1" x14ac:dyDescent="0.25">
      <c r="A1783" s="23"/>
      <c r="B1783" s="23" t="str">
        <f t="shared" si="8"/>
        <v/>
      </c>
      <c r="C1783" s="23"/>
      <c r="D1783" s="44"/>
      <c r="E1783" s="23"/>
      <c r="F1783" s="45"/>
      <c r="G1783" s="23"/>
      <c r="H1783" s="23"/>
      <c r="I1783" s="23"/>
      <c r="J1783" s="25"/>
      <c r="K1783" s="23"/>
      <c r="L1783" s="51"/>
      <c r="M1783" s="23"/>
      <c r="N1783" s="26"/>
      <c r="O1783" s="26"/>
      <c r="P1783" s="26"/>
      <c r="Q1783" s="26"/>
      <c r="R1783" s="26"/>
      <c r="S1783" s="26"/>
      <c r="T1783" s="26"/>
      <c r="U1783" s="26"/>
      <c r="V1783" s="26"/>
      <c r="W1783" s="27"/>
    </row>
    <row r="1784" spans="1:23" ht="15.75" customHeight="1" x14ac:dyDescent="0.25">
      <c r="A1784" s="23"/>
      <c r="B1784" s="23" t="str">
        <f t="shared" si="8"/>
        <v/>
      </c>
      <c r="C1784" s="23"/>
      <c r="D1784" s="44"/>
      <c r="E1784" s="23"/>
      <c r="F1784" s="45"/>
      <c r="G1784" s="23"/>
      <c r="H1784" s="23"/>
      <c r="I1784" s="23"/>
      <c r="J1784" s="25"/>
      <c r="K1784" s="23"/>
      <c r="L1784" s="51"/>
      <c r="M1784" s="23"/>
      <c r="N1784" s="26"/>
      <c r="O1784" s="26"/>
      <c r="P1784" s="26"/>
      <c r="Q1784" s="26"/>
      <c r="R1784" s="26"/>
      <c r="S1784" s="26"/>
      <c r="T1784" s="26"/>
      <c r="U1784" s="26"/>
      <c r="V1784" s="26"/>
      <c r="W1784" s="27"/>
    </row>
    <row r="1785" spans="1:23" ht="15.75" customHeight="1" x14ac:dyDescent="0.25">
      <c r="A1785" s="23"/>
      <c r="B1785" s="23" t="str">
        <f t="shared" si="8"/>
        <v/>
      </c>
      <c r="C1785" s="23"/>
      <c r="D1785" s="44"/>
      <c r="E1785" s="23"/>
      <c r="F1785" s="45"/>
      <c r="G1785" s="23"/>
      <c r="H1785" s="23"/>
      <c r="I1785" s="23"/>
      <c r="J1785" s="25"/>
      <c r="K1785" s="23"/>
      <c r="L1785" s="51"/>
      <c r="M1785" s="23"/>
      <c r="N1785" s="26"/>
      <c r="O1785" s="26"/>
      <c r="P1785" s="26"/>
      <c r="Q1785" s="26"/>
      <c r="R1785" s="26"/>
      <c r="S1785" s="26"/>
      <c r="T1785" s="26"/>
      <c r="U1785" s="26"/>
      <c r="V1785" s="26"/>
      <c r="W1785" s="27"/>
    </row>
    <row r="1786" spans="1:23" ht="15.75" customHeight="1" x14ac:dyDescent="0.25">
      <c r="A1786" s="23"/>
      <c r="B1786" s="23" t="str">
        <f t="shared" si="8"/>
        <v/>
      </c>
      <c r="C1786" s="23"/>
      <c r="D1786" s="44"/>
      <c r="E1786" s="23"/>
      <c r="F1786" s="45"/>
      <c r="G1786" s="23"/>
      <c r="H1786" s="23"/>
      <c r="I1786" s="23"/>
      <c r="J1786" s="25"/>
      <c r="K1786" s="23"/>
      <c r="L1786" s="51"/>
      <c r="M1786" s="23"/>
      <c r="N1786" s="26"/>
      <c r="O1786" s="26"/>
      <c r="P1786" s="26"/>
      <c r="Q1786" s="26"/>
      <c r="R1786" s="26"/>
      <c r="S1786" s="26"/>
      <c r="T1786" s="26"/>
      <c r="U1786" s="26"/>
      <c r="V1786" s="26"/>
      <c r="W1786" s="27"/>
    </row>
    <row r="1787" spans="1:23" ht="15.75" customHeight="1" x14ac:dyDescent="0.25">
      <c r="A1787" s="23"/>
      <c r="B1787" s="23" t="str">
        <f t="shared" si="8"/>
        <v/>
      </c>
      <c r="C1787" s="23"/>
      <c r="D1787" s="44"/>
      <c r="E1787" s="23"/>
      <c r="F1787" s="45"/>
      <c r="G1787" s="23"/>
      <c r="H1787" s="23"/>
      <c r="I1787" s="23"/>
      <c r="J1787" s="25"/>
      <c r="K1787" s="23"/>
      <c r="L1787" s="51"/>
      <c r="M1787" s="23"/>
      <c r="N1787" s="26"/>
      <c r="O1787" s="26"/>
      <c r="P1787" s="26"/>
      <c r="Q1787" s="26"/>
      <c r="R1787" s="26"/>
      <c r="S1787" s="26"/>
      <c r="T1787" s="26"/>
      <c r="U1787" s="26"/>
      <c r="V1787" s="26"/>
      <c r="W1787" s="27"/>
    </row>
    <row r="1788" spans="1:23" ht="15.75" customHeight="1" x14ac:dyDescent="0.25">
      <c r="A1788" s="23"/>
      <c r="B1788" s="23" t="str">
        <f t="shared" si="8"/>
        <v/>
      </c>
      <c r="C1788" s="23"/>
      <c r="D1788" s="44"/>
      <c r="E1788" s="23"/>
      <c r="F1788" s="45"/>
      <c r="G1788" s="23"/>
      <c r="H1788" s="23"/>
      <c r="I1788" s="23"/>
      <c r="J1788" s="25"/>
      <c r="K1788" s="23"/>
      <c r="L1788" s="51"/>
      <c r="M1788" s="23"/>
      <c r="N1788" s="26"/>
      <c r="O1788" s="26"/>
      <c r="P1788" s="26"/>
      <c r="Q1788" s="26"/>
      <c r="R1788" s="26"/>
      <c r="S1788" s="26"/>
      <c r="T1788" s="26"/>
      <c r="U1788" s="26"/>
      <c r="V1788" s="26"/>
      <c r="W1788" s="27"/>
    </row>
    <row r="1789" spans="1:23" ht="15.75" customHeight="1" x14ac:dyDescent="0.25">
      <c r="A1789" s="23"/>
      <c r="B1789" s="23" t="str">
        <f t="shared" si="8"/>
        <v/>
      </c>
      <c r="C1789" s="23"/>
      <c r="D1789" s="44"/>
      <c r="E1789" s="23"/>
      <c r="F1789" s="45"/>
      <c r="G1789" s="23"/>
      <c r="H1789" s="23"/>
      <c r="I1789" s="23"/>
      <c r="J1789" s="25"/>
      <c r="K1789" s="23"/>
      <c r="L1789" s="51"/>
      <c r="M1789" s="23"/>
      <c r="N1789" s="26"/>
      <c r="O1789" s="26"/>
      <c r="P1789" s="26"/>
      <c r="Q1789" s="26"/>
      <c r="R1789" s="26"/>
      <c r="S1789" s="26"/>
      <c r="T1789" s="26"/>
      <c r="U1789" s="26"/>
      <c r="V1789" s="26"/>
      <c r="W1789" s="27"/>
    </row>
    <row r="1790" spans="1:23" ht="15.75" customHeight="1" x14ac:dyDescent="0.25">
      <c r="A1790" s="23"/>
      <c r="B1790" s="23" t="str">
        <f t="shared" si="8"/>
        <v/>
      </c>
      <c r="C1790" s="23"/>
      <c r="D1790" s="44"/>
      <c r="E1790" s="23"/>
      <c r="F1790" s="45"/>
      <c r="G1790" s="23"/>
      <c r="H1790" s="23"/>
      <c r="I1790" s="23"/>
      <c r="J1790" s="25"/>
      <c r="K1790" s="23"/>
      <c r="L1790" s="51"/>
      <c r="M1790" s="23"/>
      <c r="N1790" s="26"/>
      <c r="O1790" s="26"/>
      <c r="P1790" s="26"/>
      <c r="Q1790" s="26"/>
      <c r="R1790" s="26"/>
      <c r="S1790" s="26"/>
      <c r="T1790" s="26"/>
      <c r="U1790" s="26"/>
      <c r="V1790" s="26"/>
      <c r="W1790" s="27"/>
    </row>
    <row r="1791" spans="1:23" ht="15.75" customHeight="1" x14ac:dyDescent="0.25">
      <c r="A1791" s="23"/>
      <c r="B1791" s="23" t="str">
        <f t="shared" si="8"/>
        <v/>
      </c>
      <c r="C1791" s="23"/>
      <c r="D1791" s="44"/>
      <c r="E1791" s="23"/>
      <c r="F1791" s="45"/>
      <c r="G1791" s="23"/>
      <c r="H1791" s="23"/>
      <c r="I1791" s="23"/>
      <c r="J1791" s="25"/>
      <c r="K1791" s="23"/>
      <c r="L1791" s="51"/>
      <c r="M1791" s="23"/>
      <c r="N1791" s="26"/>
      <c r="O1791" s="26"/>
      <c r="P1791" s="26"/>
      <c r="Q1791" s="26"/>
      <c r="R1791" s="26"/>
      <c r="S1791" s="26"/>
      <c r="T1791" s="26"/>
      <c r="U1791" s="26"/>
      <c r="V1791" s="26"/>
      <c r="W1791" s="27"/>
    </row>
    <row r="1792" spans="1:23" ht="15.75" customHeight="1" x14ac:dyDescent="0.25">
      <c r="A1792" s="23"/>
      <c r="B1792" s="23" t="str">
        <f t="shared" si="8"/>
        <v/>
      </c>
      <c r="C1792" s="23"/>
      <c r="D1792" s="44"/>
      <c r="E1792" s="23"/>
      <c r="F1792" s="45"/>
      <c r="G1792" s="23"/>
      <c r="H1792" s="23"/>
      <c r="I1792" s="23"/>
      <c r="J1792" s="25"/>
      <c r="K1792" s="23"/>
      <c r="L1792" s="51"/>
      <c r="M1792" s="23"/>
      <c r="N1792" s="26"/>
      <c r="O1792" s="26"/>
      <c r="P1792" s="26"/>
      <c r="Q1792" s="26"/>
      <c r="R1792" s="26"/>
      <c r="S1792" s="26"/>
      <c r="T1792" s="26"/>
      <c r="U1792" s="26"/>
      <c r="V1792" s="26"/>
      <c r="W1792" s="27"/>
    </row>
    <row r="1793" spans="1:23" ht="15.75" customHeight="1" x14ac:dyDescent="0.25">
      <c r="A1793" s="23"/>
      <c r="B1793" s="23" t="str">
        <f t="shared" si="8"/>
        <v/>
      </c>
      <c r="C1793" s="23"/>
      <c r="D1793" s="44"/>
      <c r="E1793" s="23"/>
      <c r="F1793" s="45"/>
      <c r="G1793" s="23"/>
      <c r="H1793" s="23"/>
      <c r="I1793" s="23"/>
      <c r="J1793" s="25"/>
      <c r="K1793" s="23"/>
      <c r="L1793" s="51"/>
      <c r="M1793" s="23"/>
      <c r="N1793" s="26"/>
      <c r="O1793" s="26"/>
      <c r="P1793" s="26"/>
      <c r="Q1793" s="26"/>
      <c r="R1793" s="26"/>
      <c r="S1793" s="26"/>
      <c r="T1793" s="26"/>
      <c r="U1793" s="26"/>
      <c r="V1793" s="26"/>
      <c r="W1793" s="27"/>
    </row>
    <row r="1794" spans="1:23" ht="15.75" customHeight="1" x14ac:dyDescent="0.25">
      <c r="A1794" s="23"/>
      <c r="B1794" s="23" t="str">
        <f t="shared" si="8"/>
        <v/>
      </c>
      <c r="C1794" s="23"/>
      <c r="D1794" s="44"/>
      <c r="E1794" s="23"/>
      <c r="F1794" s="45"/>
      <c r="G1794" s="23"/>
      <c r="H1794" s="23"/>
      <c r="I1794" s="23"/>
      <c r="J1794" s="25"/>
      <c r="K1794" s="23"/>
      <c r="L1794" s="51"/>
      <c r="M1794" s="23"/>
      <c r="N1794" s="26"/>
      <c r="O1794" s="26"/>
      <c r="P1794" s="26"/>
      <c r="Q1794" s="26"/>
      <c r="R1794" s="26"/>
      <c r="S1794" s="26"/>
      <c r="T1794" s="26"/>
      <c r="U1794" s="26"/>
      <c r="V1794" s="26"/>
      <c r="W1794" s="27"/>
    </row>
    <row r="1795" spans="1:23" ht="15.75" customHeight="1" x14ac:dyDescent="0.25">
      <c r="A1795" s="23"/>
      <c r="B1795" s="23" t="str">
        <f t="shared" si="8"/>
        <v/>
      </c>
      <c r="C1795" s="23"/>
      <c r="D1795" s="44"/>
      <c r="E1795" s="23"/>
      <c r="F1795" s="45"/>
      <c r="G1795" s="23"/>
      <c r="H1795" s="23"/>
      <c r="I1795" s="23"/>
      <c r="J1795" s="25"/>
      <c r="K1795" s="23"/>
      <c r="L1795" s="51"/>
      <c r="M1795" s="23"/>
      <c r="N1795" s="26"/>
      <c r="O1795" s="26"/>
      <c r="P1795" s="26"/>
      <c r="Q1795" s="26"/>
      <c r="R1795" s="26"/>
      <c r="S1795" s="26"/>
      <c r="T1795" s="26"/>
      <c r="U1795" s="26"/>
      <c r="V1795" s="26"/>
      <c r="W1795" s="27"/>
    </row>
    <row r="1796" spans="1:23" ht="15.75" customHeight="1" x14ac:dyDescent="0.25">
      <c r="A1796" s="23"/>
      <c r="B1796" s="23" t="str">
        <f t="shared" si="8"/>
        <v/>
      </c>
      <c r="C1796" s="23"/>
      <c r="D1796" s="44"/>
      <c r="E1796" s="23"/>
      <c r="F1796" s="45"/>
      <c r="G1796" s="23"/>
      <c r="H1796" s="23"/>
      <c r="I1796" s="23"/>
      <c r="J1796" s="25"/>
      <c r="K1796" s="23"/>
      <c r="L1796" s="51"/>
      <c r="M1796" s="23"/>
      <c r="N1796" s="26"/>
      <c r="O1796" s="26"/>
      <c r="P1796" s="26"/>
      <c r="Q1796" s="26"/>
      <c r="R1796" s="26"/>
      <c r="S1796" s="26"/>
      <c r="T1796" s="26"/>
      <c r="U1796" s="26"/>
      <c r="V1796" s="26"/>
      <c r="W1796" s="27"/>
    </row>
    <row r="1797" spans="1:23" ht="15.75" customHeight="1" x14ac:dyDescent="0.25">
      <c r="A1797" s="23"/>
      <c r="B1797" s="23" t="str">
        <f t="shared" si="8"/>
        <v/>
      </c>
      <c r="C1797" s="23"/>
      <c r="D1797" s="44"/>
      <c r="E1797" s="23"/>
      <c r="F1797" s="45"/>
      <c r="G1797" s="23"/>
      <c r="H1797" s="23"/>
      <c r="I1797" s="23"/>
      <c r="J1797" s="25"/>
      <c r="K1797" s="23"/>
      <c r="L1797" s="51"/>
      <c r="M1797" s="23"/>
      <c r="N1797" s="26"/>
      <c r="O1797" s="26"/>
      <c r="P1797" s="26"/>
      <c r="Q1797" s="26"/>
      <c r="R1797" s="26"/>
      <c r="S1797" s="26"/>
      <c r="T1797" s="26"/>
      <c r="U1797" s="26"/>
      <c r="V1797" s="26"/>
      <c r="W1797" s="27"/>
    </row>
    <row r="1798" spans="1:23" ht="15.75" customHeight="1" x14ac:dyDescent="0.25">
      <c r="A1798" s="23"/>
      <c r="B1798" s="23" t="str">
        <f t="shared" si="8"/>
        <v/>
      </c>
      <c r="C1798" s="23"/>
      <c r="D1798" s="44"/>
      <c r="E1798" s="23"/>
      <c r="F1798" s="45"/>
      <c r="G1798" s="23"/>
      <c r="H1798" s="23"/>
      <c r="I1798" s="23"/>
      <c r="J1798" s="25"/>
      <c r="K1798" s="23"/>
      <c r="L1798" s="51"/>
      <c r="M1798" s="23"/>
      <c r="N1798" s="26"/>
      <c r="O1798" s="26"/>
      <c r="P1798" s="26"/>
      <c r="Q1798" s="26"/>
      <c r="R1798" s="26"/>
      <c r="S1798" s="26"/>
      <c r="T1798" s="26"/>
      <c r="U1798" s="26"/>
      <c r="V1798" s="26"/>
      <c r="W1798" s="27"/>
    </row>
    <row r="1799" spans="1:23" ht="15.75" customHeight="1" x14ac:dyDescent="0.25">
      <c r="A1799" s="23"/>
      <c r="B1799" s="23" t="str">
        <f t="shared" si="8"/>
        <v/>
      </c>
      <c r="C1799" s="23"/>
      <c r="D1799" s="44"/>
      <c r="E1799" s="23"/>
      <c r="F1799" s="45"/>
      <c r="G1799" s="23"/>
      <c r="H1799" s="23"/>
      <c r="I1799" s="23"/>
      <c r="J1799" s="25"/>
      <c r="K1799" s="23"/>
      <c r="L1799" s="51"/>
      <c r="M1799" s="23"/>
      <c r="N1799" s="26"/>
      <c r="O1799" s="26"/>
      <c r="P1799" s="26"/>
      <c r="Q1799" s="26"/>
      <c r="R1799" s="26"/>
      <c r="S1799" s="26"/>
      <c r="T1799" s="26"/>
      <c r="U1799" s="26"/>
      <c r="V1799" s="26"/>
      <c r="W1799" s="27"/>
    </row>
    <row r="1800" spans="1:23" ht="15.75" customHeight="1" x14ac:dyDescent="0.25">
      <c r="A1800" s="23"/>
      <c r="B1800" s="23" t="str">
        <f t="shared" si="8"/>
        <v/>
      </c>
      <c r="C1800" s="23"/>
      <c r="D1800" s="44"/>
      <c r="E1800" s="23"/>
      <c r="F1800" s="45"/>
      <c r="G1800" s="23"/>
      <c r="H1800" s="23"/>
      <c r="I1800" s="23"/>
      <c r="J1800" s="25"/>
      <c r="K1800" s="23"/>
      <c r="L1800" s="51"/>
      <c r="M1800" s="23"/>
      <c r="N1800" s="26"/>
      <c r="O1800" s="26"/>
      <c r="P1800" s="26"/>
      <c r="Q1800" s="26"/>
      <c r="R1800" s="26"/>
      <c r="S1800" s="26"/>
      <c r="T1800" s="26"/>
      <c r="U1800" s="26"/>
      <c r="V1800" s="26"/>
      <c r="W1800" s="27"/>
    </row>
    <row r="1801" spans="1:23" ht="15.75" customHeight="1" x14ac:dyDescent="0.25">
      <c r="A1801" s="23"/>
      <c r="B1801" s="23" t="str">
        <f t="shared" si="8"/>
        <v/>
      </c>
      <c r="C1801" s="23"/>
      <c r="D1801" s="44"/>
      <c r="E1801" s="23"/>
      <c r="F1801" s="45"/>
      <c r="G1801" s="23"/>
      <c r="H1801" s="23"/>
      <c r="I1801" s="23"/>
      <c r="J1801" s="25"/>
      <c r="K1801" s="23"/>
      <c r="L1801" s="51"/>
      <c r="M1801" s="23"/>
      <c r="N1801" s="26"/>
      <c r="O1801" s="26"/>
      <c r="P1801" s="26"/>
      <c r="Q1801" s="26"/>
      <c r="R1801" s="26"/>
      <c r="S1801" s="26"/>
      <c r="T1801" s="26"/>
      <c r="U1801" s="26"/>
      <c r="V1801" s="26"/>
      <c r="W1801" s="27"/>
    </row>
    <row r="1802" spans="1:23" ht="15.75" customHeight="1" x14ac:dyDescent="0.25">
      <c r="A1802" s="23"/>
      <c r="B1802" s="23" t="str">
        <f t="shared" si="8"/>
        <v/>
      </c>
      <c r="C1802" s="23"/>
      <c r="D1802" s="44"/>
      <c r="E1802" s="23"/>
      <c r="F1802" s="45"/>
      <c r="G1802" s="23"/>
      <c r="H1802" s="23"/>
      <c r="I1802" s="23"/>
      <c r="J1802" s="25"/>
      <c r="K1802" s="23"/>
      <c r="L1802" s="51"/>
      <c r="M1802" s="23"/>
      <c r="N1802" s="26"/>
      <c r="O1802" s="26"/>
      <c r="P1802" s="26"/>
      <c r="Q1802" s="26"/>
      <c r="R1802" s="26"/>
      <c r="S1802" s="26"/>
      <c r="T1802" s="26"/>
      <c r="U1802" s="26"/>
      <c r="V1802" s="26"/>
      <c r="W1802" s="27"/>
    </row>
    <row r="1803" spans="1:23" ht="15.75" customHeight="1" x14ac:dyDescent="0.25">
      <c r="A1803" s="23"/>
      <c r="B1803" s="23" t="str">
        <f t="shared" si="8"/>
        <v/>
      </c>
      <c r="C1803" s="23"/>
      <c r="D1803" s="44"/>
      <c r="E1803" s="23"/>
      <c r="F1803" s="45"/>
      <c r="G1803" s="23"/>
      <c r="H1803" s="23"/>
      <c r="I1803" s="23"/>
      <c r="J1803" s="25"/>
      <c r="K1803" s="23"/>
      <c r="L1803" s="51"/>
      <c r="M1803" s="23"/>
      <c r="N1803" s="26"/>
      <c r="O1803" s="26"/>
      <c r="P1803" s="26"/>
      <c r="Q1803" s="26"/>
      <c r="R1803" s="26"/>
      <c r="S1803" s="26"/>
      <c r="T1803" s="26"/>
      <c r="U1803" s="26"/>
      <c r="V1803" s="26"/>
      <c r="W1803" s="27"/>
    </row>
    <row r="1804" spans="1:23" ht="15.75" customHeight="1" x14ac:dyDescent="0.25">
      <c r="A1804" s="23"/>
      <c r="B1804" s="23" t="str">
        <f t="shared" si="8"/>
        <v/>
      </c>
      <c r="C1804" s="23"/>
      <c r="D1804" s="44"/>
      <c r="E1804" s="23"/>
      <c r="F1804" s="45"/>
      <c r="G1804" s="23"/>
      <c r="H1804" s="23"/>
      <c r="I1804" s="23"/>
      <c r="J1804" s="25"/>
      <c r="K1804" s="23"/>
      <c r="L1804" s="51"/>
      <c r="M1804" s="23"/>
      <c r="N1804" s="26"/>
      <c r="O1804" s="26"/>
      <c r="P1804" s="26"/>
      <c r="Q1804" s="26"/>
      <c r="R1804" s="26"/>
      <c r="S1804" s="26"/>
      <c r="T1804" s="26"/>
      <c r="U1804" s="26"/>
      <c r="V1804" s="26"/>
      <c r="W1804" s="27"/>
    </row>
    <row r="1805" spans="1:23" ht="15.75" customHeight="1" x14ac:dyDescent="0.25">
      <c r="A1805" s="23"/>
      <c r="B1805" s="23" t="str">
        <f t="shared" si="8"/>
        <v/>
      </c>
      <c r="C1805" s="23"/>
      <c r="D1805" s="44"/>
      <c r="E1805" s="23"/>
      <c r="F1805" s="45"/>
      <c r="G1805" s="23"/>
      <c r="H1805" s="23"/>
      <c r="I1805" s="23"/>
      <c r="J1805" s="25"/>
      <c r="K1805" s="23"/>
      <c r="L1805" s="51"/>
      <c r="M1805" s="23"/>
      <c r="N1805" s="26"/>
      <c r="O1805" s="26"/>
      <c r="P1805" s="26"/>
      <c r="Q1805" s="26"/>
      <c r="R1805" s="26"/>
      <c r="S1805" s="26"/>
      <c r="T1805" s="26"/>
      <c r="U1805" s="26"/>
      <c r="V1805" s="26"/>
      <c r="W1805" s="27"/>
    </row>
    <row r="1806" spans="1:23" ht="15.75" customHeight="1" x14ac:dyDescent="0.25">
      <c r="A1806" s="23"/>
      <c r="B1806" s="23" t="str">
        <f t="shared" si="8"/>
        <v/>
      </c>
      <c r="C1806" s="23"/>
      <c r="D1806" s="44"/>
      <c r="E1806" s="23"/>
      <c r="F1806" s="45"/>
      <c r="G1806" s="23"/>
      <c r="H1806" s="23"/>
      <c r="I1806" s="23"/>
      <c r="J1806" s="25"/>
      <c r="K1806" s="23"/>
      <c r="L1806" s="51"/>
      <c r="M1806" s="23"/>
      <c r="N1806" s="26"/>
      <c r="O1806" s="26"/>
      <c r="P1806" s="26"/>
      <c r="Q1806" s="26"/>
      <c r="R1806" s="26"/>
      <c r="S1806" s="26"/>
      <c r="T1806" s="26"/>
      <c r="U1806" s="26"/>
      <c r="V1806" s="26"/>
      <c r="W1806" s="27"/>
    </row>
    <row r="1807" spans="1:23" ht="15.75" customHeight="1" x14ac:dyDescent="0.25">
      <c r="A1807" s="23"/>
      <c r="B1807" s="23" t="str">
        <f t="shared" si="8"/>
        <v/>
      </c>
      <c r="C1807" s="23"/>
      <c r="D1807" s="44"/>
      <c r="E1807" s="23"/>
      <c r="F1807" s="45"/>
      <c r="G1807" s="23"/>
      <c r="H1807" s="23"/>
      <c r="I1807" s="23"/>
      <c r="J1807" s="25"/>
      <c r="K1807" s="23"/>
      <c r="L1807" s="51"/>
      <c r="M1807" s="23"/>
      <c r="N1807" s="26"/>
      <c r="O1807" s="26"/>
      <c r="P1807" s="26"/>
      <c r="Q1807" s="26"/>
      <c r="R1807" s="26"/>
      <c r="S1807" s="26"/>
      <c r="T1807" s="26"/>
      <c r="U1807" s="26"/>
      <c r="V1807" s="26"/>
      <c r="W1807" s="27"/>
    </row>
    <row r="1808" spans="1:23" ht="15.75" customHeight="1" x14ac:dyDescent="0.25">
      <c r="A1808" s="23"/>
      <c r="B1808" s="23" t="str">
        <f t="shared" si="8"/>
        <v/>
      </c>
      <c r="C1808" s="23"/>
      <c r="D1808" s="44"/>
      <c r="E1808" s="23"/>
      <c r="F1808" s="45"/>
      <c r="G1808" s="23"/>
      <c r="H1808" s="23"/>
      <c r="I1808" s="23"/>
      <c r="J1808" s="25"/>
      <c r="K1808" s="23"/>
      <c r="L1808" s="51"/>
      <c r="M1808" s="23"/>
      <c r="N1808" s="26"/>
      <c r="O1808" s="26"/>
      <c r="P1808" s="26"/>
      <c r="Q1808" s="26"/>
      <c r="R1808" s="26"/>
      <c r="S1808" s="26"/>
      <c r="T1808" s="26"/>
      <c r="U1808" s="26"/>
      <c r="V1808" s="26"/>
      <c r="W1808" s="27"/>
    </row>
    <row r="1809" spans="1:23" ht="15.75" customHeight="1" x14ac:dyDescent="0.25">
      <c r="A1809" s="23"/>
      <c r="B1809" s="23" t="str">
        <f t="shared" si="8"/>
        <v/>
      </c>
      <c r="C1809" s="23"/>
      <c r="D1809" s="44"/>
      <c r="E1809" s="23"/>
      <c r="F1809" s="45"/>
      <c r="G1809" s="23"/>
      <c r="H1809" s="23"/>
      <c r="I1809" s="23"/>
      <c r="J1809" s="25"/>
      <c r="K1809" s="23"/>
      <c r="L1809" s="51"/>
      <c r="M1809" s="23"/>
      <c r="N1809" s="26"/>
      <c r="O1809" s="26"/>
      <c r="P1809" s="26"/>
      <c r="Q1809" s="26"/>
      <c r="R1809" s="26"/>
      <c r="S1809" s="26"/>
      <c r="T1809" s="26"/>
      <c r="U1809" s="26"/>
      <c r="V1809" s="26"/>
      <c r="W1809" s="27"/>
    </row>
    <row r="1810" spans="1:23" ht="15.75" customHeight="1" x14ac:dyDescent="0.25">
      <c r="A1810" s="23"/>
      <c r="B1810" s="23" t="str">
        <f t="shared" si="8"/>
        <v/>
      </c>
      <c r="C1810" s="23"/>
      <c r="D1810" s="44"/>
      <c r="E1810" s="23"/>
      <c r="F1810" s="45"/>
      <c r="G1810" s="23"/>
      <c r="H1810" s="23"/>
      <c r="I1810" s="23"/>
      <c r="J1810" s="25"/>
      <c r="K1810" s="23"/>
      <c r="L1810" s="51"/>
      <c r="M1810" s="23"/>
      <c r="N1810" s="26"/>
      <c r="O1810" s="26"/>
      <c r="P1810" s="26"/>
      <c r="Q1810" s="26"/>
      <c r="R1810" s="26"/>
      <c r="S1810" s="26"/>
      <c r="T1810" s="26"/>
      <c r="U1810" s="26"/>
      <c r="V1810" s="26"/>
      <c r="W1810" s="27"/>
    </row>
    <row r="1811" spans="1:23" ht="15.75" customHeight="1" x14ac:dyDescent="0.25">
      <c r="A1811" s="23"/>
      <c r="B1811" s="23" t="str">
        <f t="shared" si="8"/>
        <v/>
      </c>
      <c r="C1811" s="23"/>
      <c r="D1811" s="44"/>
      <c r="E1811" s="23"/>
      <c r="F1811" s="45"/>
      <c r="G1811" s="23"/>
      <c r="H1811" s="23"/>
      <c r="I1811" s="23"/>
      <c r="J1811" s="25"/>
      <c r="K1811" s="23"/>
      <c r="L1811" s="51"/>
      <c r="M1811" s="23"/>
      <c r="N1811" s="26"/>
      <c r="O1811" s="26"/>
      <c r="P1811" s="26"/>
      <c r="Q1811" s="26"/>
      <c r="R1811" s="26"/>
      <c r="S1811" s="26"/>
      <c r="T1811" s="26"/>
      <c r="U1811" s="26"/>
      <c r="V1811" s="26"/>
      <c r="W1811" s="27"/>
    </row>
    <row r="1812" spans="1:23" ht="15.75" customHeight="1" x14ac:dyDescent="0.25">
      <c r="A1812" s="23"/>
      <c r="B1812" s="23" t="str">
        <f t="shared" si="8"/>
        <v/>
      </c>
      <c r="C1812" s="23"/>
      <c r="D1812" s="44"/>
      <c r="E1812" s="23"/>
      <c r="F1812" s="45"/>
      <c r="G1812" s="23"/>
      <c r="H1812" s="23"/>
      <c r="I1812" s="23"/>
      <c r="J1812" s="25"/>
      <c r="K1812" s="23"/>
      <c r="L1812" s="51"/>
      <c r="M1812" s="23"/>
      <c r="N1812" s="26"/>
      <c r="O1812" s="26"/>
      <c r="P1812" s="26"/>
      <c r="Q1812" s="26"/>
      <c r="R1812" s="26"/>
      <c r="S1812" s="26"/>
      <c r="T1812" s="26"/>
      <c r="U1812" s="26"/>
      <c r="V1812" s="26"/>
      <c r="W1812" s="27"/>
    </row>
    <row r="1813" spans="1:23" ht="15.75" customHeight="1" x14ac:dyDescent="0.25">
      <c r="A1813" s="23"/>
      <c r="B1813" s="23" t="str">
        <f t="shared" si="8"/>
        <v/>
      </c>
      <c r="C1813" s="23"/>
      <c r="D1813" s="44"/>
      <c r="E1813" s="23"/>
      <c r="F1813" s="45"/>
      <c r="G1813" s="23"/>
      <c r="H1813" s="23"/>
      <c r="I1813" s="23"/>
      <c r="J1813" s="25"/>
      <c r="K1813" s="23"/>
      <c r="L1813" s="51"/>
      <c r="M1813" s="23"/>
      <c r="N1813" s="26"/>
      <c r="O1813" s="26"/>
      <c r="P1813" s="26"/>
      <c r="Q1813" s="26"/>
      <c r="R1813" s="26"/>
      <c r="S1813" s="26"/>
      <c r="T1813" s="26"/>
      <c r="U1813" s="26"/>
      <c r="V1813" s="26"/>
      <c r="W1813" s="27"/>
    </row>
    <row r="1814" spans="1:23" ht="15.75" customHeight="1" x14ac:dyDescent="0.25">
      <c r="A1814" s="23"/>
      <c r="B1814" s="23" t="str">
        <f t="shared" si="8"/>
        <v/>
      </c>
      <c r="C1814" s="23"/>
      <c r="D1814" s="44"/>
      <c r="E1814" s="23"/>
      <c r="F1814" s="45"/>
      <c r="G1814" s="23"/>
      <c r="H1814" s="23"/>
      <c r="I1814" s="23"/>
      <c r="J1814" s="25"/>
      <c r="K1814" s="23"/>
      <c r="L1814" s="51"/>
      <c r="M1814" s="23"/>
      <c r="N1814" s="26"/>
      <c r="O1814" s="26"/>
      <c r="P1814" s="26"/>
      <c r="Q1814" s="26"/>
      <c r="R1814" s="26"/>
      <c r="S1814" s="26"/>
      <c r="T1814" s="26"/>
      <c r="U1814" s="26"/>
      <c r="V1814" s="26"/>
      <c r="W1814" s="27"/>
    </row>
    <row r="1815" spans="1:23" ht="15.75" customHeight="1" x14ac:dyDescent="0.25">
      <c r="A1815" s="23"/>
      <c r="B1815" s="23" t="str">
        <f t="shared" si="8"/>
        <v/>
      </c>
      <c r="C1815" s="23"/>
      <c r="D1815" s="44"/>
      <c r="E1815" s="23"/>
      <c r="F1815" s="45"/>
      <c r="G1815" s="23"/>
      <c r="H1815" s="23"/>
      <c r="I1815" s="23"/>
      <c r="J1815" s="25"/>
      <c r="K1815" s="23"/>
      <c r="L1815" s="51"/>
      <c r="M1815" s="23"/>
      <c r="N1815" s="26"/>
      <c r="O1815" s="26"/>
      <c r="P1815" s="26"/>
      <c r="Q1815" s="26"/>
      <c r="R1815" s="26"/>
      <c r="S1815" s="26"/>
      <c r="T1815" s="26"/>
      <c r="U1815" s="26"/>
      <c r="V1815" s="26"/>
      <c r="W1815" s="27"/>
    </row>
    <row r="1816" spans="1:23" ht="15.75" customHeight="1" x14ac:dyDescent="0.25">
      <c r="A1816" s="23"/>
      <c r="B1816" s="23" t="str">
        <f t="shared" si="8"/>
        <v/>
      </c>
      <c r="C1816" s="23"/>
      <c r="D1816" s="44"/>
      <c r="E1816" s="23"/>
      <c r="F1816" s="45"/>
      <c r="G1816" s="23"/>
      <c r="H1816" s="23"/>
      <c r="I1816" s="23"/>
      <c r="J1816" s="25"/>
      <c r="K1816" s="23"/>
      <c r="L1816" s="51"/>
      <c r="M1816" s="23"/>
      <c r="N1816" s="26"/>
      <c r="O1816" s="26"/>
      <c r="P1816" s="26"/>
      <c r="Q1816" s="26"/>
      <c r="R1816" s="26"/>
      <c r="S1816" s="26"/>
      <c r="T1816" s="26"/>
      <c r="U1816" s="26"/>
      <c r="V1816" s="26"/>
      <c r="W1816" s="27"/>
    </row>
    <row r="1817" spans="1:23" ht="15.75" customHeight="1" x14ac:dyDescent="0.25">
      <c r="A1817" s="23"/>
      <c r="B1817" s="23" t="str">
        <f t="shared" si="8"/>
        <v/>
      </c>
      <c r="C1817" s="23"/>
      <c r="D1817" s="44"/>
      <c r="E1817" s="23"/>
      <c r="F1817" s="45"/>
      <c r="G1817" s="23"/>
      <c r="H1817" s="23"/>
      <c r="I1817" s="23"/>
      <c r="J1817" s="25"/>
      <c r="K1817" s="23"/>
      <c r="L1817" s="51"/>
      <c r="M1817" s="23"/>
      <c r="N1817" s="26"/>
      <c r="O1817" s="26"/>
      <c r="P1817" s="26"/>
      <c r="Q1817" s="26"/>
      <c r="R1817" s="26"/>
      <c r="S1817" s="26"/>
      <c r="T1817" s="26"/>
      <c r="U1817" s="26"/>
      <c r="V1817" s="26"/>
      <c r="W1817" s="27"/>
    </row>
    <row r="1818" spans="1:23" ht="15.75" customHeight="1" x14ac:dyDescent="0.25">
      <c r="A1818" s="23"/>
      <c r="B1818" s="23" t="str">
        <f t="shared" si="8"/>
        <v/>
      </c>
      <c r="C1818" s="23"/>
      <c r="D1818" s="44"/>
      <c r="E1818" s="23"/>
      <c r="F1818" s="45"/>
      <c r="G1818" s="23"/>
      <c r="H1818" s="23"/>
      <c r="I1818" s="23"/>
      <c r="J1818" s="25"/>
      <c r="K1818" s="23"/>
      <c r="L1818" s="51"/>
      <c r="M1818" s="23"/>
      <c r="N1818" s="26"/>
      <c r="O1818" s="26"/>
      <c r="P1818" s="26"/>
      <c r="Q1818" s="26"/>
      <c r="R1818" s="26"/>
      <c r="S1818" s="26"/>
      <c r="T1818" s="26"/>
      <c r="U1818" s="26"/>
      <c r="V1818" s="26"/>
      <c r="W1818" s="27"/>
    </row>
    <row r="1819" spans="1:23" ht="15.75" customHeight="1" x14ac:dyDescent="0.25">
      <c r="A1819" s="23"/>
      <c r="B1819" s="23" t="str">
        <f t="shared" si="8"/>
        <v/>
      </c>
      <c r="C1819" s="23"/>
      <c r="D1819" s="44"/>
      <c r="E1819" s="23"/>
      <c r="F1819" s="45"/>
      <c r="G1819" s="23"/>
      <c r="H1819" s="23"/>
      <c r="I1819" s="23"/>
      <c r="J1819" s="25"/>
      <c r="K1819" s="23"/>
      <c r="L1819" s="51"/>
      <c r="M1819" s="23"/>
      <c r="N1819" s="26"/>
      <c r="O1819" s="26"/>
      <c r="P1819" s="26"/>
      <c r="Q1819" s="26"/>
      <c r="R1819" s="26"/>
      <c r="S1819" s="26"/>
      <c r="T1819" s="26"/>
      <c r="U1819" s="26"/>
      <c r="V1819" s="26"/>
      <c r="W1819" s="27"/>
    </row>
    <row r="1820" spans="1:23" ht="15.75" customHeight="1" x14ac:dyDescent="0.25">
      <c r="A1820" s="23"/>
      <c r="B1820" s="23" t="str">
        <f t="shared" si="8"/>
        <v/>
      </c>
      <c r="C1820" s="23"/>
      <c r="D1820" s="44"/>
      <c r="E1820" s="23"/>
      <c r="F1820" s="45"/>
      <c r="G1820" s="23"/>
      <c r="H1820" s="23"/>
      <c r="I1820" s="23"/>
      <c r="J1820" s="25"/>
      <c r="K1820" s="23"/>
      <c r="L1820" s="51"/>
      <c r="M1820" s="23"/>
      <c r="N1820" s="26"/>
      <c r="O1820" s="26"/>
      <c r="P1820" s="26"/>
      <c r="Q1820" s="26"/>
      <c r="R1820" s="26"/>
      <c r="S1820" s="26"/>
      <c r="T1820" s="26"/>
      <c r="U1820" s="26"/>
      <c r="V1820" s="26"/>
      <c r="W1820" s="27"/>
    </row>
    <row r="1821" spans="1:23" ht="15.75" customHeight="1" x14ac:dyDescent="0.25">
      <c r="A1821" s="23"/>
      <c r="B1821" s="23" t="str">
        <f t="shared" si="8"/>
        <v/>
      </c>
      <c r="C1821" s="23"/>
      <c r="D1821" s="44"/>
      <c r="E1821" s="23"/>
      <c r="F1821" s="45"/>
      <c r="G1821" s="23"/>
      <c r="H1821" s="23"/>
      <c r="I1821" s="23"/>
      <c r="J1821" s="25"/>
      <c r="K1821" s="23"/>
      <c r="L1821" s="51"/>
      <c r="M1821" s="23"/>
      <c r="N1821" s="26"/>
      <c r="O1821" s="26"/>
      <c r="P1821" s="26"/>
      <c r="Q1821" s="26"/>
      <c r="R1821" s="26"/>
      <c r="S1821" s="26"/>
      <c r="T1821" s="26"/>
      <c r="U1821" s="26"/>
      <c r="V1821" s="26"/>
      <c r="W1821" s="27"/>
    </row>
    <row r="1822" spans="1:23" ht="15.75" customHeight="1" x14ac:dyDescent="0.25">
      <c r="A1822" s="23"/>
      <c r="B1822" s="23" t="str">
        <f t="shared" si="8"/>
        <v/>
      </c>
      <c r="C1822" s="23"/>
      <c r="D1822" s="44"/>
      <c r="E1822" s="23"/>
      <c r="F1822" s="45"/>
      <c r="G1822" s="23"/>
      <c r="H1822" s="23"/>
      <c r="I1822" s="23"/>
      <c r="J1822" s="25"/>
      <c r="K1822" s="23"/>
      <c r="L1822" s="51"/>
      <c r="M1822" s="23"/>
      <c r="N1822" s="26"/>
      <c r="O1822" s="26"/>
      <c r="P1822" s="26"/>
      <c r="Q1822" s="26"/>
      <c r="R1822" s="26"/>
      <c r="S1822" s="26"/>
      <c r="T1822" s="26"/>
      <c r="U1822" s="26"/>
      <c r="V1822" s="26"/>
      <c r="W1822" s="27"/>
    </row>
    <row r="1823" spans="1:23" ht="15.75" customHeight="1" x14ac:dyDescent="0.25">
      <c r="A1823" s="23"/>
      <c r="B1823" s="23" t="str">
        <f t="shared" si="8"/>
        <v/>
      </c>
      <c r="C1823" s="23"/>
      <c r="D1823" s="44"/>
      <c r="E1823" s="23"/>
      <c r="F1823" s="45"/>
      <c r="G1823" s="23"/>
      <c r="H1823" s="23"/>
      <c r="I1823" s="23"/>
      <c r="J1823" s="25"/>
      <c r="K1823" s="23"/>
      <c r="L1823" s="51"/>
      <c r="M1823" s="23"/>
      <c r="N1823" s="26"/>
      <c r="O1823" s="26"/>
      <c r="P1823" s="26"/>
      <c r="Q1823" s="26"/>
      <c r="R1823" s="26"/>
      <c r="S1823" s="26"/>
      <c r="T1823" s="26"/>
      <c r="U1823" s="26"/>
      <c r="V1823" s="26"/>
      <c r="W1823" s="27"/>
    </row>
    <row r="1824" spans="1:23" ht="15.75" customHeight="1" x14ac:dyDescent="0.25">
      <c r="A1824" s="23"/>
      <c r="B1824" s="23" t="str">
        <f t="shared" si="8"/>
        <v/>
      </c>
      <c r="C1824" s="23"/>
      <c r="D1824" s="44"/>
      <c r="E1824" s="23"/>
      <c r="F1824" s="45"/>
      <c r="G1824" s="23"/>
      <c r="H1824" s="23"/>
      <c r="I1824" s="23"/>
      <c r="J1824" s="25"/>
      <c r="K1824" s="23"/>
      <c r="L1824" s="51"/>
      <c r="M1824" s="23"/>
      <c r="N1824" s="26"/>
      <c r="O1824" s="26"/>
      <c r="P1824" s="26"/>
      <c r="Q1824" s="26"/>
      <c r="R1824" s="26"/>
      <c r="S1824" s="26"/>
      <c r="T1824" s="26"/>
      <c r="U1824" s="26"/>
      <c r="V1824" s="26"/>
      <c r="W1824" s="27"/>
    </row>
    <row r="1825" spans="1:23" ht="15.75" customHeight="1" x14ac:dyDescent="0.25">
      <c r="A1825" s="23"/>
      <c r="B1825" s="23" t="str">
        <f t="shared" si="8"/>
        <v/>
      </c>
      <c r="C1825" s="23"/>
      <c r="D1825" s="44"/>
      <c r="E1825" s="23"/>
      <c r="F1825" s="45"/>
      <c r="G1825" s="23"/>
      <c r="H1825" s="23"/>
      <c r="I1825" s="23"/>
      <c r="J1825" s="25"/>
      <c r="K1825" s="23"/>
      <c r="L1825" s="51"/>
      <c r="M1825" s="23"/>
      <c r="N1825" s="26"/>
      <c r="O1825" s="26"/>
      <c r="P1825" s="26"/>
      <c r="Q1825" s="26"/>
      <c r="R1825" s="26"/>
      <c r="S1825" s="26"/>
      <c r="T1825" s="26"/>
      <c r="U1825" s="26"/>
      <c r="V1825" s="26"/>
      <c r="W1825" s="27"/>
    </row>
    <row r="1826" spans="1:23" ht="15.75" customHeight="1" x14ac:dyDescent="0.25">
      <c r="A1826" s="23"/>
      <c r="B1826" s="23" t="str">
        <f t="shared" si="8"/>
        <v/>
      </c>
      <c r="C1826" s="23"/>
      <c r="D1826" s="44"/>
      <c r="E1826" s="23"/>
      <c r="F1826" s="45"/>
      <c r="G1826" s="23"/>
      <c r="H1826" s="23"/>
      <c r="I1826" s="23"/>
      <c r="J1826" s="25"/>
      <c r="K1826" s="23"/>
      <c r="L1826" s="51"/>
      <c r="M1826" s="23"/>
      <c r="N1826" s="26"/>
      <c r="O1826" s="26"/>
      <c r="P1826" s="26"/>
      <c r="Q1826" s="26"/>
      <c r="R1826" s="26"/>
      <c r="S1826" s="26"/>
      <c r="T1826" s="26"/>
      <c r="U1826" s="26"/>
      <c r="V1826" s="26"/>
      <c r="W1826" s="27"/>
    </row>
    <row r="1827" spans="1:23" ht="15.75" customHeight="1" x14ac:dyDescent="0.25">
      <c r="A1827" s="23"/>
      <c r="B1827" s="23" t="str">
        <f t="shared" si="8"/>
        <v/>
      </c>
      <c r="C1827" s="23"/>
      <c r="D1827" s="44"/>
      <c r="E1827" s="23"/>
      <c r="F1827" s="45"/>
      <c r="G1827" s="23"/>
      <c r="H1827" s="23"/>
      <c r="I1827" s="23"/>
      <c r="J1827" s="25"/>
      <c r="K1827" s="23"/>
      <c r="L1827" s="51"/>
      <c r="M1827" s="23"/>
      <c r="N1827" s="26"/>
      <c r="O1827" s="26"/>
      <c r="P1827" s="26"/>
      <c r="Q1827" s="26"/>
      <c r="R1827" s="26"/>
      <c r="S1827" s="26"/>
      <c r="T1827" s="26"/>
      <c r="U1827" s="26"/>
      <c r="V1827" s="26"/>
      <c r="W1827" s="27"/>
    </row>
    <row r="1828" spans="1:23" ht="15.75" customHeight="1" x14ac:dyDescent="0.25">
      <c r="A1828" s="23"/>
      <c r="B1828" s="23" t="str">
        <f t="shared" si="8"/>
        <v/>
      </c>
      <c r="C1828" s="23"/>
      <c r="D1828" s="44"/>
      <c r="E1828" s="23"/>
      <c r="F1828" s="45"/>
      <c r="G1828" s="23"/>
      <c r="H1828" s="23"/>
      <c r="I1828" s="23"/>
      <c r="J1828" s="25"/>
      <c r="K1828" s="23"/>
      <c r="L1828" s="51"/>
      <c r="M1828" s="23"/>
      <c r="N1828" s="26"/>
      <c r="O1828" s="26"/>
      <c r="P1828" s="26"/>
      <c r="Q1828" s="26"/>
      <c r="R1828" s="26"/>
      <c r="S1828" s="26"/>
      <c r="T1828" s="26"/>
      <c r="U1828" s="26"/>
      <c r="V1828" s="26"/>
      <c r="W1828" s="27"/>
    </row>
    <row r="1829" spans="1:23" ht="15.75" customHeight="1" x14ac:dyDescent="0.25">
      <c r="A1829" s="23"/>
      <c r="B1829" s="23" t="str">
        <f t="shared" si="8"/>
        <v/>
      </c>
      <c r="C1829" s="23"/>
      <c r="D1829" s="44"/>
      <c r="E1829" s="23"/>
      <c r="F1829" s="45"/>
      <c r="G1829" s="23"/>
      <c r="H1829" s="23"/>
      <c r="I1829" s="23"/>
      <c r="J1829" s="25"/>
      <c r="K1829" s="23"/>
      <c r="L1829" s="51"/>
      <c r="M1829" s="23"/>
      <c r="N1829" s="26"/>
      <c r="O1829" s="26"/>
      <c r="P1829" s="26"/>
      <c r="Q1829" s="26"/>
      <c r="R1829" s="26"/>
      <c r="S1829" s="26"/>
      <c r="T1829" s="26"/>
      <c r="U1829" s="26"/>
      <c r="V1829" s="26"/>
      <c r="W1829" s="27"/>
    </row>
    <row r="1830" spans="1:23" ht="15.75" customHeight="1" x14ac:dyDescent="0.25">
      <c r="A1830" s="23"/>
      <c r="B1830" s="23" t="str">
        <f t="shared" si="8"/>
        <v/>
      </c>
      <c r="C1830" s="23"/>
      <c r="D1830" s="44"/>
      <c r="E1830" s="23"/>
      <c r="F1830" s="45"/>
      <c r="G1830" s="23"/>
      <c r="H1830" s="23"/>
      <c r="I1830" s="23"/>
      <c r="J1830" s="25"/>
      <c r="K1830" s="23"/>
      <c r="L1830" s="51"/>
      <c r="M1830" s="23"/>
      <c r="N1830" s="26"/>
      <c r="O1830" s="26"/>
      <c r="P1830" s="26"/>
      <c r="Q1830" s="26"/>
      <c r="R1830" s="26"/>
      <c r="S1830" s="26"/>
      <c r="T1830" s="26"/>
      <c r="U1830" s="26"/>
      <c r="V1830" s="26"/>
      <c r="W1830" s="27"/>
    </row>
    <row r="1831" spans="1:23" ht="15.75" customHeight="1" x14ac:dyDescent="0.25">
      <c r="A1831" s="23"/>
      <c r="B1831" s="23" t="str">
        <f t="shared" si="8"/>
        <v/>
      </c>
      <c r="C1831" s="23"/>
      <c r="D1831" s="44"/>
      <c r="E1831" s="23"/>
      <c r="F1831" s="45"/>
      <c r="G1831" s="23"/>
      <c r="H1831" s="23"/>
      <c r="I1831" s="23"/>
      <c r="J1831" s="25"/>
      <c r="K1831" s="23"/>
      <c r="L1831" s="51"/>
      <c r="M1831" s="23"/>
      <c r="N1831" s="26"/>
      <c r="O1831" s="26"/>
      <c r="P1831" s="26"/>
      <c r="Q1831" s="26"/>
      <c r="R1831" s="26"/>
      <c r="S1831" s="26"/>
      <c r="T1831" s="26"/>
      <c r="U1831" s="26"/>
      <c r="V1831" s="26"/>
      <c r="W1831" s="27"/>
    </row>
    <row r="1832" spans="1:23" ht="15.75" customHeight="1" x14ac:dyDescent="0.25">
      <c r="A1832" s="23"/>
      <c r="B1832" s="23" t="str">
        <f t="shared" si="8"/>
        <v/>
      </c>
      <c r="C1832" s="23"/>
      <c r="D1832" s="44"/>
      <c r="E1832" s="23"/>
      <c r="F1832" s="45"/>
      <c r="G1832" s="23"/>
      <c r="H1832" s="23"/>
      <c r="I1832" s="23"/>
      <c r="J1832" s="25"/>
      <c r="K1832" s="23"/>
      <c r="L1832" s="51"/>
      <c r="M1832" s="23"/>
      <c r="N1832" s="26"/>
      <c r="O1832" s="26"/>
      <c r="P1832" s="26"/>
      <c r="Q1832" s="26"/>
      <c r="R1832" s="26"/>
      <c r="S1832" s="26"/>
      <c r="T1832" s="26"/>
      <c r="U1832" s="26"/>
      <c r="V1832" s="26"/>
      <c r="W1832" s="27"/>
    </row>
    <row r="1833" spans="1:23" ht="15.75" customHeight="1" x14ac:dyDescent="0.25">
      <c r="A1833" s="23"/>
      <c r="B1833" s="23" t="str">
        <f t="shared" si="8"/>
        <v/>
      </c>
      <c r="C1833" s="23"/>
      <c r="D1833" s="44"/>
      <c r="E1833" s="23"/>
      <c r="F1833" s="45"/>
      <c r="G1833" s="23"/>
      <c r="H1833" s="23"/>
      <c r="I1833" s="23"/>
      <c r="J1833" s="25"/>
      <c r="K1833" s="23"/>
      <c r="L1833" s="51"/>
      <c r="M1833" s="23"/>
      <c r="N1833" s="26"/>
      <c r="O1833" s="26"/>
      <c r="P1833" s="26"/>
      <c r="Q1833" s="26"/>
      <c r="R1833" s="26"/>
      <c r="S1833" s="26"/>
      <c r="T1833" s="26"/>
      <c r="U1833" s="26"/>
      <c r="V1833" s="26"/>
      <c r="W1833" s="27"/>
    </row>
    <row r="1834" spans="1:23" ht="15.75" customHeight="1" x14ac:dyDescent="0.25">
      <c r="A1834" s="23"/>
      <c r="B1834" s="23" t="str">
        <f t="shared" si="8"/>
        <v/>
      </c>
      <c r="C1834" s="23"/>
      <c r="D1834" s="44"/>
      <c r="E1834" s="23"/>
      <c r="F1834" s="45"/>
      <c r="G1834" s="23"/>
      <c r="H1834" s="23"/>
      <c r="I1834" s="23"/>
      <c r="J1834" s="25"/>
      <c r="K1834" s="23"/>
      <c r="L1834" s="51"/>
      <c r="M1834" s="23"/>
      <c r="N1834" s="26"/>
      <c r="O1834" s="26"/>
      <c r="P1834" s="26"/>
      <c r="Q1834" s="26"/>
      <c r="R1834" s="26"/>
      <c r="S1834" s="26"/>
      <c r="T1834" s="26"/>
      <c r="U1834" s="26"/>
      <c r="V1834" s="26"/>
      <c r="W1834" s="27"/>
    </row>
    <row r="1835" spans="1:23" ht="15.75" customHeight="1" x14ac:dyDescent="0.25">
      <c r="A1835" s="23"/>
      <c r="B1835" s="23" t="str">
        <f t="shared" ref="B1835:B2005" si="9">MID(X1835,17,30)</f>
        <v/>
      </c>
      <c r="C1835" s="23"/>
      <c r="D1835" s="44"/>
      <c r="E1835" s="23"/>
      <c r="F1835" s="45"/>
      <c r="G1835" s="23"/>
      <c r="H1835" s="23"/>
      <c r="I1835" s="23"/>
      <c r="J1835" s="25"/>
      <c r="K1835" s="23"/>
      <c r="L1835" s="51"/>
      <c r="M1835" s="23"/>
      <c r="N1835" s="26"/>
      <c r="O1835" s="26"/>
      <c r="P1835" s="26"/>
      <c r="Q1835" s="26"/>
      <c r="R1835" s="26"/>
      <c r="S1835" s="26"/>
      <c r="T1835" s="26"/>
      <c r="U1835" s="26"/>
      <c r="V1835" s="26"/>
      <c r="W1835" s="27"/>
    </row>
    <row r="1836" spans="1:23" ht="15.75" customHeight="1" x14ac:dyDescent="0.25">
      <c r="A1836" s="23"/>
      <c r="B1836" s="23" t="str">
        <f t="shared" si="9"/>
        <v/>
      </c>
      <c r="C1836" s="23"/>
      <c r="D1836" s="44"/>
      <c r="E1836" s="23"/>
      <c r="F1836" s="45"/>
      <c r="G1836" s="23"/>
      <c r="H1836" s="23"/>
      <c r="I1836" s="23"/>
      <c r="J1836" s="25"/>
      <c r="K1836" s="23"/>
      <c r="L1836" s="51"/>
      <c r="M1836" s="23"/>
      <c r="N1836" s="26"/>
      <c r="O1836" s="26"/>
      <c r="P1836" s="26"/>
      <c r="Q1836" s="26"/>
      <c r="R1836" s="26"/>
      <c r="S1836" s="26"/>
      <c r="T1836" s="26"/>
      <c r="U1836" s="26"/>
      <c r="V1836" s="26"/>
      <c r="W1836" s="27"/>
    </row>
    <row r="1837" spans="1:23" ht="15.75" customHeight="1" x14ac:dyDescent="0.25">
      <c r="A1837" s="23"/>
      <c r="B1837" s="23" t="str">
        <f t="shared" si="9"/>
        <v/>
      </c>
      <c r="C1837" s="23"/>
      <c r="D1837" s="44"/>
      <c r="E1837" s="23"/>
      <c r="F1837" s="45"/>
      <c r="G1837" s="23"/>
      <c r="H1837" s="23"/>
      <c r="I1837" s="23"/>
      <c r="J1837" s="25"/>
      <c r="K1837" s="23"/>
      <c r="L1837" s="51"/>
      <c r="M1837" s="23"/>
      <c r="N1837" s="26"/>
      <c r="O1837" s="26"/>
      <c r="P1837" s="26"/>
      <c r="Q1837" s="26"/>
      <c r="R1837" s="26"/>
      <c r="S1837" s="26"/>
      <c r="T1837" s="26"/>
      <c r="U1837" s="26"/>
      <c r="V1837" s="26"/>
      <c r="W1837" s="27"/>
    </row>
    <row r="1838" spans="1:23" ht="15.75" customHeight="1" x14ac:dyDescent="0.25">
      <c r="A1838" s="23"/>
      <c r="B1838" s="23" t="str">
        <f t="shared" si="9"/>
        <v/>
      </c>
      <c r="C1838" s="23"/>
      <c r="D1838" s="44"/>
      <c r="E1838" s="23"/>
      <c r="F1838" s="45"/>
      <c r="G1838" s="23"/>
      <c r="H1838" s="23"/>
      <c r="I1838" s="23"/>
      <c r="J1838" s="25"/>
      <c r="K1838" s="23"/>
      <c r="L1838" s="51"/>
      <c r="M1838" s="23"/>
      <c r="N1838" s="26"/>
      <c r="O1838" s="26"/>
      <c r="P1838" s="26"/>
      <c r="Q1838" s="26"/>
      <c r="R1838" s="26"/>
      <c r="S1838" s="26"/>
      <c r="T1838" s="26"/>
      <c r="U1838" s="26"/>
      <c r="V1838" s="26"/>
      <c r="W1838" s="27"/>
    </row>
    <row r="1839" spans="1:23" ht="15.75" customHeight="1" x14ac:dyDescent="0.25">
      <c r="A1839" s="23"/>
      <c r="B1839" s="23" t="str">
        <f t="shared" si="9"/>
        <v/>
      </c>
      <c r="C1839" s="23"/>
      <c r="D1839" s="44"/>
      <c r="E1839" s="23"/>
      <c r="F1839" s="45"/>
      <c r="G1839" s="23"/>
      <c r="H1839" s="23"/>
      <c r="I1839" s="23"/>
      <c r="J1839" s="25"/>
      <c r="K1839" s="23"/>
      <c r="L1839" s="51"/>
      <c r="M1839" s="23"/>
      <c r="N1839" s="26"/>
      <c r="O1839" s="26"/>
      <c r="P1839" s="26"/>
      <c r="Q1839" s="26"/>
      <c r="R1839" s="26"/>
      <c r="S1839" s="26"/>
      <c r="T1839" s="26"/>
      <c r="U1839" s="26"/>
      <c r="V1839" s="26"/>
      <c r="W1839" s="27"/>
    </row>
    <row r="1840" spans="1:23" ht="15.75" customHeight="1" x14ac:dyDescent="0.25">
      <c r="A1840" s="23"/>
      <c r="B1840" s="23" t="str">
        <f t="shared" si="9"/>
        <v/>
      </c>
      <c r="C1840" s="23"/>
      <c r="D1840" s="44"/>
      <c r="E1840" s="23"/>
      <c r="F1840" s="45"/>
      <c r="G1840" s="23"/>
      <c r="H1840" s="23"/>
      <c r="I1840" s="23"/>
      <c r="J1840" s="25"/>
      <c r="K1840" s="23"/>
      <c r="L1840" s="51"/>
      <c r="M1840" s="23"/>
      <c r="N1840" s="26"/>
      <c r="O1840" s="26"/>
      <c r="P1840" s="26"/>
      <c r="Q1840" s="26"/>
      <c r="R1840" s="26"/>
      <c r="S1840" s="26"/>
      <c r="T1840" s="26"/>
      <c r="U1840" s="26"/>
      <c r="V1840" s="26"/>
      <c r="W1840" s="27"/>
    </row>
    <row r="1841" spans="1:23" ht="15.75" customHeight="1" x14ac:dyDescent="0.25">
      <c r="A1841" s="23"/>
      <c r="B1841" s="23" t="str">
        <f t="shared" si="9"/>
        <v/>
      </c>
      <c r="C1841" s="23"/>
      <c r="D1841" s="44"/>
      <c r="E1841" s="23"/>
      <c r="F1841" s="45"/>
      <c r="G1841" s="23"/>
      <c r="H1841" s="23"/>
      <c r="I1841" s="23"/>
      <c r="J1841" s="25"/>
      <c r="K1841" s="23"/>
      <c r="L1841" s="51"/>
      <c r="M1841" s="23"/>
      <c r="N1841" s="26"/>
      <c r="O1841" s="26"/>
      <c r="P1841" s="26"/>
      <c r="Q1841" s="26"/>
      <c r="R1841" s="26"/>
      <c r="S1841" s="26"/>
      <c r="T1841" s="26"/>
      <c r="U1841" s="26"/>
      <c r="V1841" s="26"/>
      <c r="W1841" s="27"/>
    </row>
    <row r="1842" spans="1:23" ht="15.75" customHeight="1" x14ac:dyDescent="0.25">
      <c r="A1842" s="23"/>
      <c r="B1842" s="23" t="str">
        <f t="shared" si="9"/>
        <v/>
      </c>
      <c r="C1842" s="23"/>
      <c r="D1842" s="44"/>
      <c r="E1842" s="23"/>
      <c r="F1842" s="45"/>
      <c r="G1842" s="23"/>
      <c r="H1842" s="23"/>
      <c r="I1842" s="23"/>
      <c r="J1842" s="25"/>
      <c r="K1842" s="23"/>
      <c r="L1842" s="51"/>
      <c r="M1842" s="23"/>
      <c r="N1842" s="26"/>
      <c r="O1842" s="26"/>
      <c r="P1842" s="26"/>
      <c r="Q1842" s="26"/>
      <c r="R1842" s="26"/>
      <c r="S1842" s="26"/>
      <c r="T1842" s="26"/>
      <c r="U1842" s="26"/>
      <c r="V1842" s="26"/>
      <c r="W1842" s="27"/>
    </row>
    <row r="1843" spans="1:23" ht="15.75" customHeight="1" x14ac:dyDescent="0.25">
      <c r="A1843" s="23"/>
      <c r="B1843" s="23" t="str">
        <f t="shared" si="9"/>
        <v/>
      </c>
      <c r="C1843" s="23"/>
      <c r="D1843" s="44"/>
      <c r="E1843" s="23"/>
      <c r="F1843" s="45"/>
      <c r="G1843" s="23"/>
      <c r="H1843" s="23"/>
      <c r="I1843" s="23"/>
      <c r="J1843" s="25"/>
      <c r="K1843" s="23"/>
      <c r="L1843" s="51"/>
      <c r="M1843" s="23"/>
      <c r="N1843" s="26"/>
      <c r="O1843" s="26"/>
      <c r="P1843" s="26"/>
      <c r="Q1843" s="26"/>
      <c r="R1843" s="26"/>
      <c r="S1843" s="26"/>
      <c r="T1843" s="26"/>
      <c r="U1843" s="26"/>
      <c r="V1843" s="26"/>
      <c r="W1843" s="27"/>
    </row>
    <row r="1844" spans="1:23" ht="15.75" customHeight="1" x14ac:dyDescent="0.25">
      <c r="A1844" s="23"/>
      <c r="B1844" s="23" t="str">
        <f t="shared" si="9"/>
        <v/>
      </c>
      <c r="C1844" s="23"/>
      <c r="D1844" s="44"/>
      <c r="E1844" s="23"/>
      <c r="F1844" s="45"/>
      <c r="G1844" s="23"/>
      <c r="H1844" s="23"/>
      <c r="I1844" s="23"/>
      <c r="J1844" s="25"/>
      <c r="K1844" s="23"/>
      <c r="L1844" s="51"/>
      <c r="M1844" s="23"/>
      <c r="N1844" s="26"/>
      <c r="O1844" s="26"/>
      <c r="P1844" s="26"/>
      <c r="Q1844" s="26"/>
      <c r="R1844" s="26"/>
      <c r="S1844" s="26"/>
      <c r="T1844" s="26"/>
      <c r="U1844" s="26"/>
      <c r="V1844" s="26"/>
      <c r="W1844" s="27"/>
    </row>
    <row r="1845" spans="1:23" ht="15.75" customHeight="1" x14ac:dyDescent="0.25">
      <c r="A1845" s="23"/>
      <c r="B1845" s="23" t="str">
        <f t="shared" si="9"/>
        <v/>
      </c>
      <c r="C1845" s="23"/>
      <c r="D1845" s="44"/>
      <c r="E1845" s="23"/>
      <c r="F1845" s="45"/>
      <c r="G1845" s="23"/>
      <c r="H1845" s="23"/>
      <c r="I1845" s="23"/>
      <c r="J1845" s="25"/>
      <c r="K1845" s="23"/>
      <c r="L1845" s="51"/>
      <c r="M1845" s="23"/>
      <c r="N1845" s="26"/>
      <c r="O1845" s="26"/>
      <c r="P1845" s="26"/>
      <c r="Q1845" s="26"/>
      <c r="R1845" s="26"/>
      <c r="S1845" s="26"/>
      <c r="T1845" s="26"/>
      <c r="U1845" s="26"/>
      <c r="V1845" s="26"/>
      <c r="W1845" s="27"/>
    </row>
    <row r="1846" spans="1:23" ht="15.75" customHeight="1" x14ac:dyDescent="0.25">
      <c r="A1846" s="23"/>
      <c r="B1846" s="23" t="str">
        <f t="shared" si="9"/>
        <v/>
      </c>
      <c r="C1846" s="23"/>
      <c r="D1846" s="44"/>
      <c r="E1846" s="23"/>
      <c r="F1846" s="45"/>
      <c r="G1846" s="23"/>
      <c r="H1846" s="23"/>
      <c r="I1846" s="23"/>
      <c r="J1846" s="25"/>
      <c r="K1846" s="23"/>
      <c r="L1846" s="51"/>
      <c r="M1846" s="23"/>
      <c r="N1846" s="26"/>
      <c r="O1846" s="26"/>
      <c r="P1846" s="26"/>
      <c r="Q1846" s="26"/>
      <c r="R1846" s="26"/>
      <c r="S1846" s="26"/>
      <c r="T1846" s="26"/>
      <c r="U1846" s="26"/>
      <c r="V1846" s="26"/>
      <c r="W1846" s="27"/>
    </row>
    <row r="1847" spans="1:23" ht="15.75" customHeight="1" x14ac:dyDescent="0.25">
      <c r="A1847" s="23"/>
      <c r="B1847" s="23" t="str">
        <f t="shared" si="9"/>
        <v/>
      </c>
      <c r="C1847" s="23"/>
      <c r="D1847" s="44"/>
      <c r="E1847" s="23"/>
      <c r="F1847" s="45"/>
      <c r="G1847" s="23"/>
      <c r="H1847" s="23"/>
      <c r="I1847" s="23"/>
      <c r="J1847" s="25"/>
      <c r="K1847" s="23"/>
      <c r="L1847" s="51"/>
      <c r="M1847" s="23"/>
      <c r="N1847" s="26"/>
      <c r="O1847" s="26"/>
      <c r="P1847" s="26"/>
      <c r="Q1847" s="26"/>
      <c r="R1847" s="26"/>
      <c r="S1847" s="26"/>
      <c r="T1847" s="26"/>
      <c r="U1847" s="26"/>
      <c r="V1847" s="26"/>
      <c r="W1847" s="27"/>
    </row>
    <row r="1848" spans="1:23" ht="15.75" customHeight="1" x14ac:dyDescent="0.25">
      <c r="A1848" s="23"/>
      <c r="B1848" s="23" t="str">
        <f t="shared" si="9"/>
        <v/>
      </c>
      <c r="C1848" s="23"/>
      <c r="D1848" s="44"/>
      <c r="E1848" s="23"/>
      <c r="F1848" s="45"/>
      <c r="G1848" s="23"/>
      <c r="H1848" s="23"/>
      <c r="I1848" s="23"/>
      <c r="J1848" s="25"/>
      <c r="K1848" s="23"/>
      <c r="L1848" s="51"/>
      <c r="M1848" s="23"/>
      <c r="N1848" s="26"/>
      <c r="O1848" s="26"/>
      <c r="P1848" s="26"/>
      <c r="Q1848" s="26"/>
      <c r="R1848" s="26"/>
      <c r="S1848" s="26"/>
      <c r="T1848" s="26"/>
      <c r="U1848" s="26"/>
      <c r="V1848" s="26"/>
      <c r="W1848" s="27"/>
    </row>
    <row r="1849" spans="1:23" ht="15.75" customHeight="1" x14ac:dyDescent="0.25">
      <c r="A1849" s="23"/>
      <c r="B1849" s="23" t="str">
        <f t="shared" si="9"/>
        <v/>
      </c>
      <c r="C1849" s="23"/>
      <c r="D1849" s="44"/>
      <c r="E1849" s="23"/>
      <c r="F1849" s="45"/>
      <c r="G1849" s="23"/>
      <c r="H1849" s="23"/>
      <c r="I1849" s="23"/>
      <c r="J1849" s="25"/>
      <c r="K1849" s="23"/>
      <c r="L1849" s="51"/>
      <c r="M1849" s="23"/>
      <c r="N1849" s="26"/>
      <c r="O1849" s="26"/>
      <c r="P1849" s="26"/>
      <c r="Q1849" s="26"/>
      <c r="R1849" s="26"/>
      <c r="S1849" s="26"/>
      <c r="T1849" s="26"/>
      <c r="U1849" s="26"/>
      <c r="V1849" s="26"/>
      <c r="W1849" s="27"/>
    </row>
    <row r="1850" spans="1:23" ht="15.75" customHeight="1" x14ac:dyDescent="0.25">
      <c r="A1850" s="23"/>
      <c r="B1850" s="23" t="str">
        <f t="shared" si="9"/>
        <v/>
      </c>
      <c r="C1850" s="23"/>
      <c r="D1850" s="44"/>
      <c r="E1850" s="23"/>
      <c r="F1850" s="45"/>
      <c r="G1850" s="23"/>
      <c r="H1850" s="23"/>
      <c r="I1850" s="23"/>
      <c r="J1850" s="25"/>
      <c r="K1850" s="23"/>
      <c r="L1850" s="51"/>
      <c r="M1850" s="23"/>
      <c r="N1850" s="26"/>
      <c r="O1850" s="26"/>
      <c r="P1850" s="26"/>
      <c r="Q1850" s="26"/>
      <c r="R1850" s="26"/>
      <c r="S1850" s="26"/>
      <c r="T1850" s="26"/>
      <c r="U1850" s="26"/>
      <c r="V1850" s="26"/>
      <c r="W1850" s="27"/>
    </row>
    <row r="1851" spans="1:23" ht="15.75" customHeight="1" x14ac:dyDescent="0.25">
      <c r="A1851" s="23"/>
      <c r="B1851" s="23" t="str">
        <f t="shared" si="9"/>
        <v/>
      </c>
      <c r="C1851" s="23"/>
      <c r="D1851" s="44"/>
      <c r="E1851" s="23"/>
      <c r="F1851" s="45"/>
      <c r="G1851" s="23"/>
      <c r="H1851" s="23"/>
      <c r="I1851" s="23"/>
      <c r="J1851" s="25"/>
      <c r="K1851" s="23"/>
      <c r="L1851" s="51"/>
      <c r="M1851" s="23"/>
      <c r="N1851" s="26"/>
      <c r="O1851" s="26"/>
      <c r="P1851" s="26"/>
      <c r="Q1851" s="26"/>
      <c r="R1851" s="26"/>
      <c r="S1851" s="26"/>
      <c r="T1851" s="26"/>
      <c r="U1851" s="26"/>
      <c r="V1851" s="26"/>
      <c r="W1851" s="27"/>
    </row>
    <row r="1852" spans="1:23" ht="15.75" customHeight="1" x14ac:dyDescent="0.25">
      <c r="A1852" s="23"/>
      <c r="B1852" s="23" t="str">
        <f t="shared" si="9"/>
        <v/>
      </c>
      <c r="C1852" s="23"/>
      <c r="D1852" s="44"/>
      <c r="E1852" s="23"/>
      <c r="F1852" s="45"/>
      <c r="G1852" s="23"/>
      <c r="H1852" s="23"/>
      <c r="I1852" s="23"/>
      <c r="J1852" s="25"/>
      <c r="K1852" s="23"/>
      <c r="L1852" s="51"/>
      <c r="M1852" s="23"/>
      <c r="N1852" s="26"/>
      <c r="O1852" s="26"/>
      <c r="P1852" s="26"/>
      <c r="Q1852" s="26"/>
      <c r="R1852" s="26"/>
      <c r="S1852" s="26"/>
      <c r="T1852" s="26"/>
      <c r="U1852" s="26"/>
      <c r="V1852" s="26"/>
      <c r="W1852" s="27"/>
    </row>
    <row r="1853" spans="1:23" ht="15.75" customHeight="1" x14ac:dyDescent="0.25">
      <c r="A1853" s="23"/>
      <c r="B1853" s="23" t="str">
        <f t="shared" si="9"/>
        <v/>
      </c>
      <c r="C1853" s="23"/>
      <c r="D1853" s="44"/>
      <c r="E1853" s="23"/>
      <c r="F1853" s="45"/>
      <c r="G1853" s="23"/>
      <c r="H1853" s="23"/>
      <c r="I1853" s="23"/>
      <c r="J1853" s="25"/>
      <c r="K1853" s="23"/>
      <c r="L1853" s="51"/>
      <c r="M1853" s="23"/>
      <c r="N1853" s="26"/>
      <c r="O1853" s="26"/>
      <c r="P1853" s="26"/>
      <c r="Q1853" s="26"/>
      <c r="R1853" s="26"/>
      <c r="S1853" s="26"/>
      <c r="T1853" s="26"/>
      <c r="U1853" s="26"/>
      <c r="V1853" s="26"/>
      <c r="W1853" s="27"/>
    </row>
    <row r="1854" spans="1:23" ht="15.75" customHeight="1" x14ac:dyDescent="0.25">
      <c r="A1854" s="23"/>
      <c r="B1854" s="23" t="str">
        <f t="shared" si="9"/>
        <v/>
      </c>
      <c r="C1854" s="23"/>
      <c r="D1854" s="44"/>
      <c r="E1854" s="23"/>
      <c r="F1854" s="45"/>
      <c r="G1854" s="23"/>
      <c r="H1854" s="23"/>
      <c r="I1854" s="23"/>
      <c r="J1854" s="25"/>
      <c r="K1854" s="23"/>
      <c r="L1854" s="51"/>
      <c r="M1854" s="23"/>
      <c r="N1854" s="26"/>
      <c r="O1854" s="26"/>
      <c r="P1854" s="26"/>
      <c r="Q1854" s="26"/>
      <c r="R1854" s="26"/>
      <c r="S1854" s="26"/>
      <c r="T1854" s="26"/>
      <c r="U1854" s="26"/>
      <c r="V1854" s="26"/>
      <c r="W1854" s="27"/>
    </row>
    <row r="1855" spans="1:23" ht="15.75" customHeight="1" x14ac:dyDescent="0.25">
      <c r="A1855" s="23"/>
      <c r="B1855" s="23" t="str">
        <f t="shared" si="9"/>
        <v/>
      </c>
      <c r="C1855" s="23"/>
      <c r="D1855" s="44"/>
      <c r="E1855" s="23"/>
      <c r="F1855" s="45"/>
      <c r="G1855" s="23"/>
      <c r="H1855" s="23"/>
      <c r="I1855" s="23"/>
      <c r="J1855" s="25"/>
      <c r="K1855" s="23"/>
      <c r="L1855" s="51"/>
      <c r="M1855" s="23"/>
      <c r="N1855" s="26"/>
      <c r="O1855" s="26"/>
      <c r="P1855" s="26"/>
      <c r="Q1855" s="26"/>
      <c r="R1855" s="26"/>
      <c r="S1855" s="26"/>
      <c r="T1855" s="26"/>
      <c r="U1855" s="26"/>
      <c r="V1855" s="26"/>
      <c r="W1855" s="27"/>
    </row>
    <row r="1856" spans="1:23" ht="15.75" customHeight="1" x14ac:dyDescent="0.25">
      <c r="A1856" s="23"/>
      <c r="B1856" s="23" t="str">
        <f t="shared" si="9"/>
        <v/>
      </c>
      <c r="C1856" s="23"/>
      <c r="D1856" s="44"/>
      <c r="E1856" s="23"/>
      <c r="F1856" s="45"/>
      <c r="G1856" s="23"/>
      <c r="H1856" s="23"/>
      <c r="I1856" s="23"/>
      <c r="J1856" s="25"/>
      <c r="K1856" s="23"/>
      <c r="L1856" s="51"/>
      <c r="M1856" s="23"/>
      <c r="N1856" s="26"/>
      <c r="O1856" s="26"/>
      <c r="P1856" s="26"/>
      <c r="Q1856" s="26"/>
      <c r="R1856" s="26"/>
      <c r="S1856" s="26"/>
      <c r="T1856" s="26"/>
      <c r="U1856" s="26"/>
      <c r="V1856" s="26"/>
      <c r="W1856" s="27"/>
    </row>
    <row r="1857" spans="1:23" ht="15.75" customHeight="1" x14ac:dyDescent="0.25">
      <c r="A1857" s="23"/>
      <c r="B1857" s="23" t="str">
        <f t="shared" si="9"/>
        <v/>
      </c>
      <c r="C1857" s="23"/>
      <c r="D1857" s="44"/>
      <c r="E1857" s="23"/>
      <c r="F1857" s="45"/>
      <c r="G1857" s="23"/>
      <c r="H1857" s="23"/>
      <c r="I1857" s="23"/>
      <c r="J1857" s="25"/>
      <c r="K1857" s="23"/>
      <c r="L1857" s="51"/>
      <c r="M1857" s="23"/>
      <c r="N1857" s="26"/>
      <c r="O1857" s="26"/>
      <c r="P1857" s="26"/>
      <c r="Q1857" s="26"/>
      <c r="R1857" s="26"/>
      <c r="S1857" s="26"/>
      <c r="T1857" s="26"/>
      <c r="U1857" s="26"/>
      <c r="V1857" s="26"/>
      <c r="W1857" s="27"/>
    </row>
    <row r="1858" spans="1:23" ht="15.75" customHeight="1" x14ac:dyDescent="0.25">
      <c r="A1858" s="23"/>
      <c r="B1858" s="23" t="str">
        <f t="shared" si="9"/>
        <v/>
      </c>
      <c r="C1858" s="23"/>
      <c r="D1858" s="44"/>
      <c r="E1858" s="23"/>
      <c r="F1858" s="45"/>
      <c r="G1858" s="23"/>
      <c r="H1858" s="23"/>
      <c r="I1858" s="23"/>
      <c r="J1858" s="25"/>
      <c r="K1858" s="23"/>
      <c r="L1858" s="51"/>
      <c r="M1858" s="23"/>
      <c r="N1858" s="26"/>
      <c r="O1858" s="26"/>
      <c r="P1858" s="26"/>
      <c r="Q1858" s="26"/>
      <c r="R1858" s="26"/>
      <c r="S1858" s="26"/>
      <c r="T1858" s="26"/>
      <c r="U1858" s="26"/>
      <c r="V1858" s="26"/>
      <c r="W1858" s="27"/>
    </row>
    <row r="1859" spans="1:23" ht="15.75" customHeight="1" x14ac:dyDescent="0.25">
      <c r="A1859" s="23"/>
      <c r="B1859" s="23" t="str">
        <f t="shared" si="9"/>
        <v/>
      </c>
      <c r="C1859" s="23"/>
      <c r="D1859" s="44"/>
      <c r="E1859" s="23"/>
      <c r="F1859" s="45"/>
      <c r="G1859" s="23"/>
      <c r="H1859" s="23"/>
      <c r="I1859" s="23"/>
      <c r="J1859" s="25"/>
      <c r="K1859" s="23"/>
      <c r="L1859" s="51"/>
      <c r="M1859" s="23"/>
      <c r="N1859" s="26"/>
      <c r="O1859" s="26"/>
      <c r="P1859" s="26"/>
      <c r="Q1859" s="26"/>
      <c r="R1859" s="26"/>
      <c r="S1859" s="26"/>
      <c r="T1859" s="26"/>
      <c r="U1859" s="26"/>
      <c r="V1859" s="26"/>
      <c r="W1859" s="27"/>
    </row>
    <row r="1860" spans="1:23" ht="15.75" customHeight="1" x14ac:dyDescent="0.25">
      <c r="A1860" s="23"/>
      <c r="B1860" s="23" t="str">
        <f t="shared" si="9"/>
        <v/>
      </c>
      <c r="C1860" s="23"/>
      <c r="D1860" s="44"/>
      <c r="E1860" s="23"/>
      <c r="F1860" s="45"/>
      <c r="G1860" s="23"/>
      <c r="H1860" s="23"/>
      <c r="I1860" s="23"/>
      <c r="J1860" s="25"/>
      <c r="K1860" s="23"/>
      <c r="L1860" s="51"/>
      <c r="M1860" s="23"/>
      <c r="N1860" s="26"/>
      <c r="O1860" s="26"/>
      <c r="P1860" s="26"/>
      <c r="Q1860" s="26"/>
      <c r="R1860" s="26"/>
      <c r="S1860" s="26"/>
      <c r="T1860" s="26"/>
      <c r="U1860" s="26"/>
      <c r="V1860" s="26"/>
      <c r="W1860" s="27"/>
    </row>
    <row r="1861" spans="1:23" ht="15.75" customHeight="1" x14ac:dyDescent="0.25">
      <c r="A1861" s="23"/>
      <c r="B1861" s="23" t="str">
        <f t="shared" si="9"/>
        <v/>
      </c>
      <c r="C1861" s="23"/>
      <c r="D1861" s="44"/>
      <c r="E1861" s="23"/>
      <c r="F1861" s="45"/>
      <c r="G1861" s="23"/>
      <c r="H1861" s="23"/>
      <c r="I1861" s="23"/>
      <c r="J1861" s="25"/>
      <c r="K1861" s="23"/>
      <c r="L1861" s="51"/>
      <c r="M1861" s="23"/>
      <c r="N1861" s="26"/>
      <c r="O1861" s="26"/>
      <c r="P1861" s="26"/>
      <c r="Q1861" s="26"/>
      <c r="R1861" s="26"/>
      <c r="S1861" s="26"/>
      <c r="T1861" s="26"/>
      <c r="U1861" s="26"/>
      <c r="V1861" s="26"/>
      <c r="W1861" s="27"/>
    </row>
    <row r="1862" spans="1:23" ht="15.75" customHeight="1" x14ac:dyDescent="0.25">
      <c r="A1862" s="23"/>
      <c r="B1862" s="23" t="str">
        <f t="shared" si="9"/>
        <v/>
      </c>
      <c r="C1862" s="23"/>
      <c r="D1862" s="44"/>
      <c r="E1862" s="23"/>
      <c r="F1862" s="45"/>
      <c r="G1862" s="23"/>
      <c r="H1862" s="23"/>
      <c r="I1862" s="23"/>
      <c r="J1862" s="25"/>
      <c r="K1862" s="23"/>
      <c r="L1862" s="51"/>
      <c r="M1862" s="23"/>
      <c r="N1862" s="26"/>
      <c r="O1862" s="26"/>
      <c r="P1862" s="26"/>
      <c r="Q1862" s="26"/>
      <c r="R1862" s="26"/>
      <c r="S1862" s="26"/>
      <c r="T1862" s="26"/>
      <c r="U1862" s="26"/>
      <c r="V1862" s="26"/>
      <c r="W1862" s="27"/>
    </row>
    <row r="1863" spans="1:23" ht="15.75" customHeight="1" x14ac:dyDescent="0.25">
      <c r="A1863" s="23"/>
      <c r="B1863" s="23" t="str">
        <f t="shared" si="9"/>
        <v/>
      </c>
      <c r="C1863" s="23"/>
      <c r="D1863" s="44"/>
      <c r="E1863" s="23"/>
      <c r="F1863" s="45"/>
      <c r="G1863" s="23"/>
      <c r="H1863" s="23"/>
      <c r="I1863" s="23"/>
      <c r="J1863" s="25"/>
      <c r="K1863" s="23"/>
      <c r="L1863" s="51"/>
      <c r="M1863" s="23"/>
      <c r="N1863" s="26"/>
      <c r="O1863" s="26"/>
      <c r="P1863" s="26"/>
      <c r="Q1863" s="26"/>
      <c r="R1863" s="26"/>
      <c r="S1863" s="26"/>
      <c r="T1863" s="26"/>
      <c r="U1863" s="26"/>
      <c r="V1863" s="26"/>
      <c r="W1863" s="27"/>
    </row>
    <row r="1864" spans="1:23" ht="15.75" customHeight="1" x14ac:dyDescent="0.25">
      <c r="A1864" s="23"/>
      <c r="B1864" s="23" t="str">
        <f t="shared" si="9"/>
        <v/>
      </c>
      <c r="C1864" s="23"/>
      <c r="D1864" s="44"/>
      <c r="E1864" s="23"/>
      <c r="F1864" s="45"/>
      <c r="G1864" s="23"/>
      <c r="H1864" s="23"/>
      <c r="I1864" s="23"/>
      <c r="J1864" s="25"/>
      <c r="K1864" s="23"/>
      <c r="L1864" s="51"/>
      <c r="M1864" s="23"/>
      <c r="N1864" s="26"/>
      <c r="O1864" s="26"/>
      <c r="P1864" s="26"/>
      <c r="Q1864" s="26"/>
      <c r="R1864" s="26"/>
      <c r="S1864" s="26"/>
      <c r="T1864" s="26"/>
      <c r="U1864" s="26"/>
      <c r="V1864" s="26"/>
      <c r="W1864" s="27"/>
    </row>
    <row r="1865" spans="1:23" ht="15.75" customHeight="1" x14ac:dyDescent="0.25">
      <c r="A1865" s="23"/>
      <c r="B1865" s="23" t="str">
        <f t="shared" si="9"/>
        <v/>
      </c>
      <c r="C1865" s="23"/>
      <c r="D1865" s="44"/>
      <c r="E1865" s="23"/>
      <c r="F1865" s="45"/>
      <c r="G1865" s="23"/>
      <c r="H1865" s="23"/>
      <c r="I1865" s="23"/>
      <c r="J1865" s="25"/>
      <c r="K1865" s="23"/>
      <c r="L1865" s="51"/>
      <c r="M1865" s="23"/>
      <c r="N1865" s="26"/>
      <c r="O1865" s="26"/>
      <c r="P1865" s="26"/>
      <c r="Q1865" s="26"/>
      <c r="R1865" s="26"/>
      <c r="S1865" s="26"/>
      <c r="T1865" s="26"/>
      <c r="U1865" s="26"/>
      <c r="V1865" s="26"/>
      <c r="W1865" s="27"/>
    </row>
    <row r="1866" spans="1:23" ht="15.75" customHeight="1" x14ac:dyDescent="0.25">
      <c r="A1866" s="23"/>
      <c r="B1866" s="23" t="str">
        <f t="shared" si="9"/>
        <v/>
      </c>
      <c r="C1866" s="23"/>
      <c r="D1866" s="44"/>
      <c r="E1866" s="23"/>
      <c r="F1866" s="45"/>
      <c r="G1866" s="23"/>
      <c r="H1866" s="23"/>
      <c r="I1866" s="23"/>
      <c r="J1866" s="25"/>
      <c r="K1866" s="23"/>
      <c r="L1866" s="51"/>
      <c r="M1866" s="23"/>
      <c r="N1866" s="26"/>
      <c r="O1866" s="26"/>
      <c r="P1866" s="26"/>
      <c r="Q1866" s="26"/>
      <c r="R1866" s="26"/>
      <c r="S1866" s="26"/>
      <c r="T1866" s="26"/>
      <c r="U1866" s="26"/>
      <c r="V1866" s="26"/>
      <c r="W1866" s="27"/>
    </row>
    <row r="1867" spans="1:23" ht="15.75" customHeight="1" x14ac:dyDescent="0.25">
      <c r="A1867" s="23"/>
      <c r="B1867" s="23" t="str">
        <f t="shared" si="9"/>
        <v/>
      </c>
      <c r="C1867" s="23"/>
      <c r="D1867" s="44"/>
      <c r="E1867" s="23"/>
      <c r="F1867" s="45"/>
      <c r="G1867" s="23"/>
      <c r="H1867" s="23"/>
      <c r="I1867" s="23"/>
      <c r="J1867" s="25"/>
      <c r="K1867" s="23"/>
      <c r="L1867" s="51"/>
      <c r="M1867" s="23"/>
      <c r="N1867" s="26"/>
      <c r="O1867" s="26"/>
      <c r="P1867" s="26"/>
      <c r="Q1867" s="26"/>
      <c r="R1867" s="26"/>
      <c r="S1867" s="26"/>
      <c r="T1867" s="26"/>
      <c r="U1867" s="26"/>
      <c r="V1867" s="26"/>
      <c r="W1867" s="27"/>
    </row>
    <row r="1868" spans="1:23" ht="15.75" customHeight="1" x14ac:dyDescent="0.25">
      <c r="A1868" s="23"/>
      <c r="B1868" s="23" t="str">
        <f t="shared" si="9"/>
        <v/>
      </c>
      <c r="C1868" s="23"/>
      <c r="D1868" s="44"/>
      <c r="E1868" s="23"/>
      <c r="F1868" s="45"/>
      <c r="G1868" s="23"/>
      <c r="H1868" s="23"/>
      <c r="I1868" s="23"/>
      <c r="J1868" s="25"/>
      <c r="K1868" s="23"/>
      <c r="L1868" s="51"/>
      <c r="M1868" s="23"/>
      <c r="N1868" s="26"/>
      <c r="O1868" s="26"/>
      <c r="P1868" s="26"/>
      <c r="Q1868" s="26"/>
      <c r="R1868" s="26"/>
      <c r="S1868" s="26"/>
      <c r="T1868" s="26"/>
      <c r="U1868" s="26"/>
      <c r="V1868" s="26"/>
      <c r="W1868" s="27"/>
    </row>
    <row r="1869" spans="1:23" ht="15.75" customHeight="1" x14ac:dyDescent="0.25">
      <c r="A1869" s="23"/>
      <c r="B1869" s="23" t="str">
        <f t="shared" si="9"/>
        <v/>
      </c>
      <c r="C1869" s="23"/>
      <c r="D1869" s="44"/>
      <c r="E1869" s="23"/>
      <c r="F1869" s="45"/>
      <c r="G1869" s="23"/>
      <c r="H1869" s="23"/>
      <c r="I1869" s="23"/>
      <c r="J1869" s="25"/>
      <c r="K1869" s="23"/>
      <c r="L1869" s="51"/>
      <c r="M1869" s="23"/>
      <c r="N1869" s="26"/>
      <c r="O1869" s="26"/>
      <c r="P1869" s="26"/>
      <c r="Q1869" s="26"/>
      <c r="R1869" s="26"/>
      <c r="S1869" s="26"/>
      <c r="T1869" s="26"/>
      <c r="U1869" s="26"/>
      <c r="V1869" s="26"/>
      <c r="W1869" s="27"/>
    </row>
    <row r="1870" spans="1:23" ht="15.75" customHeight="1" x14ac:dyDescent="0.25">
      <c r="A1870" s="23"/>
      <c r="B1870" s="23" t="str">
        <f t="shared" si="9"/>
        <v/>
      </c>
      <c r="C1870" s="23"/>
      <c r="D1870" s="44"/>
      <c r="E1870" s="23"/>
      <c r="F1870" s="45"/>
      <c r="G1870" s="23"/>
      <c r="H1870" s="23"/>
      <c r="I1870" s="23"/>
      <c r="J1870" s="25"/>
      <c r="K1870" s="23"/>
      <c r="L1870" s="51"/>
      <c r="M1870" s="23"/>
      <c r="N1870" s="26"/>
      <c r="O1870" s="26"/>
      <c r="P1870" s="26"/>
      <c r="Q1870" s="26"/>
      <c r="R1870" s="26"/>
      <c r="S1870" s="26"/>
      <c r="T1870" s="26"/>
      <c r="U1870" s="26"/>
      <c r="V1870" s="26"/>
      <c r="W1870" s="27"/>
    </row>
    <row r="1871" spans="1:23" ht="15.75" customHeight="1" x14ac:dyDescent="0.25">
      <c r="A1871" s="23"/>
      <c r="B1871" s="23" t="str">
        <f t="shared" si="9"/>
        <v/>
      </c>
      <c r="C1871" s="23"/>
      <c r="D1871" s="44"/>
      <c r="E1871" s="23"/>
      <c r="F1871" s="45"/>
      <c r="G1871" s="23"/>
      <c r="H1871" s="23"/>
      <c r="I1871" s="23"/>
      <c r="J1871" s="25"/>
      <c r="K1871" s="23"/>
      <c r="L1871" s="51"/>
      <c r="M1871" s="23"/>
      <c r="N1871" s="26"/>
      <c r="O1871" s="26"/>
      <c r="P1871" s="26"/>
      <c r="Q1871" s="26"/>
      <c r="R1871" s="26"/>
      <c r="S1871" s="26"/>
      <c r="T1871" s="26"/>
      <c r="U1871" s="26"/>
      <c r="V1871" s="26"/>
      <c r="W1871" s="27"/>
    </row>
    <row r="1872" spans="1:23" ht="15.75" customHeight="1" x14ac:dyDescent="0.25">
      <c r="A1872" s="23"/>
      <c r="B1872" s="23" t="str">
        <f t="shared" si="9"/>
        <v/>
      </c>
      <c r="C1872" s="23"/>
      <c r="D1872" s="44"/>
      <c r="E1872" s="23"/>
      <c r="F1872" s="45"/>
      <c r="G1872" s="23"/>
      <c r="H1872" s="23"/>
      <c r="I1872" s="23"/>
      <c r="J1872" s="25"/>
      <c r="K1872" s="23"/>
      <c r="L1872" s="51"/>
      <c r="M1872" s="23"/>
      <c r="N1872" s="26"/>
      <c r="O1872" s="26"/>
      <c r="P1872" s="26"/>
      <c r="Q1872" s="26"/>
      <c r="R1872" s="26"/>
      <c r="S1872" s="26"/>
      <c r="T1872" s="26"/>
      <c r="U1872" s="26"/>
      <c r="V1872" s="26"/>
      <c r="W1872" s="27"/>
    </row>
    <row r="1873" spans="1:23" ht="15.75" customHeight="1" x14ac:dyDescent="0.25">
      <c r="A1873" s="23"/>
      <c r="B1873" s="23" t="str">
        <f t="shared" si="9"/>
        <v/>
      </c>
      <c r="C1873" s="23"/>
      <c r="D1873" s="44"/>
      <c r="E1873" s="23"/>
      <c r="F1873" s="45"/>
      <c r="G1873" s="23"/>
      <c r="H1873" s="23"/>
      <c r="I1873" s="23"/>
      <c r="J1873" s="25"/>
      <c r="K1873" s="23"/>
      <c r="L1873" s="51"/>
      <c r="M1873" s="23"/>
      <c r="N1873" s="26"/>
      <c r="O1873" s="26"/>
      <c r="P1873" s="26"/>
      <c r="Q1873" s="26"/>
      <c r="R1873" s="26"/>
      <c r="S1873" s="26"/>
      <c r="T1873" s="26"/>
      <c r="U1873" s="26"/>
      <c r="V1873" s="26"/>
      <c r="W1873" s="27"/>
    </row>
    <row r="1874" spans="1:23" ht="15.75" customHeight="1" x14ac:dyDescent="0.25">
      <c r="A1874" s="23"/>
      <c r="B1874" s="23" t="str">
        <f t="shared" si="9"/>
        <v/>
      </c>
      <c r="C1874" s="23"/>
      <c r="D1874" s="44"/>
      <c r="E1874" s="23"/>
      <c r="F1874" s="45"/>
      <c r="G1874" s="23"/>
      <c r="H1874" s="23"/>
      <c r="I1874" s="23"/>
      <c r="J1874" s="25"/>
      <c r="K1874" s="23"/>
      <c r="L1874" s="51"/>
      <c r="M1874" s="23"/>
      <c r="N1874" s="26"/>
      <c r="O1874" s="26"/>
      <c r="P1874" s="26"/>
      <c r="Q1874" s="26"/>
      <c r="R1874" s="26"/>
      <c r="S1874" s="26"/>
      <c r="T1874" s="26"/>
      <c r="U1874" s="26"/>
      <c r="V1874" s="26"/>
      <c r="W1874" s="27"/>
    </row>
    <row r="1875" spans="1:23" ht="15.75" customHeight="1" x14ac:dyDescent="0.25">
      <c r="A1875" s="23"/>
      <c r="B1875" s="23" t="str">
        <f t="shared" si="9"/>
        <v/>
      </c>
      <c r="C1875" s="23"/>
      <c r="D1875" s="44"/>
      <c r="E1875" s="23"/>
      <c r="F1875" s="45"/>
      <c r="G1875" s="23"/>
      <c r="H1875" s="23"/>
      <c r="I1875" s="23"/>
      <c r="J1875" s="25"/>
      <c r="K1875" s="23"/>
      <c r="L1875" s="51"/>
      <c r="M1875" s="23"/>
      <c r="N1875" s="26"/>
      <c r="O1875" s="26"/>
      <c r="P1875" s="26"/>
      <c r="Q1875" s="26"/>
      <c r="R1875" s="26"/>
      <c r="S1875" s="26"/>
      <c r="T1875" s="26"/>
      <c r="U1875" s="26"/>
      <c r="V1875" s="26"/>
      <c r="W1875" s="27"/>
    </row>
    <row r="1876" spans="1:23" ht="15.75" customHeight="1" x14ac:dyDescent="0.25">
      <c r="A1876" s="23"/>
      <c r="B1876" s="23" t="str">
        <f t="shared" si="9"/>
        <v/>
      </c>
      <c r="C1876" s="23"/>
      <c r="D1876" s="44"/>
      <c r="E1876" s="23"/>
      <c r="F1876" s="45"/>
      <c r="G1876" s="23"/>
      <c r="H1876" s="23"/>
      <c r="I1876" s="23"/>
      <c r="J1876" s="25"/>
      <c r="K1876" s="23"/>
      <c r="L1876" s="51"/>
      <c r="M1876" s="23"/>
      <c r="N1876" s="26"/>
      <c r="O1876" s="26"/>
      <c r="P1876" s="26"/>
      <c r="Q1876" s="26"/>
      <c r="R1876" s="26"/>
      <c r="S1876" s="26"/>
      <c r="T1876" s="26"/>
      <c r="U1876" s="26"/>
      <c r="V1876" s="26"/>
      <c r="W1876" s="27"/>
    </row>
    <row r="1877" spans="1:23" ht="15.75" customHeight="1" x14ac:dyDescent="0.25">
      <c r="A1877" s="23"/>
      <c r="B1877" s="23" t="str">
        <f t="shared" si="9"/>
        <v/>
      </c>
      <c r="C1877" s="23"/>
      <c r="D1877" s="44"/>
      <c r="E1877" s="23"/>
      <c r="F1877" s="45"/>
      <c r="G1877" s="23"/>
      <c r="H1877" s="23"/>
      <c r="I1877" s="23"/>
      <c r="J1877" s="25"/>
      <c r="K1877" s="23"/>
      <c r="L1877" s="51"/>
      <c r="M1877" s="23"/>
      <c r="N1877" s="26"/>
      <c r="O1877" s="26"/>
      <c r="P1877" s="26"/>
      <c r="Q1877" s="26"/>
      <c r="R1877" s="26"/>
      <c r="S1877" s="26"/>
      <c r="T1877" s="26"/>
      <c r="U1877" s="26"/>
      <c r="V1877" s="26"/>
      <c r="W1877" s="27"/>
    </row>
    <row r="1878" spans="1:23" ht="15.75" customHeight="1" x14ac:dyDescent="0.25">
      <c r="A1878" s="23"/>
      <c r="B1878" s="23" t="str">
        <f t="shared" si="9"/>
        <v/>
      </c>
      <c r="C1878" s="23"/>
      <c r="D1878" s="44"/>
      <c r="E1878" s="23"/>
      <c r="F1878" s="45"/>
      <c r="G1878" s="23"/>
      <c r="H1878" s="23"/>
      <c r="I1878" s="23"/>
      <c r="J1878" s="25"/>
      <c r="K1878" s="23"/>
      <c r="L1878" s="51"/>
      <c r="M1878" s="23"/>
      <c r="N1878" s="26"/>
      <c r="O1878" s="26"/>
      <c r="P1878" s="26"/>
      <c r="Q1878" s="26"/>
      <c r="R1878" s="26"/>
      <c r="S1878" s="26"/>
      <c r="T1878" s="26"/>
      <c r="U1878" s="26"/>
      <c r="V1878" s="26"/>
      <c r="W1878" s="27"/>
    </row>
    <row r="1879" spans="1:23" ht="15.75" customHeight="1" x14ac:dyDescent="0.25">
      <c r="A1879" s="23"/>
      <c r="B1879" s="23" t="str">
        <f t="shared" si="9"/>
        <v/>
      </c>
      <c r="C1879" s="23"/>
      <c r="D1879" s="44"/>
      <c r="E1879" s="23"/>
      <c r="F1879" s="45"/>
      <c r="G1879" s="23"/>
      <c r="H1879" s="23"/>
      <c r="I1879" s="23"/>
      <c r="J1879" s="25"/>
      <c r="K1879" s="23"/>
      <c r="L1879" s="51"/>
      <c r="M1879" s="23"/>
      <c r="N1879" s="26"/>
      <c r="O1879" s="26"/>
      <c r="P1879" s="26"/>
      <c r="Q1879" s="26"/>
      <c r="R1879" s="26"/>
      <c r="S1879" s="26"/>
      <c r="T1879" s="26"/>
      <c r="U1879" s="26"/>
      <c r="V1879" s="26"/>
      <c r="W1879" s="27"/>
    </row>
    <row r="1880" spans="1:23" ht="15.75" customHeight="1" x14ac:dyDescent="0.25">
      <c r="A1880" s="23"/>
      <c r="B1880" s="23" t="str">
        <f t="shared" si="9"/>
        <v/>
      </c>
      <c r="C1880" s="23"/>
      <c r="D1880" s="44"/>
      <c r="E1880" s="23"/>
      <c r="F1880" s="45"/>
      <c r="G1880" s="23"/>
      <c r="H1880" s="23"/>
      <c r="I1880" s="23"/>
      <c r="J1880" s="25"/>
      <c r="K1880" s="23"/>
      <c r="L1880" s="51"/>
      <c r="M1880" s="23"/>
      <c r="N1880" s="26"/>
      <c r="O1880" s="26"/>
      <c r="P1880" s="26"/>
      <c r="Q1880" s="26"/>
      <c r="R1880" s="26"/>
      <c r="S1880" s="26"/>
      <c r="T1880" s="26"/>
      <c r="U1880" s="26"/>
      <c r="V1880" s="26"/>
      <c r="W1880" s="27"/>
    </row>
    <row r="1881" spans="1:23" ht="15.75" customHeight="1" x14ac:dyDescent="0.25">
      <c r="A1881" s="23"/>
      <c r="B1881" s="23" t="str">
        <f t="shared" si="9"/>
        <v/>
      </c>
      <c r="C1881" s="23"/>
      <c r="D1881" s="44"/>
      <c r="E1881" s="23"/>
      <c r="F1881" s="45"/>
      <c r="G1881" s="23"/>
      <c r="H1881" s="23"/>
      <c r="I1881" s="23"/>
      <c r="J1881" s="25"/>
      <c r="K1881" s="23"/>
      <c r="L1881" s="51"/>
      <c r="M1881" s="23"/>
      <c r="N1881" s="26"/>
      <c r="O1881" s="26"/>
      <c r="P1881" s="26"/>
      <c r="Q1881" s="26"/>
      <c r="R1881" s="26"/>
      <c r="S1881" s="26"/>
      <c r="T1881" s="26"/>
      <c r="U1881" s="26"/>
      <c r="V1881" s="26"/>
      <c r="W1881" s="27"/>
    </row>
    <row r="1882" spans="1:23" ht="15.75" customHeight="1" x14ac:dyDescent="0.25">
      <c r="A1882" s="23"/>
      <c r="B1882" s="23" t="str">
        <f t="shared" si="9"/>
        <v/>
      </c>
      <c r="C1882" s="23"/>
      <c r="D1882" s="44"/>
      <c r="E1882" s="23"/>
      <c r="F1882" s="45"/>
      <c r="G1882" s="23"/>
      <c r="H1882" s="23"/>
      <c r="I1882" s="23"/>
      <c r="J1882" s="25"/>
      <c r="K1882" s="23"/>
      <c r="L1882" s="51"/>
      <c r="M1882" s="23"/>
      <c r="N1882" s="26"/>
      <c r="O1882" s="26"/>
      <c r="P1882" s="26"/>
      <c r="Q1882" s="26"/>
      <c r="R1882" s="26"/>
      <c r="S1882" s="26"/>
      <c r="T1882" s="26"/>
      <c r="U1882" s="26"/>
      <c r="V1882" s="26"/>
      <c r="W1882" s="27"/>
    </row>
    <row r="1883" spans="1:23" ht="15.75" customHeight="1" x14ac:dyDescent="0.25">
      <c r="A1883" s="23"/>
      <c r="B1883" s="23" t="str">
        <f t="shared" si="9"/>
        <v/>
      </c>
      <c r="C1883" s="23"/>
      <c r="D1883" s="44"/>
      <c r="E1883" s="23"/>
      <c r="F1883" s="45"/>
      <c r="G1883" s="23"/>
      <c r="H1883" s="23"/>
      <c r="I1883" s="23"/>
      <c r="J1883" s="25"/>
      <c r="K1883" s="23"/>
      <c r="L1883" s="51"/>
      <c r="M1883" s="23"/>
      <c r="N1883" s="26"/>
      <c r="O1883" s="26"/>
      <c r="P1883" s="26"/>
      <c r="Q1883" s="26"/>
      <c r="R1883" s="26"/>
      <c r="S1883" s="26"/>
      <c r="T1883" s="26"/>
      <c r="U1883" s="26"/>
      <c r="V1883" s="26"/>
      <c r="W1883" s="27"/>
    </row>
    <row r="1884" spans="1:23" ht="15.75" customHeight="1" x14ac:dyDescent="0.25">
      <c r="A1884" s="23"/>
      <c r="B1884" s="23" t="str">
        <f t="shared" si="9"/>
        <v/>
      </c>
      <c r="C1884" s="23"/>
      <c r="D1884" s="44"/>
      <c r="E1884" s="23"/>
      <c r="F1884" s="45"/>
      <c r="G1884" s="23"/>
      <c r="H1884" s="23"/>
      <c r="I1884" s="23"/>
      <c r="J1884" s="25"/>
      <c r="K1884" s="23"/>
      <c r="L1884" s="51"/>
      <c r="M1884" s="23"/>
      <c r="N1884" s="26"/>
      <c r="O1884" s="26"/>
      <c r="P1884" s="26"/>
      <c r="Q1884" s="26"/>
      <c r="R1884" s="26"/>
      <c r="S1884" s="26"/>
      <c r="T1884" s="26"/>
      <c r="U1884" s="26"/>
      <c r="V1884" s="26"/>
      <c r="W1884" s="27"/>
    </row>
    <row r="1885" spans="1:23" ht="15.75" customHeight="1" x14ac:dyDescent="0.25">
      <c r="A1885" s="23"/>
      <c r="B1885" s="23" t="str">
        <f t="shared" si="9"/>
        <v/>
      </c>
      <c r="C1885" s="23"/>
      <c r="D1885" s="44"/>
      <c r="E1885" s="23"/>
      <c r="F1885" s="45"/>
      <c r="G1885" s="23"/>
      <c r="H1885" s="23"/>
      <c r="I1885" s="23"/>
      <c r="J1885" s="25"/>
      <c r="K1885" s="23"/>
      <c r="L1885" s="51"/>
      <c r="M1885" s="23"/>
      <c r="N1885" s="26"/>
      <c r="O1885" s="26"/>
      <c r="P1885" s="26"/>
      <c r="Q1885" s="26"/>
      <c r="R1885" s="26"/>
      <c r="S1885" s="26"/>
      <c r="T1885" s="26"/>
      <c r="U1885" s="26"/>
      <c r="V1885" s="26"/>
      <c r="W1885" s="27"/>
    </row>
    <row r="1886" spans="1:23" ht="15.75" customHeight="1" x14ac:dyDescent="0.25">
      <c r="A1886" s="23"/>
      <c r="B1886" s="23" t="str">
        <f t="shared" si="9"/>
        <v/>
      </c>
      <c r="C1886" s="23"/>
      <c r="D1886" s="44"/>
      <c r="E1886" s="23"/>
      <c r="F1886" s="45"/>
      <c r="G1886" s="23"/>
      <c r="H1886" s="23"/>
      <c r="I1886" s="23"/>
      <c r="J1886" s="25"/>
      <c r="K1886" s="23"/>
      <c r="L1886" s="51"/>
      <c r="M1886" s="23"/>
      <c r="N1886" s="26"/>
      <c r="O1886" s="26"/>
      <c r="P1886" s="26"/>
      <c r="Q1886" s="26"/>
      <c r="R1886" s="26"/>
      <c r="S1886" s="26"/>
      <c r="T1886" s="26"/>
      <c r="U1886" s="26"/>
      <c r="V1886" s="26"/>
      <c r="W1886" s="27"/>
    </row>
    <row r="1887" spans="1:23" ht="15.75" customHeight="1" x14ac:dyDescent="0.25">
      <c r="A1887" s="23"/>
      <c r="B1887" s="23" t="str">
        <f t="shared" si="9"/>
        <v/>
      </c>
      <c r="C1887" s="23"/>
      <c r="D1887" s="44"/>
      <c r="E1887" s="23"/>
      <c r="F1887" s="45"/>
      <c r="G1887" s="23"/>
      <c r="H1887" s="23"/>
      <c r="I1887" s="23"/>
      <c r="J1887" s="25"/>
      <c r="K1887" s="23"/>
      <c r="L1887" s="51"/>
      <c r="M1887" s="23"/>
      <c r="N1887" s="26"/>
      <c r="O1887" s="26"/>
      <c r="P1887" s="26"/>
      <c r="Q1887" s="26"/>
      <c r="R1887" s="26"/>
      <c r="S1887" s="26"/>
      <c r="T1887" s="26"/>
      <c r="U1887" s="26"/>
      <c r="V1887" s="26"/>
      <c r="W1887" s="27"/>
    </row>
    <row r="1888" spans="1:23" ht="15.75" customHeight="1" x14ac:dyDescent="0.25">
      <c r="A1888" s="23"/>
      <c r="B1888" s="23" t="str">
        <f t="shared" si="9"/>
        <v/>
      </c>
      <c r="C1888" s="23"/>
      <c r="D1888" s="44"/>
      <c r="E1888" s="23"/>
      <c r="F1888" s="45"/>
      <c r="G1888" s="23"/>
      <c r="H1888" s="23"/>
      <c r="I1888" s="23"/>
      <c r="J1888" s="25"/>
      <c r="K1888" s="23"/>
      <c r="L1888" s="51"/>
      <c r="M1888" s="23"/>
      <c r="N1888" s="26"/>
      <c r="O1888" s="26"/>
      <c r="P1888" s="26"/>
      <c r="Q1888" s="26"/>
      <c r="R1888" s="26"/>
      <c r="S1888" s="26"/>
      <c r="T1888" s="26"/>
      <c r="U1888" s="26"/>
      <c r="V1888" s="26"/>
      <c r="W1888" s="27"/>
    </row>
    <row r="1889" spans="1:23" ht="15.75" customHeight="1" x14ac:dyDescent="0.25">
      <c r="A1889" s="23"/>
      <c r="B1889" s="23" t="str">
        <f t="shared" si="9"/>
        <v/>
      </c>
      <c r="C1889" s="23"/>
      <c r="D1889" s="44"/>
      <c r="E1889" s="23"/>
      <c r="F1889" s="45"/>
      <c r="G1889" s="23"/>
      <c r="H1889" s="23"/>
      <c r="I1889" s="23"/>
      <c r="J1889" s="25"/>
      <c r="K1889" s="23"/>
      <c r="L1889" s="51"/>
      <c r="M1889" s="23"/>
      <c r="N1889" s="26"/>
      <c r="O1889" s="26"/>
      <c r="P1889" s="26"/>
      <c r="Q1889" s="26"/>
      <c r="R1889" s="26"/>
      <c r="S1889" s="26"/>
      <c r="T1889" s="26"/>
      <c r="U1889" s="26"/>
      <c r="V1889" s="26"/>
      <c r="W1889" s="27"/>
    </row>
    <row r="1890" spans="1:23" ht="15.75" customHeight="1" x14ac:dyDescent="0.25">
      <c r="A1890" s="23"/>
      <c r="B1890" s="23" t="str">
        <f t="shared" si="9"/>
        <v/>
      </c>
      <c r="C1890" s="23"/>
      <c r="D1890" s="44"/>
      <c r="E1890" s="23"/>
      <c r="F1890" s="45"/>
      <c r="G1890" s="23"/>
      <c r="H1890" s="23"/>
      <c r="I1890" s="23"/>
      <c r="J1890" s="25"/>
      <c r="K1890" s="23"/>
      <c r="L1890" s="51"/>
      <c r="M1890" s="23"/>
      <c r="N1890" s="26"/>
      <c r="O1890" s="26"/>
      <c r="P1890" s="26"/>
      <c r="Q1890" s="26"/>
      <c r="R1890" s="26"/>
      <c r="S1890" s="26"/>
      <c r="T1890" s="26"/>
      <c r="U1890" s="26"/>
      <c r="V1890" s="26"/>
      <c r="W1890" s="27"/>
    </row>
    <row r="1891" spans="1:23" ht="15.75" customHeight="1" x14ac:dyDescent="0.25">
      <c r="A1891" s="23"/>
      <c r="B1891" s="23" t="str">
        <f t="shared" si="9"/>
        <v/>
      </c>
      <c r="C1891" s="23"/>
      <c r="D1891" s="44"/>
      <c r="E1891" s="23"/>
      <c r="F1891" s="45"/>
      <c r="G1891" s="23"/>
      <c r="H1891" s="23"/>
      <c r="I1891" s="23"/>
      <c r="J1891" s="25"/>
      <c r="K1891" s="23"/>
      <c r="L1891" s="51"/>
      <c r="M1891" s="23"/>
      <c r="N1891" s="26"/>
      <c r="O1891" s="26"/>
      <c r="P1891" s="26"/>
      <c r="Q1891" s="26"/>
      <c r="R1891" s="26"/>
      <c r="S1891" s="26"/>
      <c r="T1891" s="26"/>
      <c r="U1891" s="26"/>
      <c r="V1891" s="26"/>
      <c r="W1891" s="27"/>
    </row>
    <row r="1892" spans="1:23" ht="15.75" customHeight="1" x14ac:dyDescent="0.25">
      <c r="A1892" s="23"/>
      <c r="B1892" s="23" t="str">
        <f t="shared" si="9"/>
        <v/>
      </c>
      <c r="C1892" s="23"/>
      <c r="D1892" s="44"/>
      <c r="E1892" s="23"/>
      <c r="F1892" s="45"/>
      <c r="G1892" s="23"/>
      <c r="H1892" s="23"/>
      <c r="I1892" s="23"/>
      <c r="J1892" s="25"/>
      <c r="K1892" s="23"/>
      <c r="L1892" s="51"/>
      <c r="M1892" s="23"/>
      <c r="N1892" s="26"/>
      <c r="O1892" s="26"/>
      <c r="P1892" s="26"/>
      <c r="Q1892" s="26"/>
      <c r="R1892" s="26"/>
      <c r="S1892" s="26"/>
      <c r="T1892" s="26"/>
      <c r="U1892" s="26"/>
      <c r="V1892" s="26"/>
      <c r="W1892" s="27"/>
    </row>
    <row r="1893" spans="1:23" ht="15.75" customHeight="1" x14ac:dyDescent="0.25">
      <c r="A1893" s="23"/>
      <c r="B1893" s="23" t="str">
        <f t="shared" si="9"/>
        <v/>
      </c>
      <c r="C1893" s="23"/>
      <c r="D1893" s="44"/>
      <c r="E1893" s="23"/>
      <c r="F1893" s="45"/>
      <c r="G1893" s="23"/>
      <c r="H1893" s="23"/>
      <c r="I1893" s="23"/>
      <c r="J1893" s="25"/>
      <c r="K1893" s="23"/>
      <c r="L1893" s="51"/>
      <c r="M1893" s="23"/>
      <c r="N1893" s="26"/>
      <c r="O1893" s="26"/>
      <c r="P1893" s="26"/>
      <c r="Q1893" s="26"/>
      <c r="R1893" s="26"/>
      <c r="S1893" s="26"/>
      <c r="T1893" s="26"/>
      <c r="U1893" s="26"/>
      <c r="V1893" s="26"/>
      <c r="W1893" s="27"/>
    </row>
    <row r="1894" spans="1:23" ht="15.75" customHeight="1" x14ac:dyDescent="0.25">
      <c r="A1894" s="23"/>
      <c r="B1894" s="23" t="str">
        <f t="shared" si="9"/>
        <v/>
      </c>
      <c r="C1894" s="23"/>
      <c r="D1894" s="44"/>
      <c r="E1894" s="23"/>
      <c r="F1894" s="45"/>
      <c r="G1894" s="23"/>
      <c r="H1894" s="23"/>
      <c r="I1894" s="23"/>
      <c r="J1894" s="25"/>
      <c r="K1894" s="23"/>
      <c r="L1894" s="51"/>
      <c r="M1894" s="23"/>
      <c r="N1894" s="26"/>
      <c r="O1894" s="26"/>
      <c r="P1894" s="26"/>
      <c r="Q1894" s="26"/>
      <c r="R1894" s="26"/>
      <c r="S1894" s="26"/>
      <c r="T1894" s="26"/>
      <c r="U1894" s="26"/>
      <c r="V1894" s="26"/>
      <c r="W1894" s="27"/>
    </row>
    <row r="1895" spans="1:23" ht="15.75" customHeight="1" x14ac:dyDescent="0.25">
      <c r="A1895" s="23"/>
      <c r="B1895" s="23" t="str">
        <f t="shared" si="9"/>
        <v/>
      </c>
      <c r="C1895" s="23"/>
      <c r="D1895" s="44"/>
      <c r="E1895" s="23"/>
      <c r="F1895" s="45"/>
      <c r="G1895" s="23"/>
      <c r="H1895" s="23"/>
      <c r="I1895" s="23"/>
      <c r="J1895" s="25"/>
      <c r="K1895" s="23"/>
      <c r="L1895" s="51"/>
      <c r="M1895" s="23"/>
      <c r="N1895" s="26"/>
      <c r="O1895" s="26"/>
      <c r="P1895" s="26"/>
      <c r="Q1895" s="26"/>
      <c r="R1895" s="26"/>
      <c r="S1895" s="26"/>
      <c r="T1895" s="26"/>
      <c r="U1895" s="26"/>
      <c r="V1895" s="26"/>
      <c r="W1895" s="27"/>
    </row>
    <row r="1896" spans="1:23" ht="15.75" customHeight="1" x14ac:dyDescent="0.25">
      <c r="A1896" s="23"/>
      <c r="B1896" s="23" t="str">
        <f t="shared" si="9"/>
        <v/>
      </c>
      <c r="C1896" s="23"/>
      <c r="D1896" s="44"/>
      <c r="E1896" s="23"/>
      <c r="F1896" s="45"/>
      <c r="G1896" s="23"/>
      <c r="H1896" s="23"/>
      <c r="I1896" s="23"/>
      <c r="J1896" s="25"/>
      <c r="K1896" s="23"/>
      <c r="L1896" s="51"/>
      <c r="M1896" s="23"/>
      <c r="N1896" s="26"/>
      <c r="O1896" s="26"/>
      <c r="P1896" s="26"/>
      <c r="Q1896" s="26"/>
      <c r="R1896" s="26"/>
      <c r="S1896" s="26"/>
      <c r="T1896" s="26"/>
      <c r="U1896" s="26"/>
      <c r="V1896" s="26"/>
      <c r="W1896" s="27"/>
    </row>
    <row r="1897" spans="1:23" ht="15.75" customHeight="1" x14ac:dyDescent="0.25">
      <c r="A1897" s="23"/>
      <c r="B1897" s="23" t="str">
        <f t="shared" si="9"/>
        <v/>
      </c>
      <c r="C1897" s="23"/>
      <c r="D1897" s="44"/>
      <c r="E1897" s="23"/>
      <c r="F1897" s="45"/>
      <c r="G1897" s="23"/>
      <c r="H1897" s="23"/>
      <c r="I1897" s="23"/>
      <c r="J1897" s="25"/>
      <c r="K1897" s="23"/>
      <c r="L1897" s="51"/>
      <c r="M1897" s="23"/>
      <c r="N1897" s="26"/>
      <c r="O1897" s="26"/>
      <c r="P1897" s="26"/>
      <c r="Q1897" s="26"/>
      <c r="R1897" s="26"/>
      <c r="S1897" s="26"/>
      <c r="T1897" s="26"/>
      <c r="U1897" s="26"/>
      <c r="V1897" s="26"/>
      <c r="W1897" s="27"/>
    </row>
    <row r="1898" spans="1:23" ht="15.75" customHeight="1" x14ac:dyDescent="0.25">
      <c r="A1898" s="23"/>
      <c r="B1898" s="23" t="str">
        <f t="shared" si="9"/>
        <v/>
      </c>
      <c r="C1898" s="23"/>
      <c r="D1898" s="44"/>
      <c r="E1898" s="23"/>
      <c r="F1898" s="45"/>
      <c r="G1898" s="23"/>
      <c r="H1898" s="23"/>
      <c r="I1898" s="23"/>
      <c r="J1898" s="25"/>
      <c r="K1898" s="23"/>
      <c r="L1898" s="51"/>
      <c r="M1898" s="23"/>
      <c r="N1898" s="26"/>
      <c r="O1898" s="26"/>
      <c r="P1898" s="26"/>
      <c r="Q1898" s="26"/>
      <c r="R1898" s="26"/>
      <c r="S1898" s="26"/>
      <c r="T1898" s="26"/>
      <c r="U1898" s="26"/>
      <c r="V1898" s="26"/>
      <c r="W1898" s="27"/>
    </row>
    <row r="1899" spans="1:23" ht="15.75" customHeight="1" x14ac:dyDescent="0.25">
      <c r="A1899" s="23"/>
      <c r="B1899" s="23" t="str">
        <f t="shared" si="9"/>
        <v/>
      </c>
      <c r="C1899" s="23"/>
      <c r="D1899" s="44"/>
      <c r="E1899" s="23"/>
      <c r="F1899" s="45"/>
      <c r="G1899" s="23"/>
      <c r="H1899" s="23"/>
      <c r="I1899" s="23"/>
      <c r="J1899" s="25"/>
      <c r="K1899" s="23"/>
      <c r="L1899" s="51"/>
      <c r="M1899" s="23"/>
      <c r="N1899" s="26"/>
      <c r="O1899" s="26"/>
      <c r="P1899" s="26"/>
      <c r="Q1899" s="26"/>
      <c r="R1899" s="26"/>
      <c r="S1899" s="26"/>
      <c r="T1899" s="26"/>
      <c r="U1899" s="26"/>
      <c r="V1899" s="26"/>
      <c r="W1899" s="27"/>
    </row>
    <row r="1900" spans="1:23" ht="15.75" customHeight="1" x14ac:dyDescent="0.25">
      <c r="A1900" s="23"/>
      <c r="B1900" s="23" t="str">
        <f t="shared" si="9"/>
        <v/>
      </c>
      <c r="C1900" s="23"/>
      <c r="D1900" s="44"/>
      <c r="E1900" s="23"/>
      <c r="F1900" s="45"/>
      <c r="G1900" s="23"/>
      <c r="H1900" s="23"/>
      <c r="I1900" s="23"/>
      <c r="J1900" s="25"/>
      <c r="K1900" s="23"/>
      <c r="L1900" s="51"/>
      <c r="M1900" s="23"/>
      <c r="N1900" s="26"/>
      <c r="O1900" s="26"/>
      <c r="P1900" s="26"/>
      <c r="Q1900" s="26"/>
      <c r="R1900" s="26"/>
      <c r="S1900" s="26"/>
      <c r="T1900" s="26"/>
      <c r="U1900" s="26"/>
      <c r="V1900" s="26"/>
      <c r="W1900" s="27"/>
    </row>
    <row r="1901" spans="1:23" ht="15.75" customHeight="1" x14ac:dyDescent="0.25">
      <c r="A1901" s="23"/>
      <c r="B1901" s="23" t="str">
        <f t="shared" si="9"/>
        <v/>
      </c>
      <c r="C1901" s="23"/>
      <c r="D1901" s="44"/>
      <c r="E1901" s="23"/>
      <c r="F1901" s="45"/>
      <c r="G1901" s="23"/>
      <c r="H1901" s="23"/>
      <c r="I1901" s="23"/>
      <c r="J1901" s="25"/>
      <c r="K1901" s="23"/>
      <c r="L1901" s="51"/>
      <c r="M1901" s="23"/>
      <c r="N1901" s="26"/>
      <c r="O1901" s="26"/>
      <c r="P1901" s="26"/>
      <c r="Q1901" s="26"/>
      <c r="R1901" s="26"/>
      <c r="S1901" s="26"/>
      <c r="T1901" s="26"/>
      <c r="U1901" s="26"/>
      <c r="V1901" s="26"/>
      <c r="W1901" s="27"/>
    </row>
    <row r="1902" spans="1:23" ht="15.75" customHeight="1" x14ac:dyDescent="0.25">
      <c r="A1902" s="23"/>
      <c r="B1902" s="23" t="str">
        <f t="shared" si="9"/>
        <v/>
      </c>
      <c r="C1902" s="23"/>
      <c r="D1902" s="44"/>
      <c r="E1902" s="23"/>
      <c r="F1902" s="45"/>
      <c r="G1902" s="23"/>
      <c r="H1902" s="23"/>
      <c r="I1902" s="23"/>
      <c r="J1902" s="25"/>
      <c r="K1902" s="23"/>
      <c r="L1902" s="51"/>
      <c r="M1902" s="23"/>
      <c r="N1902" s="26"/>
      <c r="O1902" s="26"/>
      <c r="P1902" s="26"/>
      <c r="Q1902" s="26"/>
      <c r="R1902" s="26"/>
      <c r="S1902" s="26"/>
      <c r="T1902" s="26"/>
      <c r="U1902" s="26"/>
      <c r="V1902" s="26"/>
      <c r="W1902" s="27"/>
    </row>
    <row r="1903" spans="1:23" ht="15.75" customHeight="1" x14ac:dyDescent="0.25">
      <c r="A1903" s="23"/>
      <c r="B1903" s="23" t="str">
        <f t="shared" si="9"/>
        <v/>
      </c>
      <c r="C1903" s="23"/>
      <c r="D1903" s="44"/>
      <c r="E1903" s="23"/>
      <c r="F1903" s="45"/>
      <c r="G1903" s="23"/>
      <c r="H1903" s="23"/>
      <c r="I1903" s="23"/>
      <c r="J1903" s="25"/>
      <c r="K1903" s="23"/>
      <c r="L1903" s="51"/>
      <c r="M1903" s="23"/>
      <c r="N1903" s="26"/>
      <c r="O1903" s="26"/>
      <c r="P1903" s="26"/>
      <c r="Q1903" s="26"/>
      <c r="R1903" s="26"/>
      <c r="S1903" s="26"/>
      <c r="T1903" s="26"/>
      <c r="U1903" s="26"/>
      <c r="V1903" s="26"/>
      <c r="W1903" s="27"/>
    </row>
    <row r="1904" spans="1:23" ht="15.75" customHeight="1" x14ac:dyDescent="0.25">
      <c r="A1904" s="23"/>
      <c r="B1904" s="23" t="str">
        <f t="shared" si="9"/>
        <v/>
      </c>
      <c r="C1904" s="23"/>
      <c r="D1904" s="44"/>
      <c r="E1904" s="23"/>
      <c r="F1904" s="45"/>
      <c r="G1904" s="23"/>
      <c r="H1904" s="23"/>
      <c r="I1904" s="23"/>
      <c r="J1904" s="25"/>
      <c r="K1904" s="23"/>
      <c r="L1904" s="51"/>
      <c r="M1904" s="23"/>
      <c r="N1904" s="26"/>
      <c r="O1904" s="26"/>
      <c r="P1904" s="26"/>
      <c r="Q1904" s="26"/>
      <c r="R1904" s="26"/>
      <c r="S1904" s="26"/>
      <c r="T1904" s="26"/>
      <c r="U1904" s="26"/>
      <c r="V1904" s="26"/>
      <c r="W1904" s="27"/>
    </row>
    <row r="1905" spans="1:23" ht="15.75" customHeight="1" x14ac:dyDescent="0.25">
      <c r="A1905" s="23"/>
      <c r="B1905" s="23" t="str">
        <f t="shared" si="9"/>
        <v/>
      </c>
      <c r="C1905" s="23"/>
      <c r="D1905" s="44"/>
      <c r="E1905" s="23"/>
      <c r="F1905" s="45"/>
      <c r="G1905" s="23"/>
      <c r="H1905" s="23"/>
      <c r="I1905" s="23"/>
      <c r="J1905" s="25"/>
      <c r="K1905" s="23"/>
      <c r="L1905" s="51"/>
      <c r="M1905" s="23"/>
      <c r="N1905" s="26"/>
      <c r="O1905" s="26"/>
      <c r="P1905" s="26"/>
      <c r="Q1905" s="26"/>
      <c r="R1905" s="26"/>
      <c r="S1905" s="26"/>
      <c r="T1905" s="26"/>
      <c r="U1905" s="26"/>
      <c r="V1905" s="26"/>
      <c r="W1905" s="27"/>
    </row>
    <row r="1906" spans="1:23" ht="15.75" customHeight="1" x14ac:dyDescent="0.25">
      <c r="A1906" s="23"/>
      <c r="B1906" s="23" t="str">
        <f t="shared" si="9"/>
        <v/>
      </c>
      <c r="C1906" s="23"/>
      <c r="D1906" s="44"/>
      <c r="E1906" s="23"/>
      <c r="F1906" s="45"/>
      <c r="G1906" s="23"/>
      <c r="H1906" s="23"/>
      <c r="I1906" s="23"/>
      <c r="J1906" s="25"/>
      <c r="K1906" s="23"/>
      <c r="L1906" s="51"/>
      <c r="M1906" s="23"/>
      <c r="N1906" s="26"/>
      <c r="O1906" s="26"/>
      <c r="P1906" s="26"/>
      <c r="Q1906" s="26"/>
      <c r="R1906" s="26"/>
      <c r="S1906" s="26"/>
      <c r="T1906" s="26"/>
      <c r="U1906" s="26"/>
      <c r="V1906" s="26"/>
      <c r="W1906" s="27"/>
    </row>
    <row r="1907" spans="1:23" ht="15.75" customHeight="1" x14ac:dyDescent="0.25">
      <c r="A1907" s="23"/>
      <c r="B1907" s="23" t="str">
        <f t="shared" si="9"/>
        <v/>
      </c>
      <c r="C1907" s="23"/>
      <c r="D1907" s="44"/>
      <c r="E1907" s="23"/>
      <c r="F1907" s="45"/>
      <c r="G1907" s="23"/>
      <c r="H1907" s="23"/>
      <c r="I1907" s="23"/>
      <c r="J1907" s="25"/>
      <c r="K1907" s="23"/>
      <c r="L1907" s="51"/>
      <c r="M1907" s="23"/>
      <c r="N1907" s="26"/>
      <c r="O1907" s="26"/>
      <c r="P1907" s="26"/>
      <c r="Q1907" s="26"/>
      <c r="R1907" s="26"/>
      <c r="S1907" s="26"/>
      <c r="T1907" s="26"/>
      <c r="U1907" s="26"/>
      <c r="V1907" s="26"/>
      <c r="W1907" s="27"/>
    </row>
    <row r="1908" spans="1:23" ht="15.75" customHeight="1" x14ac:dyDescent="0.25">
      <c r="A1908" s="23"/>
      <c r="B1908" s="23" t="str">
        <f t="shared" si="9"/>
        <v/>
      </c>
      <c r="C1908" s="23"/>
      <c r="D1908" s="44"/>
      <c r="E1908" s="23"/>
      <c r="F1908" s="45"/>
      <c r="G1908" s="23"/>
      <c r="H1908" s="23"/>
      <c r="I1908" s="23"/>
      <c r="J1908" s="25"/>
      <c r="K1908" s="23"/>
      <c r="L1908" s="51"/>
      <c r="M1908" s="23"/>
      <c r="N1908" s="26"/>
      <c r="O1908" s="26"/>
      <c r="P1908" s="26"/>
      <c r="Q1908" s="26"/>
      <c r="R1908" s="26"/>
      <c r="S1908" s="26"/>
      <c r="T1908" s="26"/>
      <c r="U1908" s="26"/>
      <c r="V1908" s="26"/>
      <c r="W1908" s="27"/>
    </row>
    <row r="1909" spans="1:23" ht="15.75" customHeight="1" x14ac:dyDescent="0.25">
      <c r="A1909" s="23"/>
      <c r="B1909" s="23" t="str">
        <f t="shared" si="9"/>
        <v/>
      </c>
      <c r="C1909" s="23"/>
      <c r="D1909" s="44"/>
      <c r="E1909" s="23"/>
      <c r="F1909" s="45"/>
      <c r="G1909" s="23"/>
      <c r="H1909" s="23"/>
      <c r="I1909" s="23"/>
      <c r="J1909" s="25"/>
      <c r="K1909" s="23"/>
      <c r="L1909" s="51"/>
      <c r="M1909" s="23"/>
      <c r="N1909" s="26"/>
      <c r="O1909" s="26"/>
      <c r="P1909" s="26"/>
      <c r="Q1909" s="26"/>
      <c r="R1909" s="26"/>
      <c r="S1909" s="26"/>
      <c r="T1909" s="26"/>
      <c r="U1909" s="26"/>
      <c r="V1909" s="26"/>
      <c r="W1909" s="27"/>
    </row>
    <row r="1910" spans="1:23" ht="15.75" customHeight="1" x14ac:dyDescent="0.25">
      <c r="A1910" s="23"/>
      <c r="B1910" s="23" t="str">
        <f t="shared" si="9"/>
        <v/>
      </c>
      <c r="C1910" s="23"/>
      <c r="D1910" s="44"/>
      <c r="E1910" s="23"/>
      <c r="F1910" s="45"/>
      <c r="G1910" s="23"/>
      <c r="H1910" s="23"/>
      <c r="I1910" s="23"/>
      <c r="J1910" s="25"/>
      <c r="K1910" s="23"/>
      <c r="L1910" s="51"/>
      <c r="M1910" s="23"/>
      <c r="N1910" s="26"/>
      <c r="O1910" s="26"/>
      <c r="P1910" s="26"/>
      <c r="Q1910" s="26"/>
      <c r="R1910" s="26"/>
      <c r="S1910" s="26"/>
      <c r="T1910" s="26"/>
      <c r="U1910" s="26"/>
      <c r="V1910" s="26"/>
      <c r="W1910" s="27"/>
    </row>
    <row r="1911" spans="1:23" ht="15.75" customHeight="1" x14ac:dyDescent="0.25">
      <c r="A1911" s="23"/>
      <c r="B1911" s="23" t="str">
        <f t="shared" si="9"/>
        <v/>
      </c>
      <c r="C1911" s="23"/>
      <c r="D1911" s="44"/>
      <c r="E1911" s="23"/>
      <c r="F1911" s="45"/>
      <c r="G1911" s="23"/>
      <c r="H1911" s="23"/>
      <c r="I1911" s="23"/>
      <c r="J1911" s="25"/>
      <c r="K1911" s="23"/>
      <c r="L1911" s="51"/>
      <c r="M1911" s="23"/>
      <c r="N1911" s="26"/>
      <c r="O1911" s="26"/>
      <c r="P1911" s="26"/>
      <c r="Q1911" s="26"/>
      <c r="R1911" s="26"/>
      <c r="S1911" s="26"/>
      <c r="T1911" s="26"/>
      <c r="U1911" s="26"/>
      <c r="V1911" s="26"/>
      <c r="W1911" s="27"/>
    </row>
    <row r="1912" spans="1:23" ht="15.75" customHeight="1" x14ac:dyDescent="0.25">
      <c r="A1912" s="23"/>
      <c r="B1912" s="23" t="str">
        <f t="shared" si="9"/>
        <v/>
      </c>
      <c r="C1912" s="23"/>
      <c r="D1912" s="44"/>
      <c r="E1912" s="23"/>
      <c r="F1912" s="45"/>
      <c r="G1912" s="23"/>
      <c r="H1912" s="23"/>
      <c r="I1912" s="23"/>
      <c r="J1912" s="25"/>
      <c r="K1912" s="23"/>
      <c r="L1912" s="51"/>
      <c r="M1912" s="23"/>
      <c r="N1912" s="26"/>
      <c r="O1912" s="26"/>
      <c r="P1912" s="26"/>
      <c r="Q1912" s="26"/>
      <c r="R1912" s="26"/>
      <c r="S1912" s="26"/>
      <c r="T1912" s="26"/>
      <c r="U1912" s="26"/>
      <c r="V1912" s="26"/>
      <c r="W1912" s="27"/>
    </row>
    <row r="1913" spans="1:23" ht="15.75" customHeight="1" x14ac:dyDescent="0.25">
      <c r="A1913" s="23"/>
      <c r="B1913" s="23" t="str">
        <f t="shared" si="9"/>
        <v/>
      </c>
      <c r="C1913" s="23"/>
      <c r="D1913" s="44"/>
      <c r="E1913" s="23"/>
      <c r="F1913" s="45"/>
      <c r="G1913" s="23"/>
      <c r="H1913" s="23"/>
      <c r="I1913" s="23"/>
      <c r="J1913" s="25"/>
      <c r="K1913" s="23"/>
      <c r="L1913" s="51"/>
      <c r="M1913" s="23"/>
      <c r="N1913" s="26"/>
      <c r="O1913" s="26"/>
      <c r="P1913" s="26"/>
      <c r="Q1913" s="26"/>
      <c r="R1913" s="26"/>
      <c r="S1913" s="26"/>
      <c r="T1913" s="26"/>
      <c r="U1913" s="26"/>
      <c r="V1913" s="26"/>
      <c r="W1913" s="27"/>
    </row>
    <row r="1914" spans="1:23" ht="15.75" customHeight="1" x14ac:dyDescent="0.25">
      <c r="A1914" s="23"/>
      <c r="B1914" s="23" t="str">
        <f t="shared" si="9"/>
        <v/>
      </c>
      <c r="C1914" s="23"/>
      <c r="D1914" s="44"/>
      <c r="E1914" s="23"/>
      <c r="F1914" s="45"/>
      <c r="G1914" s="23"/>
      <c r="H1914" s="23"/>
      <c r="I1914" s="23"/>
      <c r="J1914" s="25"/>
      <c r="K1914" s="23"/>
      <c r="L1914" s="51"/>
      <c r="M1914" s="23"/>
      <c r="N1914" s="26"/>
      <c r="O1914" s="26"/>
      <c r="P1914" s="26"/>
      <c r="Q1914" s="26"/>
      <c r="R1914" s="26"/>
      <c r="S1914" s="26"/>
      <c r="T1914" s="26"/>
      <c r="U1914" s="26"/>
      <c r="V1914" s="26"/>
      <c r="W1914" s="27"/>
    </row>
    <row r="1915" spans="1:23" ht="15.75" customHeight="1" x14ac:dyDescent="0.25">
      <c r="A1915" s="23"/>
      <c r="B1915" s="23" t="str">
        <f t="shared" si="9"/>
        <v/>
      </c>
      <c r="C1915" s="23"/>
      <c r="D1915" s="44"/>
      <c r="E1915" s="23"/>
      <c r="F1915" s="45"/>
      <c r="G1915" s="23"/>
      <c r="H1915" s="23"/>
      <c r="I1915" s="23"/>
      <c r="J1915" s="25"/>
      <c r="K1915" s="23"/>
      <c r="L1915" s="51"/>
      <c r="M1915" s="23"/>
      <c r="N1915" s="26"/>
      <c r="O1915" s="26"/>
      <c r="P1915" s="26"/>
      <c r="Q1915" s="26"/>
      <c r="R1915" s="26"/>
      <c r="S1915" s="26"/>
      <c r="T1915" s="26"/>
      <c r="U1915" s="26"/>
      <c r="V1915" s="26"/>
      <c r="W1915" s="27"/>
    </row>
    <row r="1916" spans="1:23" ht="15.75" customHeight="1" x14ac:dyDescent="0.25">
      <c r="A1916" s="23"/>
      <c r="B1916" s="23" t="str">
        <f t="shared" si="9"/>
        <v/>
      </c>
      <c r="C1916" s="23"/>
      <c r="D1916" s="44"/>
      <c r="E1916" s="23"/>
      <c r="F1916" s="45"/>
      <c r="G1916" s="23"/>
      <c r="H1916" s="23"/>
      <c r="I1916" s="23"/>
      <c r="J1916" s="25"/>
      <c r="K1916" s="23"/>
      <c r="L1916" s="51"/>
      <c r="M1916" s="23"/>
      <c r="N1916" s="26"/>
      <c r="O1916" s="26"/>
      <c r="P1916" s="26"/>
      <c r="Q1916" s="26"/>
      <c r="R1916" s="26"/>
      <c r="S1916" s="26"/>
      <c r="T1916" s="26"/>
      <c r="U1916" s="26"/>
      <c r="V1916" s="26"/>
      <c r="W1916" s="27"/>
    </row>
    <row r="1917" spans="1:23" ht="15.75" customHeight="1" x14ac:dyDescent="0.25">
      <c r="A1917" s="23"/>
      <c r="B1917" s="23" t="str">
        <f t="shared" si="9"/>
        <v/>
      </c>
      <c r="C1917" s="23"/>
      <c r="D1917" s="44"/>
      <c r="E1917" s="23"/>
      <c r="F1917" s="45"/>
      <c r="G1917" s="23"/>
      <c r="H1917" s="23"/>
      <c r="I1917" s="23"/>
      <c r="J1917" s="25"/>
      <c r="K1917" s="23"/>
      <c r="L1917" s="51"/>
      <c r="M1917" s="23"/>
      <c r="N1917" s="26"/>
      <c r="O1917" s="26"/>
      <c r="P1917" s="26"/>
      <c r="Q1917" s="26"/>
      <c r="R1917" s="26"/>
      <c r="S1917" s="26"/>
      <c r="T1917" s="26"/>
      <c r="U1917" s="26"/>
      <c r="V1917" s="26"/>
      <c r="W1917" s="27"/>
    </row>
    <row r="1918" spans="1:23" ht="15.75" customHeight="1" x14ac:dyDescent="0.25">
      <c r="A1918" s="23"/>
      <c r="B1918" s="23" t="str">
        <f t="shared" si="9"/>
        <v/>
      </c>
      <c r="C1918" s="23"/>
      <c r="D1918" s="44"/>
      <c r="E1918" s="23"/>
      <c r="F1918" s="45"/>
      <c r="G1918" s="23"/>
      <c r="H1918" s="23"/>
      <c r="I1918" s="23"/>
      <c r="J1918" s="25"/>
      <c r="K1918" s="23"/>
      <c r="L1918" s="51"/>
      <c r="M1918" s="23"/>
      <c r="N1918" s="26"/>
      <c r="O1918" s="26"/>
      <c r="P1918" s="26"/>
      <c r="Q1918" s="26"/>
      <c r="R1918" s="26"/>
      <c r="S1918" s="26"/>
      <c r="T1918" s="26"/>
      <c r="U1918" s="26"/>
      <c r="V1918" s="26"/>
      <c r="W1918" s="27"/>
    </row>
    <row r="1919" spans="1:23" ht="15.75" customHeight="1" x14ac:dyDescent="0.25">
      <c r="A1919" s="23"/>
      <c r="B1919" s="23" t="str">
        <f t="shared" si="9"/>
        <v/>
      </c>
      <c r="C1919" s="23"/>
      <c r="D1919" s="44"/>
      <c r="E1919" s="23"/>
      <c r="F1919" s="45"/>
      <c r="G1919" s="23"/>
      <c r="H1919" s="23"/>
      <c r="I1919" s="23"/>
      <c r="J1919" s="25"/>
      <c r="K1919" s="23"/>
      <c r="L1919" s="51"/>
      <c r="M1919" s="23"/>
      <c r="N1919" s="26"/>
      <c r="O1919" s="26"/>
      <c r="P1919" s="26"/>
      <c r="Q1919" s="26"/>
      <c r="R1919" s="26"/>
      <c r="S1919" s="26"/>
      <c r="T1919" s="26"/>
      <c r="U1919" s="26"/>
      <c r="V1919" s="26"/>
      <c r="W1919" s="27"/>
    </row>
    <row r="1920" spans="1:23" ht="15.75" customHeight="1" x14ac:dyDescent="0.25">
      <c r="A1920" s="23"/>
      <c r="B1920" s="23" t="str">
        <f t="shared" si="9"/>
        <v/>
      </c>
      <c r="C1920" s="23"/>
      <c r="D1920" s="44"/>
      <c r="E1920" s="23"/>
      <c r="F1920" s="45"/>
      <c r="G1920" s="23"/>
      <c r="H1920" s="23"/>
      <c r="I1920" s="23"/>
      <c r="J1920" s="25"/>
      <c r="K1920" s="23"/>
      <c r="L1920" s="51"/>
      <c r="M1920" s="23"/>
      <c r="N1920" s="26"/>
      <c r="O1920" s="26"/>
      <c r="P1920" s="26"/>
      <c r="Q1920" s="26"/>
      <c r="R1920" s="26"/>
      <c r="S1920" s="26"/>
      <c r="T1920" s="26"/>
      <c r="U1920" s="26"/>
      <c r="V1920" s="26"/>
      <c r="W1920" s="27"/>
    </row>
    <row r="1921" spans="1:23" ht="15.75" customHeight="1" x14ac:dyDescent="0.25">
      <c r="A1921" s="23"/>
      <c r="B1921" s="23" t="str">
        <f t="shared" si="9"/>
        <v/>
      </c>
      <c r="C1921" s="23"/>
      <c r="D1921" s="44"/>
      <c r="E1921" s="23"/>
      <c r="F1921" s="45"/>
      <c r="G1921" s="23"/>
      <c r="H1921" s="23"/>
      <c r="I1921" s="23"/>
      <c r="J1921" s="25"/>
      <c r="K1921" s="23"/>
      <c r="L1921" s="51"/>
      <c r="M1921" s="23"/>
      <c r="N1921" s="26"/>
      <c r="O1921" s="26"/>
      <c r="P1921" s="26"/>
      <c r="Q1921" s="26"/>
      <c r="R1921" s="26"/>
      <c r="S1921" s="26"/>
      <c r="T1921" s="26"/>
      <c r="U1921" s="26"/>
      <c r="V1921" s="26"/>
      <c r="W1921" s="27"/>
    </row>
    <row r="1922" spans="1:23" ht="15.75" customHeight="1" x14ac:dyDescent="0.25">
      <c r="A1922" s="23"/>
      <c r="B1922" s="23" t="str">
        <f t="shared" si="9"/>
        <v/>
      </c>
      <c r="C1922" s="23"/>
      <c r="D1922" s="44"/>
      <c r="E1922" s="23"/>
      <c r="F1922" s="45"/>
      <c r="G1922" s="23"/>
      <c r="H1922" s="23"/>
      <c r="I1922" s="23"/>
      <c r="J1922" s="25"/>
      <c r="K1922" s="23"/>
      <c r="L1922" s="51"/>
      <c r="M1922" s="23"/>
      <c r="N1922" s="26"/>
      <c r="O1922" s="26"/>
      <c r="P1922" s="26"/>
      <c r="Q1922" s="26"/>
      <c r="R1922" s="26"/>
      <c r="S1922" s="26"/>
      <c r="T1922" s="26"/>
      <c r="U1922" s="26"/>
      <c r="V1922" s="26"/>
      <c r="W1922" s="27"/>
    </row>
    <row r="1923" spans="1:23" ht="15.75" customHeight="1" x14ac:dyDescent="0.25">
      <c r="A1923" s="23"/>
      <c r="B1923" s="23" t="str">
        <f t="shared" si="9"/>
        <v/>
      </c>
      <c r="C1923" s="23"/>
      <c r="D1923" s="44"/>
      <c r="E1923" s="23"/>
      <c r="F1923" s="45"/>
      <c r="G1923" s="23"/>
      <c r="H1923" s="23"/>
      <c r="I1923" s="23"/>
      <c r="J1923" s="25"/>
      <c r="K1923" s="23"/>
      <c r="L1923" s="51"/>
      <c r="M1923" s="23"/>
      <c r="N1923" s="26"/>
      <c r="O1923" s="26"/>
      <c r="P1923" s="26"/>
      <c r="Q1923" s="26"/>
      <c r="R1923" s="26"/>
      <c r="S1923" s="26"/>
      <c r="T1923" s="26"/>
      <c r="U1923" s="26"/>
      <c r="V1923" s="26"/>
      <c r="W1923" s="27"/>
    </row>
    <row r="1924" spans="1:23" ht="15.75" customHeight="1" x14ac:dyDescent="0.25">
      <c r="A1924" s="23"/>
      <c r="B1924" s="23" t="str">
        <f t="shared" si="9"/>
        <v/>
      </c>
      <c r="C1924" s="23"/>
      <c r="D1924" s="44"/>
      <c r="E1924" s="23"/>
      <c r="F1924" s="45"/>
      <c r="G1924" s="23"/>
      <c r="H1924" s="23"/>
      <c r="I1924" s="23"/>
      <c r="J1924" s="25"/>
      <c r="K1924" s="23"/>
      <c r="L1924" s="51"/>
      <c r="M1924" s="23"/>
      <c r="N1924" s="26"/>
      <c r="O1924" s="26"/>
      <c r="P1924" s="26"/>
      <c r="Q1924" s="26"/>
      <c r="R1924" s="26"/>
      <c r="S1924" s="26"/>
      <c r="T1924" s="26"/>
      <c r="U1924" s="26"/>
      <c r="V1924" s="26"/>
      <c r="W1924" s="27"/>
    </row>
    <row r="1925" spans="1:23" ht="15.75" customHeight="1" x14ac:dyDescent="0.25">
      <c r="A1925" s="23"/>
      <c r="B1925" s="23" t="str">
        <f t="shared" si="9"/>
        <v/>
      </c>
      <c r="C1925" s="23"/>
      <c r="D1925" s="44"/>
      <c r="E1925" s="23"/>
      <c r="F1925" s="45"/>
      <c r="G1925" s="23"/>
      <c r="H1925" s="23"/>
      <c r="I1925" s="23"/>
      <c r="J1925" s="25"/>
      <c r="K1925" s="23"/>
      <c r="L1925" s="51"/>
      <c r="M1925" s="23"/>
      <c r="N1925" s="26"/>
      <c r="O1925" s="26"/>
      <c r="P1925" s="26"/>
      <c r="Q1925" s="26"/>
      <c r="R1925" s="26"/>
      <c r="S1925" s="26"/>
      <c r="T1925" s="26"/>
      <c r="U1925" s="26"/>
      <c r="V1925" s="26"/>
      <c r="W1925" s="27"/>
    </row>
    <row r="1926" spans="1:23" ht="15.75" customHeight="1" x14ac:dyDescent="0.25">
      <c r="A1926" s="23"/>
      <c r="B1926" s="23" t="str">
        <f t="shared" si="9"/>
        <v/>
      </c>
      <c r="C1926" s="23"/>
      <c r="D1926" s="44"/>
      <c r="E1926" s="23"/>
      <c r="F1926" s="45"/>
      <c r="G1926" s="23"/>
      <c r="H1926" s="23"/>
      <c r="I1926" s="23"/>
      <c r="J1926" s="25"/>
      <c r="K1926" s="23"/>
      <c r="L1926" s="51"/>
      <c r="M1926" s="23"/>
      <c r="N1926" s="26"/>
      <c r="O1926" s="26"/>
      <c r="P1926" s="26"/>
      <c r="Q1926" s="26"/>
      <c r="R1926" s="26"/>
      <c r="S1926" s="26"/>
      <c r="T1926" s="26"/>
      <c r="U1926" s="26"/>
      <c r="V1926" s="26"/>
      <c r="W1926" s="27"/>
    </row>
    <row r="1927" spans="1:23" ht="15.75" customHeight="1" x14ac:dyDescent="0.25">
      <c r="A1927" s="23"/>
      <c r="B1927" s="23" t="str">
        <f t="shared" si="9"/>
        <v/>
      </c>
      <c r="C1927" s="23"/>
      <c r="D1927" s="44"/>
      <c r="E1927" s="23"/>
      <c r="F1927" s="45"/>
      <c r="G1927" s="23"/>
      <c r="H1927" s="23"/>
      <c r="I1927" s="23"/>
      <c r="J1927" s="25"/>
      <c r="K1927" s="23"/>
      <c r="L1927" s="51"/>
      <c r="M1927" s="23"/>
      <c r="N1927" s="26"/>
      <c r="O1927" s="26"/>
      <c r="P1927" s="26"/>
      <c r="Q1927" s="26"/>
      <c r="R1927" s="26"/>
      <c r="S1927" s="26"/>
      <c r="T1927" s="26"/>
      <c r="U1927" s="26"/>
      <c r="V1927" s="26"/>
      <c r="W1927" s="27"/>
    </row>
    <row r="1928" spans="1:23" ht="15.75" customHeight="1" x14ac:dyDescent="0.25">
      <c r="A1928" s="23"/>
      <c r="B1928" s="23" t="str">
        <f t="shared" si="9"/>
        <v/>
      </c>
      <c r="C1928" s="23"/>
      <c r="D1928" s="44"/>
      <c r="E1928" s="23"/>
      <c r="F1928" s="45"/>
      <c r="G1928" s="23"/>
      <c r="H1928" s="23"/>
      <c r="I1928" s="23"/>
      <c r="J1928" s="25"/>
      <c r="K1928" s="23"/>
      <c r="L1928" s="51"/>
      <c r="M1928" s="23"/>
      <c r="N1928" s="26"/>
      <c r="O1928" s="26"/>
      <c r="P1928" s="26"/>
      <c r="Q1928" s="26"/>
      <c r="R1928" s="26"/>
      <c r="S1928" s="26"/>
      <c r="T1928" s="26"/>
      <c r="U1928" s="26"/>
      <c r="V1928" s="26"/>
      <c r="W1928" s="27"/>
    </row>
    <row r="1929" spans="1:23" ht="15.75" customHeight="1" x14ac:dyDescent="0.25">
      <c r="A1929" s="23"/>
      <c r="B1929" s="23" t="str">
        <f t="shared" si="9"/>
        <v/>
      </c>
      <c r="C1929" s="23"/>
      <c r="D1929" s="44"/>
      <c r="E1929" s="23"/>
      <c r="F1929" s="45"/>
      <c r="G1929" s="23"/>
      <c r="H1929" s="23"/>
      <c r="I1929" s="23"/>
      <c r="J1929" s="25"/>
      <c r="K1929" s="23"/>
      <c r="L1929" s="51"/>
      <c r="M1929" s="23"/>
      <c r="N1929" s="26"/>
      <c r="O1929" s="26"/>
      <c r="P1929" s="26"/>
      <c r="Q1929" s="26"/>
      <c r="R1929" s="26"/>
      <c r="S1929" s="26"/>
      <c r="T1929" s="26"/>
      <c r="U1929" s="26"/>
      <c r="V1929" s="26"/>
      <c r="W1929" s="27"/>
    </row>
    <row r="1930" spans="1:23" ht="15.75" customHeight="1" x14ac:dyDescent="0.25">
      <c r="A1930" s="23"/>
      <c r="B1930" s="23" t="str">
        <f t="shared" si="9"/>
        <v/>
      </c>
      <c r="C1930" s="23"/>
      <c r="D1930" s="44"/>
      <c r="E1930" s="23"/>
      <c r="F1930" s="45"/>
      <c r="G1930" s="23"/>
      <c r="H1930" s="23"/>
      <c r="I1930" s="23"/>
      <c r="J1930" s="25"/>
      <c r="K1930" s="23"/>
      <c r="L1930" s="51"/>
      <c r="M1930" s="23"/>
      <c r="N1930" s="26"/>
      <c r="O1930" s="26"/>
      <c r="P1930" s="26"/>
      <c r="Q1930" s="26"/>
      <c r="R1930" s="26"/>
      <c r="S1930" s="26"/>
      <c r="T1930" s="26"/>
      <c r="U1930" s="26"/>
      <c r="V1930" s="26"/>
      <c r="W1930" s="27"/>
    </row>
    <row r="1931" spans="1:23" ht="15.75" customHeight="1" x14ac:dyDescent="0.25">
      <c r="A1931" s="23"/>
      <c r="B1931" s="23" t="str">
        <f t="shared" si="9"/>
        <v/>
      </c>
      <c r="C1931" s="23"/>
      <c r="D1931" s="44"/>
      <c r="E1931" s="23"/>
      <c r="F1931" s="45"/>
      <c r="G1931" s="23"/>
      <c r="H1931" s="23"/>
      <c r="I1931" s="23"/>
      <c r="J1931" s="25"/>
      <c r="K1931" s="23"/>
      <c r="L1931" s="51"/>
      <c r="M1931" s="23"/>
      <c r="N1931" s="26"/>
      <c r="O1931" s="26"/>
      <c r="P1931" s="26"/>
      <c r="Q1931" s="26"/>
      <c r="R1931" s="26"/>
      <c r="S1931" s="26"/>
      <c r="T1931" s="26"/>
      <c r="U1931" s="26"/>
      <c r="V1931" s="26"/>
      <c r="W1931" s="27"/>
    </row>
    <row r="1932" spans="1:23" ht="15.75" customHeight="1" x14ac:dyDescent="0.25">
      <c r="A1932" s="23"/>
      <c r="B1932" s="23" t="str">
        <f t="shared" si="9"/>
        <v/>
      </c>
      <c r="C1932" s="23"/>
      <c r="D1932" s="44"/>
      <c r="E1932" s="23"/>
      <c r="F1932" s="45"/>
      <c r="G1932" s="23"/>
      <c r="H1932" s="23"/>
      <c r="I1932" s="23"/>
      <c r="J1932" s="25"/>
      <c r="K1932" s="23"/>
      <c r="L1932" s="51"/>
      <c r="M1932" s="23"/>
      <c r="N1932" s="26"/>
      <c r="O1932" s="26"/>
      <c r="P1932" s="26"/>
      <c r="Q1932" s="26"/>
      <c r="R1932" s="26"/>
      <c r="S1932" s="26"/>
      <c r="T1932" s="26"/>
      <c r="U1932" s="26"/>
      <c r="V1932" s="26"/>
      <c r="W1932" s="27"/>
    </row>
    <row r="1933" spans="1:23" ht="15.75" customHeight="1" x14ac:dyDescent="0.25">
      <c r="A1933" s="23"/>
      <c r="B1933" s="23" t="str">
        <f t="shared" si="9"/>
        <v/>
      </c>
      <c r="C1933" s="23"/>
      <c r="D1933" s="44"/>
      <c r="E1933" s="23"/>
      <c r="F1933" s="45"/>
      <c r="G1933" s="23"/>
      <c r="H1933" s="23"/>
      <c r="I1933" s="23"/>
      <c r="J1933" s="25"/>
      <c r="K1933" s="23"/>
      <c r="L1933" s="51"/>
      <c r="M1933" s="23"/>
      <c r="N1933" s="26"/>
      <c r="O1933" s="26"/>
      <c r="P1933" s="26"/>
      <c r="Q1933" s="26"/>
      <c r="R1933" s="26"/>
      <c r="S1933" s="26"/>
      <c r="T1933" s="26"/>
      <c r="U1933" s="26"/>
      <c r="V1933" s="26"/>
      <c r="W1933" s="27"/>
    </row>
    <row r="1934" spans="1:23" ht="15.75" customHeight="1" x14ac:dyDescent="0.25">
      <c r="A1934" s="23"/>
      <c r="B1934" s="23" t="str">
        <f t="shared" si="9"/>
        <v/>
      </c>
      <c r="C1934" s="23"/>
      <c r="D1934" s="44"/>
      <c r="E1934" s="23"/>
      <c r="F1934" s="45"/>
      <c r="G1934" s="23"/>
      <c r="H1934" s="23"/>
      <c r="I1934" s="23"/>
      <c r="J1934" s="25"/>
      <c r="K1934" s="23"/>
      <c r="L1934" s="51"/>
      <c r="M1934" s="23"/>
      <c r="N1934" s="26"/>
      <c r="O1934" s="26"/>
      <c r="P1934" s="26"/>
      <c r="Q1934" s="26"/>
      <c r="R1934" s="26"/>
      <c r="S1934" s="26"/>
      <c r="T1934" s="26"/>
      <c r="U1934" s="26"/>
      <c r="V1934" s="26"/>
      <c r="W1934" s="27"/>
    </row>
    <row r="1935" spans="1:23" ht="15.75" customHeight="1" x14ac:dyDescent="0.25">
      <c r="A1935" s="23"/>
      <c r="B1935" s="23" t="str">
        <f t="shared" si="9"/>
        <v/>
      </c>
      <c r="C1935" s="23"/>
      <c r="D1935" s="44"/>
      <c r="E1935" s="23"/>
      <c r="F1935" s="45"/>
      <c r="G1935" s="23"/>
      <c r="H1935" s="23"/>
      <c r="I1935" s="23"/>
      <c r="J1935" s="25"/>
      <c r="K1935" s="23"/>
      <c r="L1935" s="51"/>
      <c r="M1935" s="23"/>
      <c r="N1935" s="26"/>
      <c r="O1935" s="26"/>
      <c r="P1935" s="26"/>
      <c r="Q1935" s="26"/>
      <c r="R1935" s="26"/>
      <c r="S1935" s="26"/>
      <c r="T1935" s="26"/>
      <c r="U1935" s="26"/>
      <c r="V1935" s="26"/>
      <c r="W1935" s="27"/>
    </row>
    <row r="1936" spans="1:23" ht="15.75" customHeight="1" x14ac:dyDescent="0.25">
      <c r="A1936" s="23"/>
      <c r="B1936" s="23" t="str">
        <f t="shared" si="9"/>
        <v/>
      </c>
      <c r="C1936" s="23"/>
      <c r="D1936" s="44"/>
      <c r="E1936" s="23"/>
      <c r="F1936" s="45"/>
      <c r="G1936" s="23"/>
      <c r="H1936" s="23"/>
      <c r="I1936" s="23"/>
      <c r="J1936" s="25"/>
      <c r="K1936" s="23"/>
      <c r="L1936" s="51"/>
      <c r="M1936" s="23"/>
      <c r="N1936" s="26"/>
      <c r="O1936" s="26"/>
      <c r="P1936" s="26"/>
      <c r="Q1936" s="26"/>
      <c r="R1936" s="26"/>
      <c r="S1936" s="26"/>
      <c r="T1936" s="26"/>
      <c r="U1936" s="26"/>
      <c r="V1936" s="26"/>
      <c r="W1936" s="27"/>
    </row>
    <row r="1937" spans="1:23" ht="15.75" customHeight="1" x14ac:dyDescent="0.25">
      <c r="A1937" s="23"/>
      <c r="B1937" s="23" t="str">
        <f t="shared" si="9"/>
        <v/>
      </c>
      <c r="C1937" s="23"/>
      <c r="D1937" s="44"/>
      <c r="E1937" s="23"/>
      <c r="F1937" s="45"/>
      <c r="G1937" s="23"/>
      <c r="H1937" s="23"/>
      <c r="I1937" s="23"/>
      <c r="J1937" s="25"/>
      <c r="K1937" s="23"/>
      <c r="L1937" s="51"/>
      <c r="M1937" s="23"/>
      <c r="N1937" s="26"/>
      <c r="O1937" s="26"/>
      <c r="P1937" s="26"/>
      <c r="Q1937" s="26"/>
      <c r="R1937" s="26"/>
      <c r="S1937" s="26"/>
      <c r="T1937" s="26"/>
      <c r="U1937" s="26"/>
      <c r="V1937" s="26"/>
      <c r="W1937" s="27"/>
    </row>
    <row r="1938" spans="1:23" ht="15.75" customHeight="1" x14ac:dyDescent="0.25">
      <c r="A1938" s="23"/>
      <c r="B1938" s="23" t="str">
        <f t="shared" si="9"/>
        <v/>
      </c>
      <c r="C1938" s="23"/>
      <c r="D1938" s="44"/>
      <c r="E1938" s="23"/>
      <c r="F1938" s="45"/>
      <c r="G1938" s="23"/>
      <c r="H1938" s="23"/>
      <c r="I1938" s="23"/>
      <c r="J1938" s="25"/>
      <c r="K1938" s="23"/>
      <c r="L1938" s="51"/>
      <c r="M1938" s="23"/>
      <c r="N1938" s="26"/>
      <c r="O1938" s="26"/>
      <c r="P1938" s="26"/>
      <c r="Q1938" s="26"/>
      <c r="R1938" s="26"/>
      <c r="S1938" s="26"/>
      <c r="T1938" s="26"/>
      <c r="U1938" s="26"/>
      <c r="V1938" s="26"/>
      <c r="W1938" s="27"/>
    </row>
    <row r="1939" spans="1:23" ht="15.75" customHeight="1" x14ac:dyDescent="0.25">
      <c r="A1939" s="23"/>
      <c r="B1939" s="23" t="str">
        <f t="shared" si="9"/>
        <v/>
      </c>
      <c r="C1939" s="23"/>
      <c r="D1939" s="44"/>
      <c r="E1939" s="23"/>
      <c r="F1939" s="45"/>
      <c r="G1939" s="23"/>
      <c r="H1939" s="23"/>
      <c r="I1939" s="23"/>
      <c r="J1939" s="25"/>
      <c r="K1939" s="23"/>
      <c r="L1939" s="51"/>
      <c r="M1939" s="23"/>
      <c r="N1939" s="26"/>
      <c r="O1939" s="26"/>
      <c r="P1939" s="26"/>
      <c r="Q1939" s="26"/>
      <c r="R1939" s="26"/>
      <c r="S1939" s="26"/>
      <c r="T1939" s="26"/>
      <c r="U1939" s="26"/>
      <c r="V1939" s="26"/>
      <c r="W1939" s="27"/>
    </row>
    <row r="1940" spans="1:23" ht="15.75" customHeight="1" x14ac:dyDescent="0.25">
      <c r="A1940" s="23"/>
      <c r="B1940" s="23" t="str">
        <f t="shared" si="9"/>
        <v/>
      </c>
      <c r="C1940" s="23"/>
      <c r="D1940" s="44"/>
      <c r="E1940" s="23"/>
      <c r="F1940" s="45"/>
      <c r="G1940" s="23"/>
      <c r="H1940" s="23"/>
      <c r="I1940" s="23"/>
      <c r="J1940" s="25"/>
      <c r="K1940" s="23"/>
      <c r="L1940" s="51"/>
      <c r="M1940" s="23"/>
      <c r="N1940" s="26"/>
      <c r="O1940" s="26"/>
      <c r="P1940" s="26"/>
      <c r="Q1940" s="26"/>
      <c r="R1940" s="26"/>
      <c r="S1940" s="26"/>
      <c r="T1940" s="26"/>
      <c r="U1940" s="26"/>
      <c r="V1940" s="26"/>
      <c r="W1940" s="27"/>
    </row>
    <row r="1941" spans="1:23" ht="15.75" customHeight="1" x14ac:dyDescent="0.25">
      <c r="A1941" s="23"/>
      <c r="B1941" s="23" t="str">
        <f t="shared" si="9"/>
        <v/>
      </c>
      <c r="C1941" s="23"/>
      <c r="D1941" s="44"/>
      <c r="E1941" s="23"/>
      <c r="F1941" s="45"/>
      <c r="G1941" s="23"/>
      <c r="H1941" s="23"/>
      <c r="I1941" s="23"/>
      <c r="J1941" s="25"/>
      <c r="K1941" s="23"/>
      <c r="L1941" s="51"/>
      <c r="M1941" s="23"/>
      <c r="N1941" s="26"/>
      <c r="O1941" s="26"/>
      <c r="P1941" s="26"/>
      <c r="Q1941" s="26"/>
      <c r="R1941" s="26"/>
      <c r="S1941" s="26"/>
      <c r="T1941" s="26"/>
      <c r="U1941" s="26"/>
      <c r="V1941" s="26"/>
      <c r="W1941" s="27"/>
    </row>
    <row r="1942" spans="1:23" ht="15.75" customHeight="1" x14ac:dyDescent="0.25">
      <c r="A1942" s="23"/>
      <c r="B1942" s="23" t="str">
        <f t="shared" si="9"/>
        <v/>
      </c>
      <c r="C1942" s="23"/>
      <c r="D1942" s="44"/>
      <c r="E1942" s="23"/>
      <c r="F1942" s="45"/>
      <c r="G1942" s="23"/>
      <c r="H1942" s="23"/>
      <c r="I1942" s="23"/>
      <c r="J1942" s="25"/>
      <c r="K1942" s="23"/>
      <c r="L1942" s="51"/>
      <c r="M1942" s="23"/>
      <c r="N1942" s="26"/>
      <c r="O1942" s="26"/>
      <c r="P1942" s="26"/>
      <c r="Q1942" s="26"/>
      <c r="R1942" s="26"/>
      <c r="S1942" s="26"/>
      <c r="T1942" s="26"/>
      <c r="U1942" s="26"/>
      <c r="V1942" s="26"/>
      <c r="W1942" s="27"/>
    </row>
    <row r="1943" spans="1:23" ht="15.75" customHeight="1" x14ac:dyDescent="0.25">
      <c r="A1943" s="23"/>
      <c r="B1943" s="23" t="str">
        <f t="shared" si="9"/>
        <v/>
      </c>
      <c r="C1943" s="23"/>
      <c r="D1943" s="44"/>
      <c r="E1943" s="23"/>
      <c r="F1943" s="45"/>
      <c r="G1943" s="23"/>
      <c r="H1943" s="23"/>
      <c r="I1943" s="23"/>
      <c r="J1943" s="25"/>
      <c r="K1943" s="23"/>
      <c r="L1943" s="51"/>
      <c r="M1943" s="23"/>
      <c r="N1943" s="26"/>
      <c r="O1943" s="26"/>
      <c r="P1943" s="26"/>
      <c r="Q1943" s="26"/>
      <c r="R1943" s="26"/>
      <c r="S1943" s="26"/>
      <c r="T1943" s="26"/>
      <c r="U1943" s="26"/>
      <c r="V1943" s="26"/>
      <c r="W1943" s="27"/>
    </row>
    <row r="1944" spans="1:23" ht="15.75" customHeight="1" x14ac:dyDescent="0.25">
      <c r="A1944" s="23"/>
      <c r="B1944" s="23" t="str">
        <f t="shared" si="9"/>
        <v/>
      </c>
      <c r="C1944" s="23"/>
      <c r="D1944" s="44"/>
      <c r="E1944" s="23"/>
      <c r="F1944" s="45"/>
      <c r="G1944" s="23"/>
      <c r="H1944" s="23"/>
      <c r="I1944" s="23"/>
      <c r="J1944" s="25"/>
      <c r="K1944" s="23"/>
      <c r="L1944" s="51"/>
      <c r="M1944" s="23"/>
      <c r="N1944" s="26"/>
      <c r="O1944" s="26"/>
      <c r="P1944" s="26"/>
      <c r="Q1944" s="26"/>
      <c r="R1944" s="26"/>
      <c r="S1944" s="26"/>
      <c r="T1944" s="26"/>
      <c r="U1944" s="26"/>
      <c r="V1944" s="26"/>
      <c r="W1944" s="27"/>
    </row>
    <row r="1945" spans="1:23" ht="15.75" customHeight="1" x14ac:dyDescent="0.25">
      <c r="A1945" s="23"/>
      <c r="B1945" s="23" t="str">
        <f t="shared" si="9"/>
        <v/>
      </c>
      <c r="C1945" s="23"/>
      <c r="D1945" s="44"/>
      <c r="E1945" s="23"/>
      <c r="F1945" s="45"/>
      <c r="G1945" s="23"/>
      <c r="H1945" s="23"/>
      <c r="I1945" s="23"/>
      <c r="J1945" s="25"/>
      <c r="K1945" s="23"/>
      <c r="L1945" s="51"/>
      <c r="M1945" s="23"/>
      <c r="N1945" s="26"/>
      <c r="O1945" s="26"/>
      <c r="P1945" s="26"/>
      <c r="Q1945" s="26"/>
      <c r="R1945" s="26"/>
      <c r="S1945" s="26"/>
      <c r="T1945" s="26"/>
      <c r="U1945" s="26"/>
      <c r="V1945" s="26"/>
      <c r="W1945" s="27"/>
    </row>
    <row r="1946" spans="1:23" ht="15.75" customHeight="1" x14ac:dyDescent="0.25">
      <c r="A1946" s="23"/>
      <c r="B1946" s="23" t="str">
        <f t="shared" si="9"/>
        <v/>
      </c>
      <c r="C1946" s="23"/>
      <c r="D1946" s="44"/>
      <c r="E1946" s="23"/>
      <c r="F1946" s="45"/>
      <c r="G1946" s="23"/>
      <c r="H1946" s="23"/>
      <c r="I1946" s="23"/>
      <c r="J1946" s="25"/>
      <c r="K1946" s="23"/>
      <c r="L1946" s="51"/>
      <c r="M1946" s="23"/>
      <c r="N1946" s="26"/>
      <c r="O1946" s="26"/>
      <c r="P1946" s="26"/>
      <c r="Q1946" s="26"/>
      <c r="R1946" s="26"/>
      <c r="S1946" s="26"/>
      <c r="T1946" s="26"/>
      <c r="U1946" s="26"/>
      <c r="V1946" s="26"/>
      <c r="W1946" s="27"/>
    </row>
    <row r="1947" spans="1:23" ht="15.75" customHeight="1" x14ac:dyDescent="0.25">
      <c r="A1947" s="23"/>
      <c r="B1947" s="23" t="str">
        <f t="shared" si="9"/>
        <v/>
      </c>
      <c r="C1947" s="23"/>
      <c r="D1947" s="44"/>
      <c r="E1947" s="23"/>
      <c r="F1947" s="45"/>
      <c r="G1947" s="23"/>
      <c r="H1947" s="23"/>
      <c r="I1947" s="23"/>
      <c r="J1947" s="25"/>
      <c r="K1947" s="23"/>
      <c r="L1947" s="51"/>
      <c r="M1947" s="23"/>
      <c r="N1947" s="26"/>
      <c r="O1947" s="26"/>
      <c r="P1947" s="26"/>
      <c r="Q1947" s="26"/>
      <c r="R1947" s="26"/>
      <c r="S1947" s="26"/>
      <c r="T1947" s="26"/>
      <c r="U1947" s="26"/>
      <c r="V1947" s="26"/>
      <c r="W1947" s="27"/>
    </row>
    <row r="1948" spans="1:23" ht="15.75" customHeight="1" x14ac:dyDescent="0.25">
      <c r="A1948" s="23"/>
      <c r="B1948" s="23" t="str">
        <f t="shared" si="9"/>
        <v/>
      </c>
      <c r="C1948" s="23"/>
      <c r="D1948" s="44"/>
      <c r="E1948" s="23"/>
      <c r="F1948" s="45"/>
      <c r="G1948" s="23"/>
      <c r="H1948" s="23"/>
      <c r="I1948" s="23"/>
      <c r="J1948" s="25"/>
      <c r="K1948" s="23"/>
      <c r="L1948" s="51"/>
      <c r="M1948" s="23"/>
      <c r="N1948" s="26"/>
      <c r="O1948" s="26"/>
      <c r="P1948" s="26"/>
      <c r="Q1948" s="26"/>
      <c r="R1948" s="26"/>
      <c r="S1948" s="26"/>
      <c r="T1948" s="26"/>
      <c r="U1948" s="26"/>
      <c r="V1948" s="26"/>
      <c r="W1948" s="27"/>
    </row>
    <row r="1949" spans="1:23" ht="15.75" customHeight="1" x14ac:dyDescent="0.25">
      <c r="A1949" s="23"/>
      <c r="B1949" s="23" t="str">
        <f t="shared" si="9"/>
        <v/>
      </c>
      <c r="C1949" s="23"/>
      <c r="D1949" s="44"/>
      <c r="E1949" s="23"/>
      <c r="F1949" s="45"/>
      <c r="G1949" s="23"/>
      <c r="H1949" s="23"/>
      <c r="I1949" s="23"/>
      <c r="J1949" s="25"/>
      <c r="K1949" s="23"/>
      <c r="L1949" s="51"/>
      <c r="M1949" s="23"/>
      <c r="N1949" s="26"/>
      <c r="O1949" s="26"/>
      <c r="P1949" s="26"/>
      <c r="Q1949" s="26"/>
      <c r="R1949" s="26"/>
      <c r="S1949" s="26"/>
      <c r="T1949" s="26"/>
      <c r="U1949" s="26"/>
      <c r="V1949" s="26"/>
      <c r="W1949" s="27"/>
    </row>
    <row r="1950" spans="1:23" ht="15.75" customHeight="1" x14ac:dyDescent="0.25">
      <c r="A1950" s="23"/>
      <c r="B1950" s="23" t="str">
        <f t="shared" si="9"/>
        <v/>
      </c>
      <c r="C1950" s="23"/>
      <c r="D1950" s="44"/>
      <c r="E1950" s="23"/>
      <c r="F1950" s="45"/>
      <c r="G1950" s="23"/>
      <c r="H1950" s="23"/>
      <c r="I1950" s="23"/>
      <c r="J1950" s="25"/>
      <c r="K1950" s="23"/>
      <c r="L1950" s="51"/>
      <c r="M1950" s="23"/>
      <c r="N1950" s="26"/>
      <c r="O1950" s="26"/>
      <c r="P1950" s="26"/>
      <c r="Q1950" s="26"/>
      <c r="R1950" s="26"/>
      <c r="S1950" s="26"/>
      <c r="T1950" s="26"/>
      <c r="U1950" s="26"/>
      <c r="V1950" s="26"/>
      <c r="W1950" s="27"/>
    </row>
    <row r="1951" spans="1:23" ht="15.75" customHeight="1" x14ac:dyDescent="0.25">
      <c r="A1951" s="23"/>
      <c r="B1951" s="23" t="str">
        <f t="shared" si="9"/>
        <v/>
      </c>
      <c r="C1951" s="23"/>
      <c r="D1951" s="44"/>
      <c r="E1951" s="23"/>
      <c r="F1951" s="45"/>
      <c r="G1951" s="23"/>
      <c r="H1951" s="23"/>
      <c r="I1951" s="23"/>
      <c r="J1951" s="25"/>
      <c r="K1951" s="23"/>
      <c r="L1951" s="51"/>
      <c r="M1951" s="23"/>
      <c r="N1951" s="26"/>
      <c r="O1951" s="26"/>
      <c r="P1951" s="26"/>
      <c r="Q1951" s="26"/>
      <c r="R1951" s="26"/>
      <c r="S1951" s="26"/>
      <c r="T1951" s="26"/>
      <c r="U1951" s="26"/>
      <c r="V1951" s="26"/>
      <c r="W1951" s="27"/>
    </row>
    <row r="1952" spans="1:23" ht="15.75" customHeight="1" x14ac:dyDescent="0.25">
      <c r="A1952" s="23"/>
      <c r="B1952" s="23" t="str">
        <f t="shared" si="9"/>
        <v/>
      </c>
      <c r="C1952" s="23"/>
      <c r="D1952" s="44"/>
      <c r="E1952" s="23"/>
      <c r="F1952" s="45"/>
      <c r="G1952" s="23"/>
      <c r="H1952" s="23"/>
      <c r="I1952" s="23"/>
      <c r="J1952" s="25"/>
      <c r="K1952" s="23"/>
      <c r="L1952" s="51"/>
      <c r="M1952" s="23"/>
      <c r="N1952" s="26"/>
      <c r="O1952" s="26"/>
      <c r="P1952" s="26"/>
      <c r="Q1952" s="26"/>
      <c r="R1952" s="26"/>
      <c r="S1952" s="26"/>
      <c r="T1952" s="26"/>
      <c r="U1952" s="26"/>
      <c r="V1952" s="26"/>
      <c r="W1952" s="27"/>
    </row>
    <row r="1953" spans="1:23" ht="15.75" customHeight="1" x14ac:dyDescent="0.25">
      <c r="A1953" s="23"/>
      <c r="B1953" s="23" t="str">
        <f t="shared" si="9"/>
        <v/>
      </c>
      <c r="C1953" s="23"/>
      <c r="D1953" s="44"/>
      <c r="E1953" s="23"/>
      <c r="F1953" s="45"/>
      <c r="G1953" s="23"/>
      <c r="H1953" s="23"/>
      <c r="I1953" s="23"/>
      <c r="J1953" s="25"/>
      <c r="K1953" s="23"/>
      <c r="L1953" s="51"/>
      <c r="M1953" s="23"/>
      <c r="N1953" s="26"/>
      <c r="O1953" s="26"/>
      <c r="P1953" s="26"/>
      <c r="Q1953" s="26"/>
      <c r="R1953" s="26"/>
      <c r="S1953" s="26"/>
      <c r="T1953" s="26"/>
      <c r="U1953" s="26"/>
      <c r="V1953" s="26"/>
      <c r="W1953" s="27"/>
    </row>
    <row r="1954" spans="1:23" ht="15.75" customHeight="1" x14ac:dyDescent="0.25">
      <c r="A1954" s="23"/>
      <c r="B1954" s="23" t="str">
        <f t="shared" si="9"/>
        <v/>
      </c>
      <c r="C1954" s="23"/>
      <c r="D1954" s="44"/>
      <c r="E1954" s="23"/>
      <c r="F1954" s="45"/>
      <c r="G1954" s="23"/>
      <c r="H1954" s="23"/>
      <c r="I1954" s="23"/>
      <c r="J1954" s="25"/>
      <c r="K1954" s="23"/>
      <c r="L1954" s="51"/>
      <c r="M1954" s="23"/>
      <c r="N1954" s="26"/>
      <c r="O1954" s="26"/>
      <c r="P1954" s="26"/>
      <c r="Q1954" s="26"/>
      <c r="R1954" s="26"/>
      <c r="S1954" s="26"/>
      <c r="T1954" s="26"/>
      <c r="U1954" s="26"/>
      <c r="V1954" s="26"/>
      <c r="W1954" s="27"/>
    </row>
    <row r="1955" spans="1:23" ht="15.75" customHeight="1" x14ac:dyDescent="0.25">
      <c r="A1955" s="23"/>
      <c r="B1955" s="23" t="str">
        <f t="shared" si="9"/>
        <v/>
      </c>
      <c r="C1955" s="23"/>
      <c r="D1955" s="44"/>
      <c r="E1955" s="23"/>
      <c r="F1955" s="45"/>
      <c r="G1955" s="23"/>
      <c r="H1955" s="23"/>
      <c r="I1955" s="23"/>
      <c r="J1955" s="25"/>
      <c r="K1955" s="23"/>
      <c r="L1955" s="51"/>
      <c r="M1955" s="23"/>
      <c r="N1955" s="26"/>
      <c r="O1955" s="26"/>
      <c r="P1955" s="26"/>
      <c r="Q1955" s="26"/>
      <c r="R1955" s="26"/>
      <c r="S1955" s="26"/>
      <c r="T1955" s="26"/>
      <c r="U1955" s="26"/>
      <c r="V1955" s="26"/>
      <c r="W1955" s="27"/>
    </row>
    <row r="1956" spans="1:23" ht="15.75" customHeight="1" x14ac:dyDescent="0.25">
      <c r="A1956" s="23"/>
      <c r="B1956" s="23" t="str">
        <f t="shared" si="9"/>
        <v/>
      </c>
      <c r="C1956" s="23"/>
      <c r="D1956" s="44"/>
      <c r="E1956" s="23"/>
      <c r="F1956" s="45"/>
      <c r="G1956" s="23"/>
      <c r="H1956" s="23"/>
      <c r="I1956" s="23"/>
      <c r="J1956" s="25"/>
      <c r="K1956" s="23"/>
      <c r="L1956" s="51"/>
      <c r="M1956" s="23"/>
      <c r="N1956" s="26"/>
      <c r="O1956" s="26"/>
      <c r="P1956" s="26"/>
      <c r="Q1956" s="26"/>
      <c r="R1956" s="26"/>
      <c r="S1956" s="26"/>
      <c r="T1956" s="26"/>
      <c r="U1956" s="26"/>
      <c r="V1956" s="26"/>
      <c r="W1956" s="27"/>
    </row>
    <row r="1957" spans="1:23" ht="15.75" customHeight="1" x14ac:dyDescent="0.25">
      <c r="A1957" s="23"/>
      <c r="B1957" s="23" t="str">
        <f t="shared" si="9"/>
        <v/>
      </c>
      <c r="C1957" s="23"/>
      <c r="D1957" s="44"/>
      <c r="E1957" s="23"/>
      <c r="F1957" s="45"/>
      <c r="G1957" s="23"/>
      <c r="H1957" s="23"/>
      <c r="I1957" s="23"/>
      <c r="J1957" s="25"/>
      <c r="K1957" s="23"/>
      <c r="L1957" s="51"/>
      <c r="M1957" s="23"/>
      <c r="N1957" s="26"/>
      <c r="O1957" s="26"/>
      <c r="P1957" s="26"/>
      <c r="Q1957" s="26"/>
      <c r="R1957" s="26"/>
      <c r="S1957" s="26"/>
      <c r="T1957" s="26"/>
      <c r="U1957" s="26"/>
      <c r="V1957" s="26"/>
      <c r="W1957" s="27"/>
    </row>
    <row r="1958" spans="1:23" ht="15.75" customHeight="1" x14ac:dyDescent="0.25">
      <c r="A1958" s="23"/>
      <c r="B1958" s="23" t="str">
        <f t="shared" si="9"/>
        <v/>
      </c>
      <c r="C1958" s="23"/>
      <c r="D1958" s="44"/>
      <c r="E1958" s="23"/>
      <c r="F1958" s="45"/>
      <c r="G1958" s="23"/>
      <c r="H1958" s="23"/>
      <c r="I1958" s="23"/>
      <c r="J1958" s="25"/>
      <c r="K1958" s="23"/>
      <c r="L1958" s="51"/>
      <c r="M1958" s="23"/>
      <c r="N1958" s="26"/>
      <c r="O1958" s="26"/>
      <c r="P1958" s="26"/>
      <c r="Q1958" s="26"/>
      <c r="R1958" s="26"/>
      <c r="S1958" s="26"/>
      <c r="T1958" s="26"/>
      <c r="U1958" s="26"/>
      <c r="V1958" s="26"/>
      <c r="W1958" s="27"/>
    </row>
    <row r="1959" spans="1:23" ht="15.75" customHeight="1" x14ac:dyDescent="0.25">
      <c r="A1959" s="23"/>
      <c r="B1959" s="23" t="str">
        <f t="shared" si="9"/>
        <v/>
      </c>
      <c r="C1959" s="23"/>
      <c r="D1959" s="44"/>
      <c r="E1959" s="23"/>
      <c r="F1959" s="45"/>
      <c r="G1959" s="23"/>
      <c r="H1959" s="23"/>
      <c r="I1959" s="23"/>
      <c r="J1959" s="25"/>
      <c r="K1959" s="23"/>
      <c r="L1959" s="51"/>
      <c r="M1959" s="23"/>
      <c r="N1959" s="26"/>
      <c r="O1959" s="26"/>
      <c r="P1959" s="26"/>
      <c r="Q1959" s="26"/>
      <c r="R1959" s="26"/>
      <c r="S1959" s="26"/>
      <c r="T1959" s="26"/>
      <c r="U1959" s="26"/>
      <c r="V1959" s="26"/>
      <c r="W1959" s="27"/>
    </row>
    <row r="1960" spans="1:23" ht="15.75" customHeight="1" x14ac:dyDescent="0.25">
      <c r="A1960" s="23"/>
      <c r="B1960" s="23" t="str">
        <f t="shared" si="9"/>
        <v/>
      </c>
      <c r="C1960" s="23"/>
      <c r="D1960" s="44"/>
      <c r="E1960" s="23"/>
      <c r="F1960" s="45"/>
      <c r="G1960" s="23"/>
      <c r="H1960" s="23"/>
      <c r="I1960" s="23"/>
      <c r="J1960" s="25"/>
      <c r="K1960" s="23"/>
      <c r="L1960" s="51"/>
      <c r="M1960" s="23"/>
      <c r="N1960" s="26"/>
      <c r="O1960" s="26"/>
      <c r="P1960" s="26"/>
      <c r="Q1960" s="26"/>
      <c r="R1960" s="26"/>
      <c r="S1960" s="26"/>
      <c r="T1960" s="26"/>
      <c r="U1960" s="26"/>
      <c r="V1960" s="26"/>
      <c r="W1960" s="27"/>
    </row>
    <row r="1961" spans="1:23" ht="15.75" customHeight="1" x14ac:dyDescent="0.25">
      <c r="A1961" s="23"/>
      <c r="B1961" s="23" t="str">
        <f t="shared" si="9"/>
        <v/>
      </c>
      <c r="C1961" s="23"/>
      <c r="D1961" s="44"/>
      <c r="E1961" s="23"/>
      <c r="F1961" s="45"/>
      <c r="G1961" s="23"/>
      <c r="H1961" s="23"/>
      <c r="I1961" s="23"/>
      <c r="J1961" s="25"/>
      <c r="K1961" s="23"/>
      <c r="L1961" s="51"/>
      <c r="M1961" s="23"/>
      <c r="N1961" s="26"/>
      <c r="O1961" s="26"/>
      <c r="P1961" s="26"/>
      <c r="Q1961" s="26"/>
      <c r="R1961" s="26"/>
      <c r="S1961" s="26"/>
      <c r="T1961" s="26"/>
      <c r="U1961" s="26"/>
      <c r="V1961" s="26"/>
      <c r="W1961" s="27"/>
    </row>
    <row r="1962" spans="1:23" ht="15.75" customHeight="1" x14ac:dyDescent="0.25">
      <c r="A1962" s="23"/>
      <c r="B1962" s="23" t="str">
        <f t="shared" si="9"/>
        <v/>
      </c>
      <c r="C1962" s="23"/>
      <c r="D1962" s="44"/>
      <c r="E1962" s="23"/>
      <c r="F1962" s="45"/>
      <c r="G1962" s="23"/>
      <c r="H1962" s="23"/>
      <c r="I1962" s="23"/>
      <c r="J1962" s="25"/>
      <c r="K1962" s="23"/>
      <c r="L1962" s="51"/>
      <c r="M1962" s="23"/>
      <c r="N1962" s="26"/>
      <c r="O1962" s="26"/>
      <c r="P1962" s="26"/>
      <c r="Q1962" s="26"/>
      <c r="R1962" s="26"/>
      <c r="S1962" s="26"/>
      <c r="T1962" s="26"/>
      <c r="U1962" s="26"/>
      <c r="V1962" s="26"/>
      <c r="W1962" s="27"/>
    </row>
    <row r="1963" spans="1:23" ht="15.75" customHeight="1" x14ac:dyDescent="0.25">
      <c r="A1963" s="23"/>
      <c r="B1963" s="23" t="str">
        <f t="shared" si="9"/>
        <v/>
      </c>
      <c r="C1963" s="23"/>
      <c r="D1963" s="44"/>
      <c r="E1963" s="23"/>
      <c r="F1963" s="45"/>
      <c r="G1963" s="23"/>
      <c r="H1963" s="23"/>
      <c r="I1963" s="23"/>
      <c r="J1963" s="25"/>
      <c r="K1963" s="23"/>
      <c r="L1963" s="51"/>
      <c r="M1963" s="23"/>
      <c r="N1963" s="26"/>
      <c r="O1963" s="26"/>
      <c r="P1963" s="26"/>
      <c r="Q1963" s="26"/>
      <c r="R1963" s="26"/>
      <c r="S1963" s="26"/>
      <c r="T1963" s="26"/>
      <c r="U1963" s="26"/>
      <c r="V1963" s="26"/>
      <c r="W1963" s="27"/>
    </row>
    <row r="1964" spans="1:23" ht="15.75" customHeight="1" x14ac:dyDescent="0.25">
      <c r="A1964" s="23"/>
      <c r="B1964" s="23" t="str">
        <f t="shared" si="9"/>
        <v/>
      </c>
      <c r="C1964" s="23"/>
      <c r="D1964" s="44"/>
      <c r="E1964" s="23"/>
      <c r="F1964" s="45"/>
      <c r="G1964" s="23"/>
      <c r="H1964" s="23"/>
      <c r="I1964" s="23"/>
      <c r="J1964" s="25"/>
      <c r="K1964" s="23"/>
      <c r="L1964" s="51"/>
      <c r="M1964" s="23"/>
      <c r="N1964" s="26"/>
      <c r="O1964" s="26"/>
      <c r="P1964" s="26"/>
      <c r="Q1964" s="26"/>
      <c r="R1964" s="26"/>
      <c r="S1964" s="26"/>
      <c r="T1964" s="26"/>
      <c r="U1964" s="26"/>
      <c r="V1964" s="26"/>
      <c r="W1964" s="27"/>
    </row>
    <row r="1965" spans="1:23" ht="15.75" customHeight="1" x14ac:dyDescent="0.25">
      <c r="A1965" s="23"/>
      <c r="B1965" s="23" t="str">
        <f t="shared" si="9"/>
        <v/>
      </c>
      <c r="C1965" s="23"/>
      <c r="D1965" s="44"/>
      <c r="E1965" s="23"/>
      <c r="F1965" s="45"/>
      <c r="G1965" s="23"/>
      <c r="H1965" s="23"/>
      <c r="I1965" s="23"/>
      <c r="J1965" s="25"/>
      <c r="K1965" s="23"/>
      <c r="L1965" s="51"/>
      <c r="M1965" s="23"/>
      <c r="N1965" s="26"/>
      <c r="O1965" s="26"/>
      <c r="P1965" s="26"/>
      <c r="Q1965" s="26"/>
      <c r="R1965" s="26"/>
      <c r="S1965" s="26"/>
      <c r="T1965" s="26"/>
      <c r="U1965" s="26"/>
      <c r="V1965" s="26"/>
      <c r="W1965" s="27"/>
    </row>
    <row r="1966" spans="1:23" ht="15.75" customHeight="1" x14ac:dyDescent="0.25">
      <c r="A1966" s="23"/>
      <c r="B1966" s="23" t="str">
        <f t="shared" si="9"/>
        <v/>
      </c>
      <c r="C1966" s="23"/>
      <c r="D1966" s="44"/>
      <c r="E1966" s="23"/>
      <c r="F1966" s="45"/>
      <c r="G1966" s="23"/>
      <c r="H1966" s="23"/>
      <c r="I1966" s="23"/>
      <c r="J1966" s="25"/>
      <c r="K1966" s="23"/>
      <c r="L1966" s="51"/>
      <c r="M1966" s="23"/>
      <c r="N1966" s="26"/>
      <c r="O1966" s="26"/>
      <c r="P1966" s="26"/>
      <c r="Q1966" s="26"/>
      <c r="R1966" s="26"/>
      <c r="S1966" s="26"/>
      <c r="T1966" s="26"/>
      <c r="U1966" s="26"/>
      <c r="V1966" s="26"/>
      <c r="W1966" s="27"/>
    </row>
    <row r="1967" spans="1:23" ht="15.75" customHeight="1" x14ac:dyDescent="0.25">
      <c r="A1967" s="23"/>
      <c r="B1967" s="23" t="str">
        <f t="shared" si="9"/>
        <v/>
      </c>
      <c r="C1967" s="23"/>
      <c r="D1967" s="44"/>
      <c r="E1967" s="23"/>
      <c r="F1967" s="45"/>
      <c r="G1967" s="23"/>
      <c r="H1967" s="23"/>
      <c r="I1967" s="23"/>
      <c r="J1967" s="25"/>
      <c r="K1967" s="23"/>
      <c r="L1967" s="51"/>
      <c r="M1967" s="23"/>
      <c r="N1967" s="26"/>
      <c r="O1967" s="26"/>
      <c r="P1967" s="26"/>
      <c r="Q1967" s="26"/>
      <c r="R1967" s="26"/>
      <c r="S1967" s="26"/>
      <c r="T1967" s="26"/>
      <c r="U1967" s="26"/>
      <c r="V1967" s="26"/>
      <c r="W1967" s="27"/>
    </row>
    <row r="1968" spans="1:23" ht="15.75" customHeight="1" x14ac:dyDescent="0.25">
      <c r="A1968" s="23"/>
      <c r="B1968" s="23" t="str">
        <f t="shared" si="9"/>
        <v/>
      </c>
      <c r="C1968" s="23"/>
      <c r="D1968" s="44"/>
      <c r="E1968" s="23"/>
      <c r="F1968" s="45"/>
      <c r="G1968" s="23"/>
      <c r="H1968" s="23"/>
      <c r="I1968" s="23"/>
      <c r="J1968" s="25"/>
      <c r="K1968" s="23"/>
      <c r="L1968" s="51"/>
      <c r="M1968" s="23"/>
      <c r="N1968" s="26"/>
      <c r="O1968" s="26"/>
      <c r="P1968" s="26"/>
      <c r="Q1968" s="26"/>
      <c r="R1968" s="26"/>
      <c r="S1968" s="26"/>
      <c r="T1968" s="26"/>
      <c r="U1968" s="26"/>
      <c r="V1968" s="26"/>
      <c r="W1968" s="27"/>
    </row>
    <row r="1969" spans="1:23" ht="15.75" customHeight="1" x14ac:dyDescent="0.25">
      <c r="A1969" s="23"/>
      <c r="B1969" s="23" t="str">
        <f t="shared" si="9"/>
        <v/>
      </c>
      <c r="C1969" s="23"/>
      <c r="D1969" s="44"/>
      <c r="E1969" s="23"/>
      <c r="F1969" s="45"/>
      <c r="G1969" s="23"/>
      <c r="H1969" s="23"/>
      <c r="I1969" s="23"/>
      <c r="J1969" s="25"/>
      <c r="K1969" s="23"/>
      <c r="L1969" s="51"/>
      <c r="M1969" s="23"/>
      <c r="N1969" s="26"/>
      <c r="O1969" s="26"/>
      <c r="P1969" s="26"/>
      <c r="Q1969" s="26"/>
      <c r="R1969" s="26"/>
      <c r="S1969" s="26"/>
      <c r="T1969" s="26"/>
      <c r="U1969" s="26"/>
      <c r="V1969" s="26"/>
      <c r="W1969" s="27"/>
    </row>
    <row r="1970" spans="1:23" ht="15.75" customHeight="1" x14ac:dyDescent="0.25">
      <c r="A1970" s="23"/>
      <c r="B1970" s="23" t="str">
        <f t="shared" si="9"/>
        <v/>
      </c>
      <c r="C1970" s="23"/>
      <c r="D1970" s="44"/>
      <c r="E1970" s="23"/>
      <c r="F1970" s="45"/>
      <c r="G1970" s="23"/>
      <c r="H1970" s="23"/>
      <c r="I1970" s="23"/>
      <c r="J1970" s="25"/>
      <c r="K1970" s="23"/>
      <c r="L1970" s="51"/>
      <c r="M1970" s="23"/>
      <c r="N1970" s="26"/>
      <c r="O1970" s="26"/>
      <c r="P1970" s="26"/>
      <c r="Q1970" s="26"/>
      <c r="R1970" s="26"/>
      <c r="S1970" s="26"/>
      <c r="T1970" s="26"/>
      <c r="U1970" s="26"/>
      <c r="V1970" s="26"/>
      <c r="W1970" s="27"/>
    </row>
    <row r="1971" spans="1:23" ht="15.75" customHeight="1" x14ac:dyDescent="0.25">
      <c r="A1971" s="23"/>
      <c r="B1971" s="23" t="str">
        <f t="shared" si="9"/>
        <v/>
      </c>
      <c r="C1971" s="23"/>
      <c r="D1971" s="44"/>
      <c r="E1971" s="23"/>
      <c r="F1971" s="45"/>
      <c r="G1971" s="23"/>
      <c r="H1971" s="23"/>
      <c r="I1971" s="23"/>
      <c r="J1971" s="25"/>
      <c r="K1971" s="23"/>
      <c r="L1971" s="51"/>
      <c r="M1971" s="23"/>
      <c r="N1971" s="26"/>
      <c r="O1971" s="26"/>
      <c r="P1971" s="26"/>
      <c r="Q1971" s="26"/>
      <c r="R1971" s="26"/>
      <c r="S1971" s="26"/>
      <c r="T1971" s="26"/>
      <c r="U1971" s="26"/>
      <c r="V1971" s="26"/>
      <c r="W1971" s="27"/>
    </row>
    <row r="1972" spans="1:23" ht="15.75" customHeight="1" x14ac:dyDescent="0.25">
      <c r="A1972" s="23"/>
      <c r="B1972" s="23" t="str">
        <f t="shared" si="9"/>
        <v/>
      </c>
      <c r="C1972" s="23"/>
      <c r="D1972" s="44"/>
      <c r="E1972" s="23"/>
      <c r="F1972" s="45"/>
      <c r="G1972" s="23"/>
      <c r="H1972" s="23"/>
      <c r="I1972" s="23"/>
      <c r="J1972" s="25"/>
      <c r="K1972" s="23"/>
      <c r="L1972" s="51"/>
      <c r="M1972" s="23"/>
      <c r="N1972" s="26"/>
      <c r="O1972" s="26"/>
      <c r="P1972" s="26"/>
      <c r="Q1972" s="26"/>
      <c r="R1972" s="26"/>
      <c r="S1972" s="26"/>
      <c r="T1972" s="26"/>
      <c r="U1972" s="26"/>
      <c r="V1972" s="26"/>
      <c r="W1972" s="27"/>
    </row>
    <row r="1973" spans="1:23" ht="15.75" customHeight="1" x14ac:dyDescent="0.25">
      <c r="A1973" s="23"/>
      <c r="B1973" s="23" t="str">
        <f t="shared" si="9"/>
        <v/>
      </c>
      <c r="C1973" s="23"/>
      <c r="D1973" s="44"/>
      <c r="E1973" s="23"/>
      <c r="F1973" s="45"/>
      <c r="G1973" s="23"/>
      <c r="H1973" s="23"/>
      <c r="I1973" s="23"/>
      <c r="J1973" s="25"/>
      <c r="K1973" s="23"/>
      <c r="L1973" s="51"/>
      <c r="M1973" s="23"/>
      <c r="N1973" s="26"/>
      <c r="O1973" s="26"/>
      <c r="P1973" s="26"/>
      <c r="Q1973" s="26"/>
      <c r="R1973" s="26"/>
      <c r="S1973" s="26"/>
      <c r="T1973" s="26"/>
      <c r="U1973" s="26"/>
      <c r="V1973" s="26"/>
      <c r="W1973" s="27"/>
    </row>
    <row r="1974" spans="1:23" ht="15.75" customHeight="1" x14ac:dyDescent="0.25">
      <c r="A1974" s="23"/>
      <c r="B1974" s="23" t="str">
        <f t="shared" si="9"/>
        <v/>
      </c>
      <c r="C1974" s="23"/>
      <c r="D1974" s="44"/>
      <c r="E1974" s="23"/>
      <c r="F1974" s="45"/>
      <c r="G1974" s="23"/>
      <c r="H1974" s="23"/>
      <c r="I1974" s="23"/>
      <c r="J1974" s="25"/>
      <c r="K1974" s="23"/>
      <c r="L1974" s="51"/>
      <c r="M1974" s="23"/>
      <c r="N1974" s="26"/>
      <c r="O1974" s="26"/>
      <c r="P1974" s="26"/>
      <c r="Q1974" s="26"/>
      <c r="R1974" s="26"/>
      <c r="S1974" s="26"/>
      <c r="T1974" s="26"/>
      <c r="U1974" s="26"/>
      <c r="V1974" s="26"/>
      <c r="W1974" s="27"/>
    </row>
    <row r="1975" spans="1:23" ht="15.75" customHeight="1" x14ac:dyDescent="0.25">
      <c r="A1975" s="23"/>
      <c r="B1975" s="23" t="str">
        <f t="shared" si="9"/>
        <v/>
      </c>
      <c r="C1975" s="23"/>
      <c r="D1975" s="44"/>
      <c r="E1975" s="23"/>
      <c r="F1975" s="45"/>
      <c r="G1975" s="23"/>
      <c r="H1975" s="23"/>
      <c r="I1975" s="23"/>
      <c r="J1975" s="25"/>
      <c r="K1975" s="23"/>
      <c r="L1975" s="51"/>
      <c r="M1975" s="23"/>
      <c r="N1975" s="26"/>
      <c r="O1975" s="26"/>
      <c r="P1975" s="26"/>
      <c r="Q1975" s="26"/>
      <c r="R1975" s="26"/>
      <c r="S1975" s="26"/>
      <c r="T1975" s="26"/>
      <c r="U1975" s="26"/>
      <c r="V1975" s="26"/>
      <c r="W1975" s="27"/>
    </row>
    <row r="1976" spans="1:23" ht="15.75" customHeight="1" x14ac:dyDescent="0.25">
      <c r="A1976" s="23"/>
      <c r="B1976" s="23" t="str">
        <f t="shared" si="9"/>
        <v/>
      </c>
      <c r="C1976" s="23"/>
      <c r="D1976" s="44"/>
      <c r="E1976" s="23"/>
      <c r="F1976" s="45"/>
      <c r="G1976" s="23"/>
      <c r="H1976" s="23"/>
      <c r="I1976" s="23"/>
      <c r="J1976" s="25"/>
      <c r="K1976" s="23"/>
      <c r="L1976" s="51"/>
      <c r="M1976" s="23"/>
      <c r="N1976" s="26"/>
      <c r="O1976" s="26"/>
      <c r="P1976" s="26"/>
      <c r="Q1976" s="26"/>
      <c r="R1976" s="26"/>
      <c r="S1976" s="26"/>
      <c r="T1976" s="26"/>
      <c r="U1976" s="26"/>
      <c r="V1976" s="26"/>
      <c r="W1976" s="27"/>
    </row>
    <row r="1977" spans="1:23" ht="15.75" customHeight="1" x14ac:dyDescent="0.25">
      <c r="A1977" s="23"/>
      <c r="B1977" s="23" t="str">
        <f t="shared" si="9"/>
        <v/>
      </c>
      <c r="C1977" s="23"/>
      <c r="D1977" s="44"/>
      <c r="E1977" s="23"/>
      <c r="F1977" s="45"/>
      <c r="G1977" s="23"/>
      <c r="H1977" s="23"/>
      <c r="I1977" s="23"/>
      <c r="J1977" s="25"/>
      <c r="K1977" s="23"/>
      <c r="L1977" s="51"/>
      <c r="M1977" s="23"/>
      <c r="N1977" s="26"/>
      <c r="O1977" s="26"/>
      <c r="P1977" s="26"/>
      <c r="Q1977" s="26"/>
      <c r="R1977" s="26"/>
      <c r="S1977" s="26"/>
      <c r="T1977" s="26"/>
      <c r="U1977" s="26"/>
      <c r="V1977" s="26"/>
      <c r="W1977" s="27"/>
    </row>
    <row r="1978" spans="1:23" ht="15.75" customHeight="1" x14ac:dyDescent="0.25">
      <c r="A1978" s="23"/>
      <c r="B1978" s="23" t="str">
        <f t="shared" si="9"/>
        <v/>
      </c>
      <c r="C1978" s="23"/>
      <c r="D1978" s="44"/>
      <c r="E1978" s="23"/>
      <c r="F1978" s="45"/>
      <c r="G1978" s="23"/>
      <c r="H1978" s="23"/>
      <c r="I1978" s="23"/>
      <c r="J1978" s="25"/>
      <c r="K1978" s="23"/>
      <c r="L1978" s="51"/>
      <c r="M1978" s="23"/>
      <c r="N1978" s="26"/>
      <c r="O1978" s="26"/>
      <c r="P1978" s="26"/>
      <c r="Q1978" s="26"/>
      <c r="R1978" s="26"/>
      <c r="S1978" s="26"/>
      <c r="T1978" s="26"/>
      <c r="U1978" s="26"/>
      <c r="V1978" s="26"/>
      <c r="W1978" s="27"/>
    </row>
    <row r="1979" spans="1:23" ht="15.75" customHeight="1" x14ac:dyDescent="0.25">
      <c r="A1979" s="23"/>
      <c r="B1979" s="23" t="str">
        <f t="shared" si="9"/>
        <v/>
      </c>
      <c r="C1979" s="23"/>
      <c r="D1979" s="44"/>
      <c r="E1979" s="23"/>
      <c r="F1979" s="45"/>
      <c r="G1979" s="23"/>
      <c r="H1979" s="23"/>
      <c r="I1979" s="23"/>
      <c r="J1979" s="25"/>
      <c r="K1979" s="23"/>
      <c r="L1979" s="51"/>
      <c r="M1979" s="23"/>
      <c r="N1979" s="26"/>
      <c r="O1979" s="26"/>
      <c r="P1979" s="26"/>
      <c r="Q1979" s="26"/>
      <c r="R1979" s="26"/>
      <c r="S1979" s="26"/>
      <c r="T1979" s="26"/>
      <c r="U1979" s="26"/>
      <c r="V1979" s="26"/>
      <c r="W1979" s="27"/>
    </row>
    <row r="1980" spans="1:23" ht="15.75" customHeight="1" x14ac:dyDescent="0.25">
      <c r="A1980" s="23"/>
      <c r="B1980" s="23" t="str">
        <f t="shared" si="9"/>
        <v/>
      </c>
      <c r="C1980" s="23"/>
      <c r="D1980" s="44"/>
      <c r="E1980" s="23"/>
      <c r="F1980" s="45"/>
      <c r="G1980" s="23"/>
      <c r="H1980" s="23"/>
      <c r="I1980" s="23"/>
      <c r="J1980" s="25"/>
      <c r="K1980" s="23"/>
      <c r="L1980" s="51"/>
      <c r="M1980" s="23"/>
      <c r="N1980" s="26"/>
      <c r="O1980" s="26"/>
      <c r="P1980" s="26"/>
      <c r="Q1980" s="26"/>
      <c r="R1980" s="26"/>
      <c r="S1980" s="26"/>
      <c r="T1980" s="26"/>
      <c r="U1980" s="26"/>
      <c r="V1980" s="26"/>
      <c r="W1980" s="27"/>
    </row>
    <row r="1981" spans="1:23" ht="15.75" customHeight="1" x14ac:dyDescent="0.25">
      <c r="A1981" s="23"/>
      <c r="B1981" s="23" t="str">
        <f t="shared" si="9"/>
        <v/>
      </c>
      <c r="C1981" s="23"/>
      <c r="D1981" s="44"/>
      <c r="E1981" s="23"/>
      <c r="F1981" s="45"/>
      <c r="G1981" s="23"/>
      <c r="H1981" s="23"/>
      <c r="I1981" s="23"/>
      <c r="J1981" s="25"/>
      <c r="K1981" s="23"/>
      <c r="L1981" s="51"/>
      <c r="M1981" s="23"/>
      <c r="N1981" s="26"/>
      <c r="O1981" s="26"/>
      <c r="P1981" s="26"/>
      <c r="Q1981" s="26"/>
      <c r="R1981" s="26"/>
      <c r="S1981" s="26"/>
      <c r="T1981" s="26"/>
      <c r="U1981" s="26"/>
      <c r="V1981" s="26"/>
      <c r="W1981" s="27"/>
    </row>
    <row r="1982" spans="1:23" ht="15.75" customHeight="1" x14ac:dyDescent="0.25">
      <c r="A1982" s="23"/>
      <c r="B1982" s="23" t="str">
        <f t="shared" si="9"/>
        <v/>
      </c>
      <c r="C1982" s="23"/>
      <c r="D1982" s="44"/>
      <c r="E1982" s="23"/>
      <c r="F1982" s="45"/>
      <c r="G1982" s="23"/>
      <c r="H1982" s="23"/>
      <c r="I1982" s="23"/>
      <c r="J1982" s="25"/>
      <c r="K1982" s="23"/>
      <c r="L1982" s="51"/>
      <c r="M1982" s="23"/>
      <c r="N1982" s="26"/>
      <c r="O1982" s="26"/>
      <c r="P1982" s="26"/>
      <c r="Q1982" s="26"/>
      <c r="R1982" s="26"/>
      <c r="S1982" s="26"/>
      <c r="T1982" s="26"/>
      <c r="U1982" s="26"/>
      <c r="V1982" s="26"/>
      <c r="W1982" s="27"/>
    </row>
    <row r="1983" spans="1:23" ht="15.75" customHeight="1" x14ac:dyDescent="0.25">
      <c r="A1983" s="23"/>
      <c r="B1983" s="23" t="str">
        <f t="shared" si="9"/>
        <v/>
      </c>
      <c r="C1983" s="23"/>
      <c r="D1983" s="44"/>
      <c r="E1983" s="23"/>
      <c r="F1983" s="45"/>
      <c r="G1983" s="23"/>
      <c r="H1983" s="23"/>
      <c r="I1983" s="23"/>
      <c r="J1983" s="25"/>
      <c r="K1983" s="23"/>
      <c r="L1983" s="51"/>
      <c r="M1983" s="23"/>
      <c r="N1983" s="26"/>
      <c r="O1983" s="26"/>
      <c r="P1983" s="26"/>
      <c r="Q1983" s="26"/>
      <c r="R1983" s="26"/>
      <c r="S1983" s="26"/>
      <c r="T1983" s="26"/>
      <c r="U1983" s="26"/>
      <c r="V1983" s="26"/>
      <c r="W1983" s="27"/>
    </row>
    <row r="1984" spans="1:23" ht="15.75" customHeight="1" x14ac:dyDescent="0.25">
      <c r="A1984" s="23"/>
      <c r="B1984" s="23" t="str">
        <f t="shared" si="9"/>
        <v/>
      </c>
      <c r="C1984" s="23"/>
      <c r="D1984" s="44"/>
      <c r="E1984" s="23"/>
      <c r="F1984" s="45"/>
      <c r="G1984" s="23"/>
      <c r="H1984" s="23"/>
      <c r="I1984" s="23"/>
      <c r="J1984" s="25"/>
      <c r="K1984" s="23"/>
      <c r="L1984" s="51"/>
      <c r="M1984" s="23"/>
      <c r="N1984" s="26"/>
      <c r="O1984" s="26"/>
      <c r="P1984" s="26"/>
      <c r="Q1984" s="26"/>
      <c r="R1984" s="26"/>
      <c r="S1984" s="26"/>
      <c r="T1984" s="26"/>
      <c r="U1984" s="26"/>
      <c r="V1984" s="26"/>
      <c r="W1984" s="27"/>
    </row>
    <row r="1985" spans="1:23" ht="15.75" customHeight="1" x14ac:dyDescent="0.25">
      <c r="A1985" s="23"/>
      <c r="B1985" s="23" t="str">
        <f t="shared" si="9"/>
        <v/>
      </c>
      <c r="C1985" s="23"/>
      <c r="D1985" s="44"/>
      <c r="E1985" s="23"/>
      <c r="F1985" s="45"/>
      <c r="G1985" s="23"/>
      <c r="H1985" s="23"/>
      <c r="I1985" s="23"/>
      <c r="J1985" s="25"/>
      <c r="K1985" s="23"/>
      <c r="L1985" s="51"/>
      <c r="M1985" s="23"/>
      <c r="N1985" s="26"/>
      <c r="O1985" s="26"/>
      <c r="P1985" s="26"/>
      <c r="Q1985" s="26"/>
      <c r="R1985" s="26"/>
      <c r="S1985" s="26"/>
      <c r="T1985" s="26"/>
      <c r="U1985" s="26"/>
      <c r="V1985" s="26"/>
      <c r="W1985" s="27"/>
    </row>
    <row r="1986" spans="1:23" ht="15.75" customHeight="1" x14ac:dyDescent="0.25">
      <c r="A1986" s="23"/>
      <c r="B1986" s="23" t="str">
        <f t="shared" si="9"/>
        <v/>
      </c>
      <c r="C1986" s="23"/>
      <c r="D1986" s="44"/>
      <c r="E1986" s="23"/>
      <c r="F1986" s="45"/>
      <c r="G1986" s="23"/>
      <c r="H1986" s="23"/>
      <c r="I1986" s="23"/>
      <c r="J1986" s="25"/>
      <c r="K1986" s="23"/>
      <c r="L1986" s="51"/>
      <c r="M1986" s="23"/>
      <c r="N1986" s="26"/>
      <c r="O1986" s="26"/>
      <c r="P1986" s="26"/>
      <c r="Q1986" s="26"/>
      <c r="R1986" s="26"/>
      <c r="S1986" s="26"/>
      <c r="T1986" s="26"/>
      <c r="U1986" s="26"/>
      <c r="V1986" s="26"/>
      <c r="W1986" s="27"/>
    </row>
    <row r="1987" spans="1:23" ht="15.75" customHeight="1" x14ac:dyDescent="0.25">
      <c r="A1987" s="23"/>
      <c r="B1987" s="23" t="str">
        <f t="shared" si="9"/>
        <v/>
      </c>
      <c r="C1987" s="23"/>
      <c r="D1987" s="44"/>
      <c r="E1987" s="23"/>
      <c r="F1987" s="45"/>
      <c r="G1987" s="23"/>
      <c r="H1987" s="23"/>
      <c r="I1987" s="23"/>
      <c r="J1987" s="25"/>
      <c r="K1987" s="23"/>
      <c r="L1987" s="51"/>
      <c r="M1987" s="23"/>
      <c r="N1987" s="26"/>
      <c r="O1987" s="26"/>
      <c r="P1987" s="26"/>
      <c r="Q1987" s="26"/>
      <c r="R1987" s="26"/>
      <c r="S1987" s="26"/>
      <c r="T1987" s="26"/>
      <c r="U1987" s="26"/>
      <c r="V1987" s="26"/>
      <c r="W1987" s="27"/>
    </row>
    <row r="1988" spans="1:23" ht="15.75" customHeight="1" x14ac:dyDescent="0.25">
      <c r="A1988" s="23"/>
      <c r="B1988" s="23" t="str">
        <f t="shared" si="9"/>
        <v/>
      </c>
      <c r="C1988" s="23"/>
      <c r="D1988" s="44"/>
      <c r="E1988" s="23"/>
      <c r="F1988" s="45"/>
      <c r="G1988" s="23"/>
      <c r="H1988" s="23"/>
      <c r="I1988" s="23"/>
      <c r="J1988" s="25"/>
      <c r="K1988" s="23"/>
      <c r="L1988" s="51"/>
      <c r="M1988" s="23"/>
      <c r="N1988" s="26"/>
      <c r="O1988" s="26"/>
      <c r="P1988" s="26"/>
      <c r="Q1988" s="26"/>
      <c r="R1988" s="26"/>
      <c r="S1988" s="26"/>
      <c r="T1988" s="26"/>
      <c r="U1988" s="26"/>
      <c r="V1988" s="26"/>
      <c r="W1988" s="27"/>
    </row>
    <row r="1989" spans="1:23" ht="15.75" customHeight="1" x14ac:dyDescent="0.25">
      <c r="A1989" s="23"/>
      <c r="B1989" s="23" t="str">
        <f t="shared" si="9"/>
        <v/>
      </c>
      <c r="C1989" s="23"/>
      <c r="D1989" s="44"/>
      <c r="E1989" s="23"/>
      <c r="F1989" s="45"/>
      <c r="G1989" s="23"/>
      <c r="H1989" s="23"/>
      <c r="I1989" s="23"/>
      <c r="J1989" s="25"/>
      <c r="K1989" s="23"/>
      <c r="L1989" s="51"/>
      <c r="M1989" s="23"/>
      <c r="N1989" s="26"/>
      <c r="O1989" s="26"/>
      <c r="P1989" s="26"/>
      <c r="Q1989" s="26"/>
      <c r="R1989" s="26"/>
      <c r="S1989" s="26"/>
      <c r="T1989" s="26"/>
      <c r="U1989" s="26"/>
      <c r="V1989" s="26"/>
      <c r="W1989" s="27"/>
    </row>
    <row r="1990" spans="1:23" ht="15.75" customHeight="1" x14ac:dyDescent="0.25">
      <c r="A1990" s="23"/>
      <c r="B1990" s="23" t="str">
        <f t="shared" si="9"/>
        <v/>
      </c>
      <c r="C1990" s="23"/>
      <c r="D1990" s="44"/>
      <c r="E1990" s="23"/>
      <c r="F1990" s="45"/>
      <c r="G1990" s="23"/>
      <c r="H1990" s="23"/>
      <c r="I1990" s="23"/>
      <c r="J1990" s="25"/>
      <c r="K1990" s="23"/>
      <c r="L1990" s="51"/>
      <c r="M1990" s="23"/>
      <c r="N1990" s="26"/>
      <c r="O1990" s="26"/>
      <c r="P1990" s="26"/>
      <c r="Q1990" s="26"/>
      <c r="R1990" s="26"/>
      <c r="S1990" s="26"/>
      <c r="T1990" s="26"/>
      <c r="U1990" s="26"/>
      <c r="V1990" s="26"/>
      <c r="W1990" s="27"/>
    </row>
    <row r="1991" spans="1:23" ht="15.75" customHeight="1" x14ac:dyDescent="0.25">
      <c r="A1991" s="23"/>
      <c r="B1991" s="23" t="str">
        <f t="shared" si="9"/>
        <v/>
      </c>
      <c r="C1991" s="23"/>
      <c r="D1991" s="44"/>
      <c r="E1991" s="23"/>
      <c r="F1991" s="45"/>
      <c r="G1991" s="23"/>
      <c r="H1991" s="23"/>
      <c r="I1991" s="23"/>
      <c r="J1991" s="25"/>
      <c r="K1991" s="23"/>
      <c r="L1991" s="51"/>
      <c r="M1991" s="23"/>
      <c r="N1991" s="26"/>
      <c r="O1991" s="26"/>
      <c r="P1991" s="26"/>
      <c r="Q1991" s="26"/>
      <c r="R1991" s="26"/>
      <c r="S1991" s="26"/>
      <c r="T1991" s="26"/>
      <c r="U1991" s="26"/>
      <c r="V1991" s="26"/>
      <c r="W1991" s="27"/>
    </row>
    <row r="1992" spans="1:23" ht="15.75" customHeight="1" x14ac:dyDescent="0.25">
      <c r="A1992" s="23"/>
      <c r="B1992" s="23" t="str">
        <f t="shared" si="9"/>
        <v/>
      </c>
      <c r="C1992" s="23"/>
      <c r="D1992" s="44"/>
      <c r="E1992" s="23"/>
      <c r="F1992" s="45"/>
      <c r="G1992" s="23"/>
      <c r="H1992" s="23"/>
      <c r="I1992" s="23"/>
      <c r="J1992" s="25"/>
      <c r="K1992" s="23"/>
      <c r="L1992" s="51"/>
      <c r="M1992" s="23"/>
      <c r="N1992" s="26"/>
      <c r="O1992" s="26"/>
      <c r="P1992" s="26"/>
      <c r="Q1992" s="26"/>
      <c r="R1992" s="26"/>
      <c r="S1992" s="26"/>
      <c r="T1992" s="26"/>
      <c r="U1992" s="26"/>
      <c r="V1992" s="26"/>
      <c r="W1992" s="27"/>
    </row>
    <row r="1993" spans="1:23" ht="15.75" customHeight="1" x14ac:dyDescent="0.25">
      <c r="A1993" s="23"/>
      <c r="B1993" s="23" t="str">
        <f t="shared" si="9"/>
        <v/>
      </c>
      <c r="C1993" s="23"/>
      <c r="D1993" s="44"/>
      <c r="E1993" s="23"/>
      <c r="F1993" s="45"/>
      <c r="G1993" s="23"/>
      <c r="H1993" s="23"/>
      <c r="I1993" s="23"/>
      <c r="J1993" s="25"/>
      <c r="K1993" s="23"/>
      <c r="L1993" s="51"/>
      <c r="M1993" s="23"/>
      <c r="N1993" s="26"/>
      <c r="O1993" s="26"/>
      <c r="P1993" s="26"/>
      <c r="Q1993" s="26"/>
      <c r="R1993" s="26"/>
      <c r="S1993" s="26"/>
      <c r="T1993" s="26"/>
      <c r="U1993" s="26"/>
      <c r="V1993" s="26"/>
      <c r="W1993" s="27"/>
    </row>
    <row r="1994" spans="1:23" ht="15.75" customHeight="1" x14ac:dyDescent="0.25">
      <c r="A1994" s="23"/>
      <c r="B1994" s="23" t="str">
        <f t="shared" si="9"/>
        <v/>
      </c>
      <c r="C1994" s="23"/>
      <c r="D1994" s="44"/>
      <c r="E1994" s="23"/>
      <c r="F1994" s="45"/>
      <c r="G1994" s="23"/>
      <c r="H1994" s="23"/>
      <c r="I1994" s="23"/>
      <c r="J1994" s="25"/>
      <c r="K1994" s="23"/>
      <c r="L1994" s="51"/>
      <c r="M1994" s="23"/>
      <c r="N1994" s="26"/>
      <c r="O1994" s="26"/>
      <c r="P1994" s="26"/>
      <c r="Q1994" s="26"/>
      <c r="R1994" s="26"/>
      <c r="S1994" s="26"/>
      <c r="T1994" s="26"/>
      <c r="U1994" s="26"/>
      <c r="V1994" s="26"/>
      <c r="W1994" s="27"/>
    </row>
    <row r="1995" spans="1:23" ht="15.75" customHeight="1" x14ac:dyDescent="0.25">
      <c r="A1995" s="23"/>
      <c r="B1995" s="23" t="str">
        <f t="shared" si="9"/>
        <v/>
      </c>
      <c r="C1995" s="23"/>
      <c r="D1995" s="44"/>
      <c r="E1995" s="23"/>
      <c r="F1995" s="45"/>
      <c r="G1995" s="23"/>
      <c r="H1995" s="23"/>
      <c r="I1995" s="23"/>
      <c r="J1995" s="25"/>
      <c r="K1995" s="23"/>
      <c r="L1995" s="51"/>
      <c r="M1995" s="23"/>
      <c r="N1995" s="26"/>
      <c r="O1995" s="26"/>
      <c r="P1995" s="26"/>
      <c r="Q1995" s="26"/>
      <c r="R1995" s="26"/>
      <c r="S1995" s="26"/>
      <c r="T1995" s="26"/>
      <c r="U1995" s="26"/>
      <c r="V1995" s="26"/>
      <c r="W1995" s="27"/>
    </row>
    <row r="1996" spans="1:23" ht="15.75" customHeight="1" x14ac:dyDescent="0.25">
      <c r="A1996" s="23"/>
      <c r="B1996" s="23" t="str">
        <f t="shared" si="9"/>
        <v/>
      </c>
      <c r="C1996" s="23"/>
      <c r="D1996" s="44"/>
      <c r="E1996" s="23"/>
      <c r="F1996" s="45"/>
      <c r="G1996" s="23"/>
      <c r="H1996" s="23"/>
      <c r="I1996" s="23"/>
      <c r="J1996" s="25"/>
      <c r="K1996" s="23"/>
      <c r="L1996" s="51"/>
      <c r="M1996" s="23"/>
      <c r="N1996" s="26"/>
      <c r="O1996" s="26"/>
      <c r="P1996" s="26"/>
      <c r="Q1996" s="26"/>
      <c r="R1996" s="26"/>
      <c r="S1996" s="26"/>
      <c r="T1996" s="26"/>
      <c r="U1996" s="26"/>
      <c r="V1996" s="26"/>
      <c r="W1996" s="27"/>
    </row>
    <row r="1997" spans="1:23" ht="15.75" customHeight="1" x14ac:dyDescent="0.25">
      <c r="A1997" s="23"/>
      <c r="B1997" s="23" t="str">
        <f t="shared" si="9"/>
        <v/>
      </c>
      <c r="C1997" s="23"/>
      <c r="D1997" s="44"/>
      <c r="E1997" s="23"/>
      <c r="F1997" s="45"/>
      <c r="G1997" s="23"/>
      <c r="H1997" s="23"/>
      <c r="I1997" s="23"/>
      <c r="J1997" s="25"/>
      <c r="K1997" s="23"/>
      <c r="L1997" s="51"/>
      <c r="M1997" s="23"/>
      <c r="N1997" s="26"/>
      <c r="O1997" s="26"/>
      <c r="P1997" s="26"/>
      <c r="Q1997" s="26"/>
      <c r="R1997" s="26"/>
      <c r="S1997" s="26"/>
      <c r="T1997" s="26"/>
      <c r="U1997" s="26"/>
      <c r="V1997" s="26"/>
      <c r="W1997" s="27"/>
    </row>
    <row r="1998" spans="1:23" ht="15.75" customHeight="1" x14ac:dyDescent="0.25">
      <c r="A1998" s="23"/>
      <c r="B1998" s="23" t="str">
        <f t="shared" si="9"/>
        <v/>
      </c>
      <c r="C1998" s="23"/>
      <c r="D1998" s="44"/>
      <c r="E1998" s="23"/>
      <c r="F1998" s="45"/>
      <c r="G1998" s="23"/>
      <c r="H1998" s="23"/>
      <c r="I1998" s="23"/>
      <c r="J1998" s="25"/>
      <c r="K1998" s="23"/>
      <c r="L1998" s="51"/>
      <c r="M1998" s="23"/>
      <c r="N1998" s="26"/>
      <c r="O1998" s="26"/>
      <c r="P1998" s="26"/>
      <c r="Q1998" s="26"/>
      <c r="R1998" s="26"/>
      <c r="S1998" s="26"/>
      <c r="T1998" s="26"/>
      <c r="U1998" s="26"/>
      <c r="V1998" s="26"/>
      <c r="W1998" s="27"/>
    </row>
    <row r="1999" spans="1:23" ht="15.75" customHeight="1" x14ac:dyDescent="0.25">
      <c r="A1999" s="23"/>
      <c r="B1999" s="23" t="str">
        <f t="shared" si="9"/>
        <v/>
      </c>
      <c r="C1999" s="23"/>
      <c r="D1999" s="44"/>
      <c r="E1999" s="23"/>
      <c r="F1999" s="45"/>
      <c r="G1999" s="23"/>
      <c r="H1999" s="23"/>
      <c r="I1999" s="23"/>
      <c r="J1999" s="25"/>
      <c r="K1999" s="23"/>
      <c r="L1999" s="51"/>
      <c r="M1999" s="23"/>
      <c r="N1999" s="26"/>
      <c r="O1999" s="26"/>
      <c r="P1999" s="26"/>
      <c r="Q1999" s="26"/>
      <c r="R1999" s="26"/>
      <c r="S1999" s="26"/>
      <c r="T1999" s="26"/>
      <c r="U1999" s="26"/>
      <c r="V1999" s="26"/>
      <c r="W1999" s="27"/>
    </row>
    <row r="2000" spans="1:23" ht="15.75" customHeight="1" x14ac:dyDescent="0.25">
      <c r="A2000" s="23"/>
      <c r="B2000" s="23" t="str">
        <f t="shared" si="9"/>
        <v/>
      </c>
      <c r="C2000" s="23"/>
      <c r="D2000" s="44"/>
      <c r="E2000" s="23"/>
      <c r="F2000" s="45"/>
      <c r="G2000" s="23"/>
      <c r="H2000" s="23"/>
      <c r="I2000" s="23"/>
      <c r="J2000" s="25"/>
      <c r="K2000" s="23"/>
      <c r="L2000" s="51"/>
      <c r="M2000" s="23"/>
      <c r="N2000" s="26"/>
      <c r="O2000" s="26"/>
      <c r="P2000" s="26"/>
      <c r="Q2000" s="26"/>
      <c r="R2000" s="26"/>
      <c r="S2000" s="26"/>
      <c r="T2000" s="26"/>
      <c r="U2000" s="26"/>
      <c r="V2000" s="26"/>
      <c r="W2000" s="27"/>
    </row>
    <row r="2001" spans="1:23" ht="15.75" customHeight="1" x14ac:dyDescent="0.25">
      <c r="A2001" s="23"/>
      <c r="B2001" s="23" t="str">
        <f t="shared" si="9"/>
        <v/>
      </c>
      <c r="C2001" s="23"/>
      <c r="D2001" s="44"/>
      <c r="E2001" s="23"/>
      <c r="F2001" s="45"/>
      <c r="G2001" s="23"/>
      <c r="H2001" s="23"/>
      <c r="I2001" s="23"/>
      <c r="J2001" s="25"/>
      <c r="K2001" s="23"/>
      <c r="L2001" s="51"/>
      <c r="M2001" s="23"/>
      <c r="N2001" s="26"/>
      <c r="O2001" s="26"/>
      <c r="P2001" s="26"/>
      <c r="Q2001" s="26"/>
      <c r="R2001" s="26"/>
      <c r="S2001" s="26"/>
      <c r="T2001" s="26"/>
      <c r="U2001" s="26"/>
      <c r="V2001" s="26"/>
      <c r="W2001" s="27"/>
    </row>
    <row r="2002" spans="1:23" ht="15.75" customHeight="1" x14ac:dyDescent="0.25">
      <c r="A2002" s="23"/>
      <c r="B2002" s="23" t="str">
        <f t="shared" si="9"/>
        <v/>
      </c>
      <c r="C2002" s="23"/>
      <c r="D2002" s="44"/>
      <c r="E2002" s="23"/>
      <c r="F2002" s="45"/>
      <c r="G2002" s="23"/>
      <c r="H2002" s="23"/>
      <c r="I2002" s="23"/>
      <c r="J2002" s="25"/>
      <c r="K2002" s="23"/>
      <c r="L2002" s="51"/>
      <c r="M2002" s="23"/>
      <c r="N2002" s="26"/>
      <c r="O2002" s="26"/>
      <c r="P2002" s="26"/>
      <c r="Q2002" s="26"/>
      <c r="R2002" s="26"/>
      <c r="S2002" s="26"/>
      <c r="T2002" s="26"/>
      <c r="U2002" s="26"/>
      <c r="V2002" s="26"/>
      <c r="W2002" s="27"/>
    </row>
    <row r="2003" spans="1:23" ht="15.75" customHeight="1" x14ac:dyDescent="0.25">
      <c r="A2003" s="23"/>
      <c r="B2003" s="23" t="str">
        <f t="shared" si="9"/>
        <v/>
      </c>
      <c r="C2003" s="23"/>
      <c r="D2003" s="44"/>
      <c r="E2003" s="23"/>
      <c r="F2003" s="45"/>
      <c r="G2003" s="23"/>
      <c r="H2003" s="23"/>
      <c r="I2003" s="23"/>
      <c r="J2003" s="25"/>
      <c r="K2003" s="23"/>
      <c r="L2003" s="51"/>
      <c r="M2003" s="23"/>
      <c r="N2003" s="26"/>
      <c r="O2003" s="26"/>
      <c r="P2003" s="26"/>
      <c r="Q2003" s="26"/>
      <c r="R2003" s="26"/>
      <c r="S2003" s="26"/>
      <c r="T2003" s="26"/>
      <c r="U2003" s="26"/>
      <c r="V2003" s="26"/>
      <c r="W2003" s="27"/>
    </row>
    <row r="2004" spans="1:23" ht="15.75" customHeight="1" x14ac:dyDescent="0.25">
      <c r="A2004" s="23"/>
      <c r="B2004" s="23" t="str">
        <f t="shared" si="9"/>
        <v/>
      </c>
      <c r="C2004" s="23"/>
      <c r="D2004" s="44"/>
      <c r="E2004" s="23"/>
      <c r="F2004" s="45"/>
      <c r="G2004" s="23"/>
      <c r="H2004" s="23"/>
      <c r="I2004" s="23"/>
      <c r="J2004" s="25"/>
      <c r="K2004" s="23"/>
      <c r="L2004" s="51"/>
      <c r="M2004" s="23"/>
      <c r="N2004" s="26"/>
      <c r="O2004" s="26"/>
      <c r="P2004" s="26"/>
      <c r="Q2004" s="26"/>
      <c r="R2004" s="26"/>
      <c r="S2004" s="26"/>
      <c r="T2004" s="26"/>
      <c r="U2004" s="26"/>
      <c r="V2004" s="26"/>
      <c r="W2004" s="27"/>
    </row>
    <row r="2005" spans="1:23" ht="15.75" customHeight="1" x14ac:dyDescent="0.25">
      <c r="A2005" s="23"/>
      <c r="B2005" s="23" t="str">
        <f t="shared" si="9"/>
        <v/>
      </c>
      <c r="C2005" s="23"/>
      <c r="D2005" s="44"/>
      <c r="E2005" s="23"/>
      <c r="F2005" s="45"/>
      <c r="G2005" s="23"/>
      <c r="H2005" s="23"/>
      <c r="I2005" s="23"/>
      <c r="J2005" s="25"/>
      <c r="K2005" s="23"/>
      <c r="L2005" s="51"/>
      <c r="M2005" s="23"/>
      <c r="N2005" s="26"/>
      <c r="O2005" s="26"/>
      <c r="P2005" s="26"/>
      <c r="Q2005" s="26"/>
      <c r="R2005" s="26"/>
      <c r="S2005" s="26"/>
      <c r="T2005" s="26"/>
      <c r="U2005" s="26"/>
      <c r="V2005" s="26"/>
      <c r="W2005" s="27"/>
    </row>
  </sheetData>
  <mergeCells count="15">
    <mergeCell ref="I21:I22"/>
    <mergeCell ref="J21:J22"/>
    <mergeCell ref="K21:W21"/>
    <mergeCell ref="A14:B16"/>
    <mergeCell ref="C14:W16"/>
    <mergeCell ref="A17:B17"/>
    <mergeCell ref="C17:W17"/>
    <mergeCell ref="A21:A22"/>
    <mergeCell ref="B21:B22"/>
    <mergeCell ref="C21:C22"/>
    <mergeCell ref="D21:D22"/>
    <mergeCell ref="E21:E22"/>
    <mergeCell ref="F21:F22"/>
    <mergeCell ref="G21:G22"/>
    <mergeCell ref="H21:H22"/>
  </mergeCells>
  <pageMargins left="0.7" right="0.7" top="0.75" bottom="0.75" header="0" footer="0"/>
  <pageSetup paperSize="5" scale="35" fitToHeight="0" orientation="landscape" r:id="rId1"/>
  <rowBreaks count="1" manualBreakCount="1">
    <brk id="69" max="22" man="1"/>
  </rowBreaks>
  <ignoredErrors>
    <ignoredError sqref="H70:H95 F71:G89 I71 H35:H54 F35:F50 H55:H61 G62:I62 G55:G61 I55:I61 H63:H69 H24:H34 A9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1999"/>
  <sheetViews>
    <sheetView showGridLines="0" zoomScale="70" zoomScaleNormal="70" workbookViewId="0">
      <pane ySplit="21" topLeftCell="A642" activePane="bottomLeft" state="frozen"/>
      <selection pane="bottomLeft" activeCell="A13" sqref="A13:B15"/>
    </sheetView>
  </sheetViews>
  <sheetFormatPr baseColWidth="10" defaultColWidth="14.42578125" defaultRowHeight="15" customHeight="1" x14ac:dyDescent="0.25"/>
  <cols>
    <col min="1" max="1" width="28.42578125" customWidth="1"/>
    <col min="2" max="2" width="19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20.42578125" customWidth="1"/>
    <col min="10" max="10" width="47.140625" bestFit="1" customWidth="1"/>
    <col min="11" max="11" width="19" customWidth="1"/>
    <col min="12" max="12" width="19.28515625" customWidth="1"/>
    <col min="13" max="13" width="16.7109375" customWidth="1"/>
    <col min="14" max="14" width="19" customWidth="1"/>
    <col min="15" max="17" width="17" customWidth="1"/>
    <col min="18" max="18" width="20.5703125" customWidth="1"/>
    <col min="19" max="22" width="17" hidden="1" customWidth="1"/>
    <col min="23" max="23" width="19" customWidth="1"/>
    <col min="24" max="24" width="13.28515625" hidden="1" customWidth="1"/>
    <col min="25" max="26" width="10.7109375" customWidth="1"/>
  </cols>
  <sheetData>
    <row r="1" spans="1:26" x14ac:dyDescent="0.25">
      <c r="A1" s="1"/>
      <c r="B1" s="1"/>
      <c r="C1" s="1"/>
      <c r="D1" s="1"/>
      <c r="E1" s="1"/>
      <c r="F1" s="2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 x14ac:dyDescent="0.25">
      <c r="A2" s="1"/>
      <c r="B2" s="1"/>
      <c r="C2" s="1"/>
      <c r="D2" s="1"/>
      <c r="E2" s="1"/>
      <c r="F2" s="2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 x14ac:dyDescent="0.25">
      <c r="A3" s="1"/>
      <c r="B3" s="1"/>
      <c r="C3" s="1"/>
      <c r="D3" s="1"/>
      <c r="E3" s="1"/>
      <c r="F3" s="2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 x14ac:dyDescent="0.25">
      <c r="A4" s="1"/>
      <c r="B4" s="1"/>
      <c r="C4" s="1"/>
      <c r="D4" s="1"/>
      <c r="E4" s="1"/>
      <c r="F4" s="2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 x14ac:dyDescent="0.25">
      <c r="A5" s="1"/>
      <c r="B5" s="1"/>
      <c r="C5" s="1"/>
      <c r="D5" s="1"/>
      <c r="E5" s="1"/>
      <c r="F5" s="2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 ht="29.25" customHeight="1" x14ac:dyDescent="0.25">
      <c r="A6" s="1"/>
      <c r="B6" s="1"/>
      <c r="C6" s="1"/>
      <c r="D6" s="1"/>
      <c r="E6" s="1"/>
      <c r="F6" s="2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 x14ac:dyDescent="0.25">
      <c r="A7" s="6" t="s">
        <v>0</v>
      </c>
      <c r="B7" s="1"/>
      <c r="C7" s="1"/>
      <c r="D7" s="1"/>
      <c r="E7" s="1"/>
      <c r="F7" s="2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1"/>
      <c r="F8" s="2"/>
      <c r="G8" s="1"/>
      <c r="H8" s="3"/>
      <c r="I8" s="3"/>
      <c r="J8" s="4"/>
      <c r="K8" s="1"/>
      <c r="L8" s="1"/>
      <c r="M8" s="1"/>
      <c r="N8" s="7" t="s">
        <v>2</v>
      </c>
      <c r="O8" s="7" t="s">
        <v>3</v>
      </c>
      <c r="P8" s="7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1"/>
      <c r="F9" s="2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 x14ac:dyDescent="0.25">
      <c r="A10" s="8" t="s">
        <v>5</v>
      </c>
      <c r="B10" s="1"/>
      <c r="C10" s="5"/>
      <c r="D10" s="5"/>
      <c r="E10" s="1"/>
      <c r="F10" s="2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x14ac:dyDescent="0.25">
      <c r="A11" s="82" t="s">
        <v>42</v>
      </c>
      <c r="B11" s="1"/>
      <c r="C11" s="5"/>
      <c r="D11" s="5"/>
      <c r="E11" s="1"/>
      <c r="F11" s="2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2"/>
      <c r="G12" s="1"/>
      <c r="H12" s="3"/>
      <c r="I12" s="3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1"/>
      <c r="Y12" s="1"/>
      <c r="Z12" s="1"/>
    </row>
    <row r="13" spans="1:26" ht="12.75" customHeight="1" x14ac:dyDescent="0.25">
      <c r="A13" s="90" t="s">
        <v>6</v>
      </c>
      <c r="B13" s="91"/>
      <c r="C13" s="96" t="s">
        <v>7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1"/>
      <c r="X13" s="1"/>
      <c r="Y13" s="1"/>
      <c r="Z13" s="1"/>
    </row>
    <row r="14" spans="1:26" ht="12.75" customHeight="1" x14ac:dyDescent="0.25">
      <c r="A14" s="92"/>
      <c r="B14" s="93"/>
      <c r="C14" s="9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3"/>
      <c r="X14" s="1"/>
      <c r="Y14" s="1"/>
      <c r="Z14" s="1"/>
    </row>
    <row r="15" spans="1:26" ht="28.5" customHeight="1" x14ac:dyDescent="0.25">
      <c r="A15" s="94"/>
      <c r="B15" s="95"/>
      <c r="C15" s="94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5"/>
      <c r="X15" s="1"/>
      <c r="Y15" s="1"/>
      <c r="Z15" s="1"/>
    </row>
    <row r="16" spans="1:26" x14ac:dyDescent="0.25">
      <c r="A16" s="100" t="s">
        <v>8</v>
      </c>
      <c r="B16" s="89"/>
      <c r="C16" s="101" t="s">
        <v>9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9"/>
      <c r="X16" s="1"/>
      <c r="Y16" s="1"/>
      <c r="Z16" s="1"/>
    </row>
    <row r="17" spans="1:24" x14ac:dyDescent="0.25">
      <c r="F17" s="9"/>
      <c r="J17" s="10"/>
      <c r="W17" s="11"/>
    </row>
    <row r="18" spans="1:24" x14ac:dyDescent="0.25">
      <c r="F18" s="9"/>
      <c r="J18" s="10"/>
      <c r="W18" s="11"/>
    </row>
    <row r="19" spans="1:24" x14ac:dyDescent="0.25">
      <c r="F19" s="9"/>
      <c r="J19" s="10"/>
      <c r="W19" s="11"/>
    </row>
    <row r="20" spans="1:24" ht="45" customHeight="1" x14ac:dyDescent="0.25">
      <c r="A20" s="12" t="s">
        <v>10</v>
      </c>
      <c r="B20" s="12" t="s">
        <v>11</v>
      </c>
      <c r="C20" s="12" t="s">
        <v>12</v>
      </c>
      <c r="D20" s="12" t="s">
        <v>13</v>
      </c>
      <c r="E20" s="12" t="s">
        <v>14</v>
      </c>
      <c r="F20" s="13" t="s">
        <v>15</v>
      </c>
      <c r="G20" s="12" t="s">
        <v>16</v>
      </c>
      <c r="H20" s="12" t="s">
        <v>17</v>
      </c>
      <c r="I20" s="12" t="s">
        <v>18</v>
      </c>
      <c r="J20" s="14" t="s">
        <v>19</v>
      </c>
      <c r="K20" s="87" t="s">
        <v>20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9"/>
    </row>
    <row r="21" spans="1:24" ht="25.5" customHeight="1" x14ac:dyDescent="0.25">
      <c r="A21" s="12"/>
      <c r="B21" s="12"/>
      <c r="C21" s="12"/>
      <c r="D21" s="12"/>
      <c r="E21" s="12"/>
      <c r="F21" s="13"/>
      <c r="G21" s="12"/>
      <c r="H21" s="12"/>
      <c r="I21" s="12"/>
      <c r="J21" s="14"/>
      <c r="K21" s="12" t="s">
        <v>21</v>
      </c>
      <c r="L21" s="12" t="s">
        <v>22</v>
      </c>
      <c r="M21" s="12" t="s">
        <v>23</v>
      </c>
      <c r="N21" s="12" t="s">
        <v>24</v>
      </c>
      <c r="O21" s="12" t="s">
        <v>25</v>
      </c>
      <c r="P21" s="12" t="s">
        <v>26</v>
      </c>
      <c r="Q21" s="12" t="s">
        <v>27</v>
      </c>
      <c r="R21" s="12" t="s">
        <v>0</v>
      </c>
      <c r="S21" s="12" t="s">
        <v>28</v>
      </c>
      <c r="T21" s="12" t="s">
        <v>29</v>
      </c>
      <c r="U21" s="12" t="s">
        <v>30</v>
      </c>
      <c r="V21" s="12" t="s">
        <v>31</v>
      </c>
      <c r="W21" s="15" t="s">
        <v>32</v>
      </c>
    </row>
    <row r="22" spans="1:24" ht="15.75" customHeight="1" x14ac:dyDescent="0.25">
      <c r="A22" s="16" t="str">
        <f ca="1">IFERROR(__xludf.DUMMYFUNCTION("IMPORTRANGE(""https://docs.google.com/spreadsheets/d/1326rdUM6oOTA_5T6U_eA-Yqy4OMk6d_RGd_Z1bKVaC8/edit#gid=1459860096"",""'33.03.005 PMU'!g10:g1000"")")," REGIÓN DE TARAPACÁ ")</f>
        <v xml:space="preserve"> REGIÓN DE TARAPACÁ </v>
      </c>
      <c r="B22" s="16" t="str">
        <f t="shared" ref="B22:B276" ca="1" si="0">MID(X22,18,30)</f>
        <v xml:space="preserve"> POZO ALMONTE </v>
      </c>
      <c r="C22" s="16" t="str">
        <f ca="1">IFERROR(__xludf.DUMMYFUNCTION("IMPORTRANGE(""https://docs.google.com/spreadsheets/d/1326rdUM6oOTA_5T6U_eA-Yqy4OMk6d_RGd_Z1bKVaC8/edit#gid=1459860096"",""'33.03.005 PMU'!i10:i1000"")")," MEJORAMIENTO DE SOMBREADEROS EN PATIO MUNICIPAL, POZO ALMONTE ")</f>
        <v xml:space="preserve"> MEJORAMIENTO DE SOMBREADEROS EN PATIO MUNICIPAL, POZO ALMONTE </v>
      </c>
      <c r="D22" s="16" t="str">
        <f ca="1">IFERROR(__xludf.DUMMYFUNCTION("IMPORTRANGE(""https://docs.google.com/spreadsheets/d/1326rdUM6oOTA_5T6U_eA-Yqy4OMk6d_RGd_Z1bKVaC8/edit#gid=1459860096"",""'33.03.005 PMU'!h10:h1000"")")," 1-C-2021-324 ")</f>
        <v xml:space="preserve"> 1-C-2021-324 </v>
      </c>
      <c r="E22" s="16" t="str">
        <f ca="1">IFERROR(__xludf.DUMMYFUNCTION("IMPORTRANGE(""https://docs.google.com/spreadsheets/d/1326rdUM6oOTA_5T6U_eA-Yqy4OMk6d_RGd_Z1bKVaC8/edit#gid=1459860096"",""'33.03.005 PMU'!n10:n1000"")")," 100% Girado ")</f>
        <v xml:space="preserve"> 100% Girado </v>
      </c>
      <c r="F22" s="17">
        <f ca="1">IFERROR(__xludf.DUMMYFUNCTION("IMPORTRANGE(""https://docs.google.com/spreadsheets/d/1326rdUM6oOTA_5T6U_eA-Yqy4OMk6d_RGd_Z1bKVaC8/edit#gid=1459860096"",""'33.03.005 PMU'!m10:m1000"")"),44560)</f>
        <v>44560</v>
      </c>
      <c r="G22" s="16">
        <f ca="1">IFERROR(__xludf.DUMMYFUNCTION("IMPORTRANGE(""https://docs.google.com/spreadsheets/d/1326rdUM6oOTA_5T6U_eA-Yqy4OMk6d_RGd_Z1bKVaC8/edit#gid=1459860096"",""'33.03.005 PMU'!q10:q1000"")"),74818706)</f>
        <v>74818706</v>
      </c>
      <c r="H22" s="16" t="str">
        <f ca="1">IFERROR(__xludf.DUMMYFUNCTION("IMPORTRANGE(""https://docs.google.com/spreadsheets/d/1326rdUM6oOTA_5T6U_eA-Yqy4OMk6d_RGd_Z1bKVaC8/edit#gid=1459860096"",""'33.03.005 PMU'!n10:n1000"")")," 100% Girado ")</f>
        <v xml:space="preserve"> 100% Girado </v>
      </c>
      <c r="I22" s="16">
        <f ca="1">IFERROR(__xludf.DUMMYFUNCTION("IMPORTRANGE(""https://docs.google.com/spreadsheets/d/1326rdUM6oOTA_5T6U_eA-Yqy4OMk6d_RGd_Z1bKVaC8/edit#gid=1459860096"",""'33.03.005 PMU'!ae10:ae1000"")"),13429573)</f>
        <v>13429573</v>
      </c>
      <c r="J22" s="83" t="s">
        <v>48</v>
      </c>
      <c r="K22" s="16">
        <f ca="1">IFERROR(__xludf.DUMMYFUNCTION("IMPORTRANGE(""https://docs.google.com/spreadsheets/d/1326rdUM6oOTA_5T6U_eA-Yqy4OMk6d_RGd_Z1bKVaC8/edit#gid=1459860096"",""'33.03.005 PMU'!s10:s1000"")"),13429573)</f>
        <v>13429573</v>
      </c>
      <c r="L22" s="16" t="str">
        <f ca="1">IFERROR(__xludf.DUMMYFUNCTION("IMPORTRANGE(""https://docs.google.com/spreadsheets/d/1326rdUM6oOTA_5T6U_eA-Yqy4OMk6d_RGd_Z1bKVaC8/edit#gid=1459860096"",""'33.03.005 PMU'!t10:t1000"")"),"")</f>
        <v/>
      </c>
      <c r="M22" s="16" t="str">
        <f ca="1">IFERROR(__xludf.DUMMYFUNCTION("IMPORTRANGE(""https://docs.google.com/spreadsheets/d/1326rdUM6oOTA_5T6U_eA-Yqy4OMk6d_RGd_Z1bKVaC8/edit#gid=1459860096"",""'33.03.005 PMU'!u10:u1000"")"),"")</f>
        <v/>
      </c>
      <c r="N22" s="18">
        <f ca="1">IFERROR(__xludf.DUMMYFUNCTION("IMPORTRANGE(""https://docs.google.com/spreadsheets/d/1326rdUM6oOTA_5T6U_eA-Yqy4OMk6d_RGd_Z1bKVaC8/edit#gid=1459860096"",""'33.03.005 PMU'!v10:v1000"")"),0)</f>
        <v>0</v>
      </c>
      <c r="O22" s="19" t="str">
        <f ca="1">IFERROR(__xludf.DUMMYFUNCTION("IMPORTRANGE(""https://docs.google.com/spreadsheets/d/1326rdUM6oOTA_5T6U_eA-Yqy4OMk6d_RGd_Z1bKVaC8/edit#gid=1459860096"",""'33.03.005 PMU'!w10:w1000"")"),"")</f>
        <v/>
      </c>
      <c r="P22" s="19" t="str">
        <f ca="1">IFERROR(__xludf.DUMMYFUNCTION("IMPORTRANGE(""https://docs.google.com/spreadsheets/d/1326rdUM6oOTA_5T6U_eA-Yqy4OMk6d_RGd_Z1bKVaC8/edit#gid=1459860096"",""'33.03.005 PMU'!x10:x1000"")"),"")</f>
        <v/>
      </c>
      <c r="Q22" s="19" t="str">
        <f ca="1">IFERROR(__xludf.DUMMYFUNCTION("IMPORTRANGE(""https://docs.google.com/spreadsheets/d/1326rdUM6oOTA_5T6U_eA-Yqy4OMk6d_RGd_Z1bKVaC8/edit#gid=1459860096"",""'33.03.005 PMU'!y10:y1000"")"),"")</f>
        <v/>
      </c>
      <c r="R22" s="19" t="str">
        <f ca="1">IFERROR(__xludf.DUMMYFUNCTION("IMPORTRANGE(""https://docs.google.com/spreadsheets/d/1326rdUM6oOTA_5T6U_eA-Yqy4OMk6d_RGd_Z1bKVaC8/edit#gid=1459860096"",""'33.03.005 PMU'!z10:z1000"")"),"")</f>
        <v/>
      </c>
      <c r="S22" s="19" t="str">
        <f ca="1">IFERROR(__xludf.DUMMYFUNCTION("IMPORTRANGE(""https://docs.google.com/spreadsheets/d/1326rdUM6oOTA_5T6U_eA-Yqy4OMk6d_RGd_Z1bKVaC8/edit#gid=1459860096"",""'33.03.005 PMU'!aa10:aa1000"")"),"")</f>
        <v/>
      </c>
      <c r="T22" s="19" t="str">
        <f ca="1">IFERROR(__xludf.DUMMYFUNCTION("IMPORTRANGE(""https://docs.google.com/spreadsheets/d/1326rdUM6oOTA_5T6U_eA-Yqy4OMk6d_RGd_Z1bKVaC8/edit#gid=1459860096"",""'33.03.005 PMU'!ab10:ab1000"")"),"")</f>
        <v/>
      </c>
      <c r="U22" s="19" t="str">
        <f ca="1">IFERROR(__xludf.DUMMYFUNCTION("IMPORTRANGE(""https://docs.google.com/spreadsheets/d/1326rdUM6oOTA_5T6U_eA-Yqy4OMk6d_RGd_Z1bKVaC8/edit#gid=1459860096"",""'33.03.005 PMU'!ac10:ac1000"")"),"")</f>
        <v/>
      </c>
      <c r="V22" s="19" t="str">
        <f ca="1">IFERROR(__xludf.DUMMYFUNCTION("IMPORTRANGE(""https://docs.google.com/spreadsheets/d/1326rdUM6oOTA_5T6U_eA-Yqy4OMk6d_RGd_Z1bKVaC8/edit#gid=1459860096"",""'33.03.005 PMU'!ad10:ad1000"")"),"")</f>
        <v/>
      </c>
      <c r="W22" s="20">
        <f ca="1">IFERROR(__xludf.DUMMYFUNCTION("IMPORTRANGE(""https://docs.google.com/spreadsheets/d/1326rdUM6oOTA_5T6U_eA-Yqy4OMk6d_RGd_Z1bKVaC8/edit#gid=1459860096"",""'33.03.005 PMU'!ae10:ae1000"")"),13429573)</f>
        <v>13429573</v>
      </c>
      <c r="X22" s="20" t="str">
        <f ca="1">IFERROR(__xludf.DUMMYFUNCTION("IMPORTRANGE(""https://docs.google.com/spreadsheets/d/1326rdUM6oOTA_5T6U_eA-Yqy4OMk6d_RGd_Z1bKVaC8/edit#gid=1459860096"",""'33.03.005 PMU'!f10:f1000"")")," MUNICIPALIDAD DE POZO ALMONTE ")</f>
        <v xml:space="preserve"> MUNICIPALIDAD DE POZO ALMONTE </v>
      </c>
    </row>
    <row r="23" spans="1:24" ht="15.75" customHeight="1" x14ac:dyDescent="0.25">
      <c r="A23" s="16" t="str">
        <f ca="1">IFERROR(__xludf.DUMMYFUNCTION("""COMPUTED_VALUE""")," REGIÓN DE ANTOFAGASTA ")</f>
        <v xml:space="preserve"> REGIÓN DE ANTOFAGASTA </v>
      </c>
      <c r="B23" s="16" t="str">
        <f t="shared" ca="1" si="0"/>
        <v xml:space="preserve"> MEJILLONES </v>
      </c>
      <c r="C23" s="16" t="str">
        <f ca="1">IFERROR(__xludf.DUMMYFUNCTION("""COMPUTED_VALUE""")," CONSTRUCCIÓN DE SOMBREADERO BANDEJÓN ANDALICÁN ")</f>
        <v xml:space="preserve"> CONSTRUCCIÓN DE SOMBREADERO BANDEJÓN ANDALICÁN </v>
      </c>
      <c r="D23" s="16" t="str">
        <f ca="1">IFERROR(__xludf.DUMMYFUNCTION("""COMPUTED_VALUE""")," 1-C-2021-1538 [FET] ")</f>
        <v xml:space="preserve"> 1-C-2021-1538 [FET] </v>
      </c>
      <c r="E23" s="16" t="str">
        <f ca="1">IFERROR(__xludf.DUMMYFUNCTION("""COMPUTED_VALUE""")," 100% Girado ")</f>
        <v xml:space="preserve"> 100% Girado </v>
      </c>
      <c r="F23" s="17">
        <f ca="1">IFERROR(__xludf.DUMMYFUNCTION("""COMPUTED_VALUE"""),44811)</f>
        <v>44811</v>
      </c>
      <c r="G23" s="16">
        <f ca="1">IFERROR(__xludf.DUMMYFUNCTION("""COMPUTED_VALUE"""),82104755)</f>
        <v>82104755</v>
      </c>
      <c r="H23" s="16" t="str">
        <f ca="1">IFERROR(__xludf.DUMMYFUNCTION("""COMPUTED_VALUE""")," 100% Girado ")</f>
        <v xml:space="preserve"> 100% Girado </v>
      </c>
      <c r="I23" s="16">
        <f ca="1">IFERROR(__xludf.DUMMYFUNCTION("""COMPUTED_VALUE"""),8530586)</f>
        <v>8530586</v>
      </c>
      <c r="J23" s="83" t="s">
        <v>48</v>
      </c>
      <c r="K23" s="16">
        <f ca="1">IFERROR(__xludf.DUMMYFUNCTION("""COMPUTED_VALUE"""),8530586)</f>
        <v>8530586</v>
      </c>
      <c r="L23" s="16"/>
      <c r="M23" s="16"/>
      <c r="N23" s="21">
        <f ca="1">IFERROR(__xludf.DUMMYFUNCTION("""COMPUTED_VALUE"""),0)</f>
        <v>0</v>
      </c>
      <c r="O23" s="19"/>
      <c r="P23" s="19"/>
      <c r="Q23" s="19"/>
      <c r="R23" s="19"/>
      <c r="S23" s="19"/>
      <c r="T23" s="19"/>
      <c r="U23" s="19"/>
      <c r="V23" s="19"/>
      <c r="W23" s="20">
        <f ca="1">IFERROR(__xludf.DUMMYFUNCTION("""COMPUTED_VALUE"""),8530586)</f>
        <v>8530586</v>
      </c>
      <c r="X23" s="20" t="str">
        <f ca="1">IFERROR(__xludf.DUMMYFUNCTION("""COMPUTED_VALUE""")," MUNICIPALIDAD DE MEJILLONES ")</f>
        <v xml:space="preserve"> MUNICIPALIDAD DE MEJILLONES </v>
      </c>
    </row>
    <row r="24" spans="1:24" ht="15.75" customHeight="1" x14ac:dyDescent="0.25">
      <c r="A24" s="16" t="str">
        <f ca="1">IFERROR(__xludf.DUMMYFUNCTION("""COMPUTED_VALUE""")," REGIÓN DE VALPARAÍSO ")</f>
        <v xml:space="preserve"> REGIÓN DE VALPARAÍSO </v>
      </c>
      <c r="B24" s="16" t="str">
        <f t="shared" ca="1" si="0"/>
        <v xml:space="preserve"> QUILPUÉ </v>
      </c>
      <c r="C24" s="16" t="str">
        <f ca="1">IFERROR(__xludf.DUMMYFUNCTION("""COMPUTED_VALUE""")," CSV MEJORAMIENTO PLAZA JOSE URIBE, BELLOTO NORTE. QUILPUÉ ")</f>
        <v xml:space="preserve"> CSV MEJORAMIENTO PLAZA JOSE URIBE, BELLOTO NORTE. QUILPUÉ </v>
      </c>
      <c r="D24" s="16" t="str">
        <f ca="1">IFERROR(__xludf.DUMMYFUNCTION("""COMPUTED_VALUE""")," 1-C-2023-2461 ")</f>
        <v xml:space="preserve"> 1-C-2023-2461 </v>
      </c>
      <c r="E24" s="16" t="str">
        <f ca="1">IFERROR(__xludf.DUMMYFUNCTION("""COMPUTED_VALUE""")," 100% Girado ")</f>
        <v xml:space="preserve"> 100% Girado </v>
      </c>
      <c r="F24" s="17">
        <f ca="1">IFERROR(__xludf.DUMMYFUNCTION("""COMPUTED_VALUE"""),45315)</f>
        <v>45315</v>
      </c>
      <c r="G24" s="16">
        <f ca="1">IFERROR(__xludf.DUMMYFUNCTION("""COMPUTED_VALUE"""),30436210)</f>
        <v>30436210</v>
      </c>
      <c r="H24" s="16" t="str">
        <f ca="1">IFERROR(__xludf.DUMMYFUNCTION("""COMPUTED_VALUE""")," 100% Girado ")</f>
        <v xml:space="preserve"> 100% Girado </v>
      </c>
      <c r="I24" s="16">
        <f ca="1">IFERROR(__xludf.DUMMYFUNCTION("""COMPUTED_VALUE"""),30436210)</f>
        <v>30436210</v>
      </c>
      <c r="J24" s="83" t="s">
        <v>48</v>
      </c>
      <c r="K24" s="16">
        <f ca="1">IFERROR(__xludf.DUMMYFUNCTION("""COMPUTED_VALUE"""),30436210)</f>
        <v>30436210</v>
      </c>
      <c r="L24" s="16"/>
      <c r="M24" s="16"/>
      <c r="N24" s="21">
        <f ca="1">IFERROR(__xludf.DUMMYFUNCTION("""COMPUTED_VALUE"""),0)</f>
        <v>0</v>
      </c>
      <c r="O24" s="19"/>
      <c r="P24" s="19"/>
      <c r="Q24" s="19"/>
      <c r="R24" s="19"/>
      <c r="S24" s="19"/>
      <c r="T24" s="19"/>
      <c r="U24" s="19"/>
      <c r="V24" s="19"/>
      <c r="W24" s="20">
        <f ca="1">IFERROR(__xludf.DUMMYFUNCTION("""COMPUTED_VALUE"""),30436210)</f>
        <v>30436210</v>
      </c>
      <c r="X24" s="20" t="str">
        <f ca="1">IFERROR(__xludf.DUMMYFUNCTION("""COMPUTED_VALUE""")," MUNICIPALIDAD DE QUILPUÉ ")</f>
        <v xml:space="preserve"> MUNICIPALIDAD DE QUILPUÉ </v>
      </c>
    </row>
    <row r="25" spans="1:24" ht="15.75" customHeight="1" x14ac:dyDescent="0.25">
      <c r="A25" s="16" t="str">
        <f ca="1">IFERROR(__xludf.DUMMYFUNCTION("""COMPUTED_VALUE""")," REGIÓN DE VALPARAÍSO ")</f>
        <v xml:space="preserve"> REGIÓN DE VALPARAÍSO </v>
      </c>
      <c r="B25" s="16" t="str">
        <f t="shared" ca="1" si="0"/>
        <v xml:space="preserve"> QUILPUÉ </v>
      </c>
      <c r="C25" s="16" t="str">
        <f ca="1">IFERROR(__xludf.DUMMYFUNCTION("""COMPUTED_VALUE""")," CSV CONSTRUCCIÓN PLATABANDA SOL DE MANQUEHUE, CALLE SAN ENRIQUE. EL SOL ")</f>
        <v xml:space="preserve"> CSV CONSTRUCCIÓN PLATABANDA SOL DE MANQUEHUE, CALLE SAN ENRIQUE. EL SOL </v>
      </c>
      <c r="D25" s="16" t="str">
        <f ca="1">IFERROR(__xludf.DUMMYFUNCTION("""COMPUTED_VALUE""")," 1-C-2023-2497 ")</f>
        <v xml:space="preserve"> 1-C-2023-2497 </v>
      </c>
      <c r="E25" s="16" t="str">
        <f ca="1">IFERROR(__xludf.DUMMYFUNCTION("""COMPUTED_VALUE""")," 100% Girado ")</f>
        <v xml:space="preserve"> 100% Girado </v>
      </c>
      <c r="F25" s="17">
        <f ca="1">IFERROR(__xludf.DUMMYFUNCTION("""COMPUTED_VALUE"""),45315)</f>
        <v>45315</v>
      </c>
      <c r="G25" s="16">
        <f ca="1">IFERROR(__xludf.DUMMYFUNCTION("""COMPUTED_VALUE"""),154000000)</f>
        <v>154000000</v>
      </c>
      <c r="H25" s="16" t="str">
        <f ca="1">IFERROR(__xludf.DUMMYFUNCTION("""COMPUTED_VALUE""")," 100% Girado ")</f>
        <v xml:space="preserve"> 100% Girado </v>
      </c>
      <c r="I25" s="16">
        <f ca="1">IFERROR(__xludf.DUMMYFUNCTION("""COMPUTED_VALUE"""),154421144)</f>
        <v>154421144</v>
      </c>
      <c r="J25" s="83" t="s">
        <v>48</v>
      </c>
      <c r="K25" s="16">
        <f ca="1">IFERROR(__xludf.DUMMYFUNCTION("""COMPUTED_VALUE"""),154421144)</f>
        <v>154421144</v>
      </c>
      <c r="L25" s="16"/>
      <c r="M25" s="16"/>
      <c r="N25" s="21">
        <f ca="1">IFERROR(__xludf.DUMMYFUNCTION("""COMPUTED_VALUE"""),0)</f>
        <v>0</v>
      </c>
      <c r="O25" s="19"/>
      <c r="P25" s="19"/>
      <c r="Q25" s="19"/>
      <c r="R25" s="19"/>
      <c r="S25" s="19"/>
      <c r="T25" s="19"/>
      <c r="U25" s="19"/>
      <c r="V25" s="19"/>
      <c r="W25" s="20">
        <f ca="1">IFERROR(__xludf.DUMMYFUNCTION("""COMPUTED_VALUE"""),154421144)</f>
        <v>154421144</v>
      </c>
      <c r="X25" s="20" t="str">
        <f ca="1">IFERROR(__xludf.DUMMYFUNCTION("""COMPUTED_VALUE""")," MUNICIPALIDAD DE QUILPUÉ ")</f>
        <v xml:space="preserve"> MUNICIPALIDAD DE QUILPUÉ </v>
      </c>
    </row>
    <row r="26" spans="1:24" ht="15.75" customHeight="1" x14ac:dyDescent="0.25">
      <c r="A26" s="16" t="str">
        <f ca="1">IFERROR(__xludf.DUMMYFUNCTION("""COMPUTED_VALUE""")," REGIÓN DE VALPARAÍSO ")</f>
        <v xml:space="preserve"> REGIÓN DE VALPARAÍSO </v>
      </c>
      <c r="B26" s="16" t="str">
        <f t="shared" ca="1" si="0"/>
        <v xml:space="preserve"> QUILPUÉ </v>
      </c>
      <c r="C26" s="16" t="str">
        <f ca="1">IFERROR(__xludf.DUMMYFUNCTION("""COMPUTED_VALUE""")," CSV MEJORAMIENTO SENDA PEATONAL CALLE ENRIQUE SORO, ENTRE LINCOYÁN Y OSMÁN PÉREZ FREIRE. BELLOTO NORTE ")</f>
        <v xml:space="preserve"> CSV MEJORAMIENTO SENDA PEATONAL CALLE ENRIQUE SORO, ENTRE LINCOYÁN Y OSMÁN PÉREZ FREIRE. BELLOTO NORTE </v>
      </c>
      <c r="D26" s="16" t="str">
        <f ca="1">IFERROR(__xludf.DUMMYFUNCTION("""COMPUTED_VALUE""")," 1-C-2023-2498 ")</f>
        <v xml:space="preserve"> 1-C-2023-2498 </v>
      </c>
      <c r="E26" s="16" t="str">
        <f ca="1">IFERROR(__xludf.DUMMYFUNCTION("""COMPUTED_VALUE""")," 100% Girado ")</f>
        <v xml:space="preserve"> 100% Girado </v>
      </c>
      <c r="F26" s="17">
        <f ca="1">IFERROR(__xludf.DUMMYFUNCTION("""COMPUTED_VALUE"""),45315)</f>
        <v>45315</v>
      </c>
      <c r="G26" s="16">
        <f ca="1">IFERROR(__xludf.DUMMYFUNCTION("""COMPUTED_VALUE"""),142000000)</f>
        <v>142000000</v>
      </c>
      <c r="H26" s="16" t="str">
        <f ca="1">IFERROR(__xludf.DUMMYFUNCTION("""COMPUTED_VALUE""")," 100% Girado ")</f>
        <v xml:space="preserve"> 100% Girado </v>
      </c>
      <c r="I26" s="16">
        <f ca="1">IFERROR(__xludf.DUMMYFUNCTION("""COMPUTED_VALUE"""),141991204)</f>
        <v>141991204</v>
      </c>
      <c r="J26" s="83" t="s">
        <v>48</v>
      </c>
      <c r="K26" s="16">
        <f ca="1">IFERROR(__xludf.DUMMYFUNCTION("""COMPUTED_VALUE"""),141991204)</f>
        <v>141991204</v>
      </c>
      <c r="L26" s="16"/>
      <c r="M26" s="16"/>
      <c r="N26" s="21">
        <f ca="1">IFERROR(__xludf.DUMMYFUNCTION("""COMPUTED_VALUE"""),0)</f>
        <v>0</v>
      </c>
      <c r="O26" s="19"/>
      <c r="P26" s="19"/>
      <c r="Q26" s="19"/>
      <c r="R26" s="19"/>
      <c r="S26" s="19"/>
      <c r="T26" s="19"/>
      <c r="U26" s="19"/>
      <c r="V26" s="19"/>
      <c r="W26" s="20">
        <f ca="1">IFERROR(__xludf.DUMMYFUNCTION("""COMPUTED_VALUE"""),141991204)</f>
        <v>141991204</v>
      </c>
      <c r="X26" s="20" t="str">
        <f ca="1">IFERROR(__xludf.DUMMYFUNCTION("""COMPUTED_VALUE""")," MUNICIPALIDAD DE QUILPUÉ ")</f>
        <v xml:space="preserve"> MUNICIPALIDAD DE QUILPUÉ </v>
      </c>
    </row>
    <row r="27" spans="1:24" ht="15.75" customHeight="1" x14ac:dyDescent="0.25">
      <c r="A27" s="16" t="str">
        <f ca="1">IFERROR(__xludf.DUMMYFUNCTION("""COMPUTED_VALUE""")," REGIÓN DE VALPARAÍSO ")</f>
        <v xml:space="preserve"> REGIÓN DE VALPARAÍSO </v>
      </c>
      <c r="B27" s="16" t="str">
        <f t="shared" ca="1" si="0"/>
        <v xml:space="preserve"> QUILPUÉ </v>
      </c>
      <c r="C27" s="16" t="str">
        <f ca="1">IFERROR(__xludf.DUMMYFUNCTION("""COMPUTED_VALUE""")," CSV MEJORAMIENTO LUMINICO Y SENDA PEATONAL FERIA EL BELLOTO. BELLOTO 2000 ")</f>
        <v xml:space="preserve"> CSV MEJORAMIENTO LUMINICO Y SENDA PEATONAL FERIA EL BELLOTO. BELLOTO 2000 </v>
      </c>
      <c r="D27" s="16" t="str">
        <f ca="1">IFERROR(__xludf.DUMMYFUNCTION("""COMPUTED_VALUE""")," 1-C-2023-2510 ")</f>
        <v xml:space="preserve"> 1-C-2023-2510 </v>
      </c>
      <c r="E27" s="16" t="str">
        <f ca="1">IFERROR(__xludf.DUMMYFUNCTION("""COMPUTED_VALUE""")," 100% Girado ")</f>
        <v xml:space="preserve"> 100% Girado </v>
      </c>
      <c r="F27" s="17">
        <f ca="1">IFERROR(__xludf.DUMMYFUNCTION("""COMPUTED_VALUE"""),45315)</f>
        <v>45315</v>
      </c>
      <c r="G27" s="16">
        <f ca="1">IFERROR(__xludf.DUMMYFUNCTION("""COMPUTED_VALUE"""),144000000)</f>
        <v>144000000</v>
      </c>
      <c r="H27" s="16" t="str">
        <f ca="1">IFERROR(__xludf.DUMMYFUNCTION("""COMPUTED_VALUE""")," 100% Girado ")</f>
        <v xml:space="preserve"> 100% Girado </v>
      </c>
      <c r="I27" s="16">
        <f ca="1">IFERROR(__xludf.DUMMYFUNCTION("""COMPUTED_VALUE"""),144464899)</f>
        <v>144464899</v>
      </c>
      <c r="J27" s="83" t="s">
        <v>48</v>
      </c>
      <c r="K27" s="16">
        <f ca="1">IFERROR(__xludf.DUMMYFUNCTION("""COMPUTED_VALUE"""),144464899)</f>
        <v>144464899</v>
      </c>
      <c r="L27" s="16"/>
      <c r="M27" s="16"/>
      <c r="N27" s="21">
        <f ca="1">IFERROR(__xludf.DUMMYFUNCTION("""COMPUTED_VALUE"""),0)</f>
        <v>0</v>
      </c>
      <c r="O27" s="19"/>
      <c r="P27" s="19"/>
      <c r="Q27" s="19"/>
      <c r="R27" s="19"/>
      <c r="S27" s="19"/>
      <c r="T27" s="19"/>
      <c r="U27" s="19"/>
      <c r="V27" s="19"/>
      <c r="W27" s="20">
        <f ca="1">IFERROR(__xludf.DUMMYFUNCTION("""COMPUTED_VALUE"""),144464899)</f>
        <v>144464899</v>
      </c>
      <c r="X27" s="20" t="str">
        <f ca="1">IFERROR(__xludf.DUMMYFUNCTION("""COMPUTED_VALUE""")," MUNICIPALIDAD DE QUILPUÉ ")</f>
        <v xml:space="preserve"> MUNICIPALIDAD DE QUILPUÉ </v>
      </c>
    </row>
    <row r="28" spans="1:24" ht="18" customHeight="1" x14ac:dyDescent="0.25">
      <c r="A28" s="16" t="str">
        <f ca="1">IFERROR(__xludf.DUMMYFUNCTION("""COMPUTED_VALUE""")," REGIÓN DE VALPARAÍSO ")</f>
        <v xml:space="preserve"> REGIÓN DE VALPARAÍSO </v>
      </c>
      <c r="B28" s="16" t="str">
        <f t="shared" ca="1" si="0"/>
        <v xml:space="preserve"> VALPARAÍSO </v>
      </c>
      <c r="C28" s="16" t="str">
        <f ca="1">IFERROR(__xludf.DUMMYFUNCTION("""COMPUTED_VALUE""")," CSV MEJORAMIENTO INTEGRAL PLAZA MICHELLE BACHELET, RODELILLO VALPARAISO ")</f>
        <v xml:space="preserve"> CSV MEJORAMIENTO INTEGRAL PLAZA MICHELLE BACHELET, RODELILLO VALPARAISO </v>
      </c>
      <c r="D28" s="16" t="str">
        <f ca="1">IFERROR(__xludf.DUMMYFUNCTION("""COMPUTED_VALUE""")," 1-C-2023-2607 ")</f>
        <v xml:space="preserve"> 1-C-2023-2607 </v>
      </c>
      <c r="E28" s="16" t="str">
        <f ca="1">IFERROR(__xludf.DUMMYFUNCTION("""COMPUTED_VALUE""")," 100% Girado ")</f>
        <v xml:space="preserve"> 100% Girado </v>
      </c>
      <c r="F28" s="17">
        <f ca="1">IFERROR(__xludf.DUMMYFUNCTION("""COMPUTED_VALUE"""),45316)</f>
        <v>45316</v>
      </c>
      <c r="G28" s="16">
        <f ca="1">IFERROR(__xludf.DUMMYFUNCTION("""COMPUTED_VALUE"""),141000000)</f>
        <v>141000000</v>
      </c>
      <c r="H28" s="16" t="str">
        <f ca="1">IFERROR(__xludf.DUMMYFUNCTION("""COMPUTED_VALUE""")," 100% Girado ")</f>
        <v xml:space="preserve"> 100% Girado </v>
      </c>
      <c r="I28" s="16">
        <f ca="1">IFERROR(__xludf.DUMMYFUNCTION("""COMPUTED_VALUE"""),141056499)</f>
        <v>141056499</v>
      </c>
      <c r="J28" s="83" t="s">
        <v>48</v>
      </c>
      <c r="K28" s="16">
        <f ca="1">IFERROR(__xludf.DUMMYFUNCTION("""COMPUTED_VALUE"""),141056499)</f>
        <v>141056499</v>
      </c>
      <c r="L28" s="16"/>
      <c r="M28" s="16"/>
      <c r="N28" s="21">
        <f ca="1">IFERROR(__xludf.DUMMYFUNCTION("""COMPUTED_VALUE"""),0)</f>
        <v>0</v>
      </c>
      <c r="O28" s="19"/>
      <c r="P28" s="19"/>
      <c r="Q28" s="19"/>
      <c r="R28" s="19"/>
      <c r="S28" s="19"/>
      <c r="T28" s="19"/>
      <c r="U28" s="19"/>
      <c r="V28" s="19"/>
      <c r="W28" s="20">
        <f ca="1">IFERROR(__xludf.DUMMYFUNCTION("""COMPUTED_VALUE"""),141056499)</f>
        <v>141056499</v>
      </c>
      <c r="X28" s="20" t="str">
        <f ca="1">IFERROR(__xludf.DUMMYFUNCTION("""COMPUTED_VALUE""")," MUNICIPALIDAD DE VALPARAÍSO ")</f>
        <v xml:space="preserve"> MUNICIPALIDAD DE VALPARAÍSO </v>
      </c>
    </row>
    <row r="29" spans="1:24" ht="15.75" customHeight="1" x14ac:dyDescent="0.25">
      <c r="A29" s="16" t="str">
        <f ca="1">IFERROR(__xludf.DUMMYFUNCTION("""COMPUTED_VALUE""")," REGIÓN DE VALPARAÍSO ")</f>
        <v xml:space="preserve"> REGIÓN DE VALPARAÍSO </v>
      </c>
      <c r="B29" s="16" t="str">
        <f t="shared" ca="1" si="0"/>
        <v xml:space="preserve"> CARTAGENA </v>
      </c>
      <c r="C29" s="16" t="str">
        <f ca="1">IFERROR(__xludf.DUMMYFUNCTION("""COMPUTED_VALUE""")," CSV INSTALACION Y REPOSICION DE SISTEMAS DE ALUMBRADO PUBLICO EN DIVERSOS SECTORES DE LA COMUNA DE CARTAGENA ")</f>
        <v xml:space="preserve"> CSV INSTALACION Y REPOSICION DE SISTEMAS DE ALUMBRADO PUBLICO EN DIVERSOS SECTORES DE LA COMUNA DE CARTAGENA </v>
      </c>
      <c r="D29" s="16" t="str">
        <f ca="1">IFERROR(__xludf.DUMMYFUNCTION("""COMPUTED_VALUE""")," 1-C-2023-2618 ")</f>
        <v xml:space="preserve"> 1-C-2023-2618 </v>
      </c>
      <c r="E29" s="16" t="str">
        <f ca="1">IFERROR(__xludf.DUMMYFUNCTION("""COMPUTED_VALUE""")," 100% Girado ")</f>
        <v xml:space="preserve"> 100% Girado </v>
      </c>
      <c r="F29" s="17">
        <f ca="1">IFERROR(__xludf.DUMMYFUNCTION("""COMPUTED_VALUE"""),45320)</f>
        <v>45320</v>
      </c>
      <c r="G29" s="16">
        <f ca="1">IFERROR(__xludf.DUMMYFUNCTION("""COMPUTED_VALUE"""),154000000)</f>
        <v>154000000</v>
      </c>
      <c r="H29" s="16" t="str">
        <f ca="1">IFERROR(__xludf.DUMMYFUNCTION("""COMPUTED_VALUE""")," 100% Girado ")</f>
        <v xml:space="preserve"> 100% Girado </v>
      </c>
      <c r="I29" s="16">
        <f ca="1">IFERROR(__xludf.DUMMYFUNCTION("""COMPUTED_VALUE"""),154000000)</f>
        <v>154000000</v>
      </c>
      <c r="J29" s="83" t="s">
        <v>48</v>
      </c>
      <c r="K29" s="16">
        <f ca="1">IFERROR(__xludf.DUMMYFUNCTION("""COMPUTED_VALUE"""),154000000)</f>
        <v>154000000</v>
      </c>
      <c r="L29" s="16"/>
      <c r="M29" s="16"/>
      <c r="N29" s="21">
        <f ca="1">IFERROR(__xludf.DUMMYFUNCTION("""COMPUTED_VALUE"""),0)</f>
        <v>0</v>
      </c>
      <c r="O29" s="19"/>
      <c r="P29" s="19"/>
      <c r="Q29" s="19"/>
      <c r="R29" s="19"/>
      <c r="S29" s="19"/>
      <c r="T29" s="19"/>
      <c r="U29" s="19"/>
      <c r="V29" s="19"/>
      <c r="W29" s="20">
        <f ca="1">IFERROR(__xludf.DUMMYFUNCTION("""COMPUTED_VALUE"""),154000000)</f>
        <v>154000000</v>
      </c>
      <c r="X29" s="20" t="str">
        <f ca="1">IFERROR(__xludf.DUMMYFUNCTION("""COMPUTED_VALUE""")," MUNICIPALIDAD DE CARTAGENA ")</f>
        <v xml:space="preserve"> MUNICIPALIDAD DE CARTAGENA </v>
      </c>
    </row>
    <row r="30" spans="1:24" ht="15.75" customHeight="1" x14ac:dyDescent="0.25">
      <c r="A30" s="16" t="str">
        <f ca="1">IFERROR(__xludf.DUMMYFUNCTION("""COMPUTED_VALUE""")," REGIÓN DEL MAULE ")</f>
        <v xml:space="preserve"> REGIÓN DEL MAULE </v>
      </c>
      <c r="B30" s="16" t="str">
        <f t="shared" ca="1" si="0"/>
        <v xml:space="preserve"> VICHUQUÉN </v>
      </c>
      <c r="C30" s="16" t="str">
        <f ca="1">IFERROR(__xludf.DUMMYFUNCTION("""COMPUTED_VALUE""")," CONSTRUCCIÓN TORRES DE ILUMINACIÓN ESTADIO AQUELARRE ")</f>
        <v xml:space="preserve"> CONSTRUCCIÓN TORRES DE ILUMINACIÓN ESTADIO AQUELARRE </v>
      </c>
      <c r="D30" s="16" t="str">
        <f ca="1">IFERROR(__xludf.DUMMYFUNCTION("""COMPUTED_VALUE""")," 1-C-2020-1351 [FET] ")</f>
        <v xml:space="preserve"> 1-C-2020-1351 [FET] </v>
      </c>
      <c r="E30" s="16" t="str">
        <f ca="1">IFERROR(__xludf.DUMMYFUNCTION("""COMPUTED_VALUE""")," En Ejecución ")</f>
        <v xml:space="preserve"> En Ejecución </v>
      </c>
      <c r="F30" s="17">
        <f ca="1">IFERROR(__xludf.DUMMYFUNCTION("""COMPUTED_VALUE"""),44256)</f>
        <v>44256</v>
      </c>
      <c r="G30" s="16">
        <f ca="1">IFERROR(__xludf.DUMMYFUNCTION("""COMPUTED_VALUE"""),74859954)</f>
        <v>74859954</v>
      </c>
      <c r="H30" s="16" t="str">
        <f ca="1">IFERROR(__xludf.DUMMYFUNCTION("""COMPUTED_VALUE""")," En Ejecución ")</f>
        <v xml:space="preserve"> En Ejecución </v>
      </c>
      <c r="I30" s="16">
        <f ca="1">IFERROR(__xludf.DUMMYFUNCTION("""COMPUTED_VALUE"""),17273479)</f>
        <v>17273479</v>
      </c>
      <c r="J30" s="83" t="s">
        <v>48</v>
      </c>
      <c r="K30" s="16">
        <f ca="1">IFERROR(__xludf.DUMMYFUNCTION("""COMPUTED_VALUE"""),17273479)</f>
        <v>17273479</v>
      </c>
      <c r="L30" s="16"/>
      <c r="M30" s="16"/>
      <c r="N30" s="21">
        <f ca="1">IFERROR(__xludf.DUMMYFUNCTION("""COMPUTED_VALUE"""),0)</f>
        <v>0</v>
      </c>
      <c r="O30" s="19"/>
      <c r="P30" s="19"/>
      <c r="Q30" s="19"/>
      <c r="R30" s="19"/>
      <c r="S30" s="19"/>
      <c r="T30" s="19"/>
      <c r="U30" s="19"/>
      <c r="V30" s="19"/>
      <c r="W30" s="20">
        <f ca="1">IFERROR(__xludf.DUMMYFUNCTION("""COMPUTED_VALUE"""),17273479)</f>
        <v>17273479</v>
      </c>
      <c r="X30" s="20" t="str">
        <f ca="1">IFERROR(__xludf.DUMMYFUNCTION("""COMPUTED_VALUE""")," MUNICIPALIDAD DE VICHUQUÉN ")</f>
        <v xml:space="preserve"> MUNICIPALIDAD DE VICHUQUÉN </v>
      </c>
    </row>
    <row r="31" spans="1:24" ht="15.75" customHeight="1" x14ac:dyDescent="0.25">
      <c r="A31" s="16" t="str">
        <f ca="1">IFERROR(__xludf.DUMMYFUNCTION("""COMPUTED_VALUE""")," REGIÓN DEL MAULE ")</f>
        <v xml:space="preserve"> REGIÓN DEL MAULE </v>
      </c>
      <c r="B31" s="16" t="str">
        <f t="shared" ca="1" si="0"/>
        <v xml:space="preserve"> CAUQUENES </v>
      </c>
      <c r="C31" s="16" t="str">
        <f ca="1">IFERROR(__xludf.DUMMYFUNCTION("""COMPUTED_VALUE""")," CONSTRUCCIÓN INFRAESTRUCTURA SOCIAL MULTIPROPÓSITO VILLA LAS DELICIAS CAUQUENES ")</f>
        <v xml:space="preserve"> CONSTRUCCIÓN INFRAESTRUCTURA SOCIAL MULTIPROPÓSITO VILLA LAS DELICIAS CAUQUENES </v>
      </c>
      <c r="D31" s="16" t="str">
        <f ca="1">IFERROR(__xludf.DUMMYFUNCTION("""COMPUTED_VALUE""")," 1-C-2021-98 ")</f>
        <v xml:space="preserve"> 1-C-2021-98 </v>
      </c>
      <c r="E31" s="16" t="str">
        <f ca="1">IFERROR(__xludf.DUMMYFUNCTION("""COMPUTED_VALUE""")," 100% Girado ")</f>
        <v xml:space="preserve"> 100% Girado </v>
      </c>
      <c r="F31" s="17">
        <f ca="1">IFERROR(__xludf.DUMMYFUNCTION("""COMPUTED_VALUE"""),44558)</f>
        <v>44558</v>
      </c>
      <c r="G31" s="16">
        <f ca="1">IFERROR(__xludf.DUMMYFUNCTION("""COMPUTED_VALUE"""),74948097)</f>
        <v>74948097</v>
      </c>
      <c r="H31" s="16" t="str">
        <f ca="1">IFERROR(__xludf.DUMMYFUNCTION("""COMPUTED_VALUE""")," 100% Girado ")</f>
        <v xml:space="preserve"> 100% Girado </v>
      </c>
      <c r="I31" s="16">
        <f ca="1">IFERROR(__xludf.DUMMYFUNCTION("""COMPUTED_VALUE"""),13041079)</f>
        <v>13041079</v>
      </c>
      <c r="J31" s="83" t="s">
        <v>48</v>
      </c>
      <c r="K31" s="16">
        <f ca="1">IFERROR(__xludf.DUMMYFUNCTION("""COMPUTED_VALUE"""),13041079)</f>
        <v>13041079</v>
      </c>
      <c r="L31" s="16"/>
      <c r="M31" s="16"/>
      <c r="N31" s="21">
        <f ca="1">IFERROR(__xludf.DUMMYFUNCTION("""COMPUTED_VALUE"""),0)</f>
        <v>0</v>
      </c>
      <c r="O31" s="19"/>
      <c r="P31" s="19"/>
      <c r="Q31" s="19"/>
      <c r="R31" s="19"/>
      <c r="S31" s="19"/>
      <c r="T31" s="19"/>
      <c r="U31" s="19"/>
      <c r="V31" s="19"/>
      <c r="W31" s="20">
        <f ca="1">IFERROR(__xludf.DUMMYFUNCTION("""COMPUTED_VALUE"""),13041079)</f>
        <v>13041079</v>
      </c>
      <c r="X31" s="20" t="str">
        <f ca="1">IFERROR(__xludf.DUMMYFUNCTION("""COMPUTED_VALUE""")," MUNICIPALIDAD DE CAUQUENES ")</f>
        <v xml:space="preserve"> MUNICIPALIDAD DE CAUQUENES </v>
      </c>
    </row>
    <row r="32" spans="1:24" ht="15.75" customHeight="1" x14ac:dyDescent="0.25">
      <c r="A32" s="16" t="str">
        <f ca="1">IFERROR(__xludf.DUMMYFUNCTION("""COMPUTED_VALUE""")," REGIÓN DEL BIOBÍO ")</f>
        <v xml:space="preserve"> REGIÓN DEL BIOBÍO </v>
      </c>
      <c r="B32" s="16" t="str">
        <f t="shared" ca="1" si="0"/>
        <v xml:space="preserve"> MULCHÉN </v>
      </c>
      <c r="C32" s="16" t="str">
        <f ca="1">IFERROR(__xludf.DUMMYFUNCTION("""COMPUTED_VALUE""")," REPOSICIÓN VEREDAS Y MEJORAMIENTO ÁREA VERDE CALLE CAMPILLO, MULCHEN ")</f>
        <v xml:space="preserve"> REPOSICIÓN VEREDAS Y MEJORAMIENTO ÁREA VERDE CALLE CAMPILLO, MULCHEN </v>
      </c>
      <c r="D32" s="16" t="str">
        <f ca="1">IFERROR(__xludf.DUMMYFUNCTION("""COMPUTED_VALUE""")," 1-C-2021-115 [FET] ")</f>
        <v xml:space="preserve"> 1-C-2021-115 [FET] </v>
      </c>
      <c r="E32" s="16" t="str">
        <f ca="1">IFERROR(__xludf.DUMMYFUNCTION("""COMPUTED_VALUE""")," 100% Girado ")</f>
        <v xml:space="preserve"> 100% Girado </v>
      </c>
      <c r="F32" s="17">
        <f ca="1">IFERROR(__xludf.DUMMYFUNCTION("""COMPUTED_VALUE"""),44554)</f>
        <v>44554</v>
      </c>
      <c r="G32" s="16">
        <f ca="1">IFERROR(__xludf.DUMMYFUNCTION("""COMPUTED_VALUE"""),74999999)</f>
        <v>74999999</v>
      </c>
      <c r="H32" s="16" t="str">
        <f ca="1">IFERROR(__xludf.DUMMYFUNCTION("""COMPUTED_VALUE""")," 100% Girado ")</f>
        <v xml:space="preserve"> 100% Girado </v>
      </c>
      <c r="I32" s="16">
        <f ca="1">IFERROR(__xludf.DUMMYFUNCTION("""COMPUTED_VALUE"""),14859825)</f>
        <v>14859825</v>
      </c>
      <c r="J32" s="83" t="s">
        <v>48</v>
      </c>
      <c r="K32" s="16">
        <f ca="1">IFERROR(__xludf.DUMMYFUNCTION("""COMPUTED_VALUE"""),14859825)</f>
        <v>14859825</v>
      </c>
      <c r="L32" s="16"/>
      <c r="M32" s="16"/>
      <c r="N32" s="21">
        <f ca="1">IFERROR(__xludf.DUMMYFUNCTION("""COMPUTED_VALUE"""),0)</f>
        <v>0</v>
      </c>
      <c r="O32" s="19"/>
      <c r="P32" s="19"/>
      <c r="Q32" s="19"/>
      <c r="R32" s="19"/>
      <c r="S32" s="19"/>
      <c r="T32" s="19"/>
      <c r="U32" s="19"/>
      <c r="V32" s="19"/>
      <c r="W32" s="20">
        <f ca="1">IFERROR(__xludf.DUMMYFUNCTION("""COMPUTED_VALUE"""),14859825)</f>
        <v>14859825</v>
      </c>
      <c r="X32" s="20" t="str">
        <f ca="1">IFERROR(__xludf.DUMMYFUNCTION("""COMPUTED_VALUE""")," MUNICIPALIDAD DE MULCHÉN ")</f>
        <v xml:space="preserve"> MUNICIPALIDAD DE MULCHÉN </v>
      </c>
    </row>
    <row r="33" spans="1:24" ht="15.75" customHeight="1" x14ac:dyDescent="0.25">
      <c r="A33" s="16" t="str">
        <f ca="1">IFERROR(__xludf.DUMMYFUNCTION("""COMPUTED_VALUE""")," REGIÓN DEL BIOBÍO ")</f>
        <v xml:space="preserve"> REGIÓN DEL BIOBÍO </v>
      </c>
      <c r="B33" s="16" t="str">
        <f t="shared" ca="1" si="0"/>
        <v xml:space="preserve"> CURANILAHUE </v>
      </c>
      <c r="C33" s="16" t="str">
        <f ca="1">IFERROR(__xludf.DUMMYFUNCTION("""COMPUTED_VALUE""")," CONSTRUCCION CIERRE PERIMETRAL TERRENO MUNICIPAL EX ESCUELA VILLA ALEGRE ")</f>
        <v xml:space="preserve"> CONSTRUCCION CIERRE PERIMETRAL TERRENO MUNICIPAL EX ESCUELA VILLA ALEGRE </v>
      </c>
      <c r="D33" s="16" t="str">
        <f ca="1">IFERROR(__xludf.DUMMYFUNCTION("""COMPUTED_VALUE""")," 1-K-2023-129 ")</f>
        <v xml:space="preserve"> 1-K-2023-129 </v>
      </c>
      <c r="E33" s="16" t="str">
        <f ca="1">IFERROR(__xludf.DUMMYFUNCTION("""COMPUTED_VALUE""")," Con Giro por Anticipo ")</f>
        <v xml:space="preserve"> Con Giro por Anticipo </v>
      </c>
      <c r="F33" s="17">
        <f ca="1">IFERROR(__xludf.DUMMYFUNCTION("""COMPUTED_VALUE"""),45321)</f>
        <v>45321</v>
      </c>
      <c r="G33" s="16">
        <f ca="1">IFERROR(__xludf.DUMMYFUNCTION("""COMPUTED_VALUE"""),146000000)</f>
        <v>146000000</v>
      </c>
      <c r="H33" s="16" t="str">
        <f ca="1">IFERROR(__xludf.DUMMYFUNCTION("""COMPUTED_VALUE""")," Con Giro por Anticipo ")</f>
        <v xml:space="preserve"> Con Giro por Anticipo </v>
      </c>
      <c r="I33" s="16">
        <f ca="1">IFERROR(__xludf.DUMMYFUNCTION("""COMPUTED_VALUE"""),143240221)</f>
        <v>143240221</v>
      </c>
      <c r="J33" s="83" t="s">
        <v>48</v>
      </c>
      <c r="K33" s="16">
        <f ca="1">IFERROR(__xludf.DUMMYFUNCTION("""COMPUTED_VALUE"""),73179964)</f>
        <v>73179964</v>
      </c>
      <c r="L33" s="16"/>
      <c r="M33" s="16"/>
      <c r="N33" s="21">
        <f ca="1">IFERROR(__xludf.DUMMYFUNCTION("""COMPUTED_VALUE"""),70060257)</f>
        <v>70060257</v>
      </c>
      <c r="O33" s="19"/>
      <c r="P33" s="19"/>
      <c r="Q33" s="19"/>
      <c r="R33" s="19"/>
      <c r="S33" s="19"/>
      <c r="T33" s="19"/>
      <c r="U33" s="19"/>
      <c r="V33" s="19"/>
      <c r="W33" s="20">
        <f ca="1">IFERROR(__xludf.DUMMYFUNCTION("""COMPUTED_VALUE"""),143240221)</f>
        <v>143240221</v>
      </c>
      <c r="X33" s="20" t="str">
        <f ca="1">IFERROR(__xludf.DUMMYFUNCTION("""COMPUTED_VALUE""")," MUNICIPALIDAD DE CURANILAHUE ")</f>
        <v xml:space="preserve"> MUNICIPALIDAD DE CURANILAHUE </v>
      </c>
    </row>
    <row r="34" spans="1:24" ht="15.75" customHeight="1" x14ac:dyDescent="0.25">
      <c r="A34" s="16" t="str">
        <f ca="1">IFERROR(__xludf.DUMMYFUNCTION("""COMPUTED_VALUE""")," REGIÓN DEL BIOBÍO ")</f>
        <v xml:space="preserve"> REGIÓN DEL BIOBÍO </v>
      </c>
      <c r="B34" s="16" t="str">
        <f t="shared" ca="1" si="0"/>
        <v xml:space="preserve"> CURANILAHUE </v>
      </c>
      <c r="C34" s="16" t="str">
        <f ca="1">IFERROR(__xludf.DUMMYFUNCTION("""COMPUTED_VALUE""")," REPOSICION E INSTALACIÓN SEÑALETICAS SECTOR AV. LIBERTAD Y RAMÓN RABAL ")</f>
        <v xml:space="preserve"> REPOSICION E INSTALACIÓN SEÑALETICAS SECTOR AV. LIBERTAD Y RAMÓN RABAL </v>
      </c>
      <c r="D34" s="16" t="str">
        <f ca="1">IFERROR(__xludf.DUMMYFUNCTION("""COMPUTED_VALUE""")," 1-K-2023-130 ")</f>
        <v xml:space="preserve"> 1-K-2023-130 </v>
      </c>
      <c r="E34" s="16" t="str">
        <f ca="1">IFERROR(__xludf.DUMMYFUNCTION("""COMPUTED_VALUE""")," Con Giro por Anticipo ")</f>
        <v xml:space="preserve"> Con Giro por Anticipo </v>
      </c>
      <c r="F34" s="17">
        <f ca="1">IFERROR(__xludf.DUMMYFUNCTION("""COMPUTED_VALUE"""),45322)</f>
        <v>45322</v>
      </c>
      <c r="G34" s="16">
        <f ca="1">IFERROR(__xludf.DUMMYFUNCTION("""COMPUTED_VALUE"""),151000000)</f>
        <v>151000000</v>
      </c>
      <c r="H34" s="16" t="str">
        <f ca="1">IFERROR(__xludf.DUMMYFUNCTION("""COMPUTED_VALUE""")," Con Giro por Anticipo ")</f>
        <v xml:space="preserve"> Con Giro por Anticipo </v>
      </c>
      <c r="I34" s="16">
        <f ca="1">IFERROR(__xludf.DUMMYFUNCTION("""COMPUTED_VALUE"""),147546221)</f>
        <v>147546221</v>
      </c>
      <c r="J34" s="83" t="s">
        <v>48</v>
      </c>
      <c r="K34" s="16">
        <f ca="1">IFERROR(__xludf.DUMMYFUNCTION("""COMPUTED_VALUE"""),75332964)</f>
        <v>75332964</v>
      </c>
      <c r="L34" s="16"/>
      <c r="M34" s="16"/>
      <c r="N34" s="21">
        <f ca="1">IFERROR(__xludf.DUMMYFUNCTION("""COMPUTED_VALUE"""),72213257)</f>
        <v>72213257</v>
      </c>
      <c r="O34" s="19"/>
      <c r="P34" s="19"/>
      <c r="Q34" s="19"/>
      <c r="R34" s="19"/>
      <c r="S34" s="19"/>
      <c r="T34" s="19"/>
      <c r="U34" s="19"/>
      <c r="V34" s="19"/>
      <c r="W34" s="20">
        <f ca="1">IFERROR(__xludf.DUMMYFUNCTION("""COMPUTED_VALUE"""),147546221)</f>
        <v>147546221</v>
      </c>
      <c r="X34" s="20" t="str">
        <f ca="1">IFERROR(__xludf.DUMMYFUNCTION("""COMPUTED_VALUE""")," MUNICIPALIDAD DE CURANILAHUE ")</f>
        <v xml:space="preserve"> MUNICIPALIDAD DE CURANILAHUE </v>
      </c>
    </row>
    <row r="35" spans="1:24" ht="15.75" customHeight="1" x14ac:dyDescent="0.25">
      <c r="A35" s="16" t="str">
        <f ca="1">IFERROR(__xludf.DUMMYFUNCTION("""COMPUTED_VALUE""")," REGIÓN DEL BIOBÍO ")</f>
        <v xml:space="preserve"> REGIÓN DEL BIOBÍO </v>
      </c>
      <c r="B35" s="16" t="str">
        <f t="shared" ca="1" si="0"/>
        <v xml:space="preserve"> CURANILAHUE </v>
      </c>
      <c r="C35" s="16" t="str">
        <f ca="1">IFERROR(__xludf.DUMMYFUNCTION("""COMPUTED_VALUE""")," MEJORAMIENTO AREA VERDE POBL. MIRAFLORES II ")</f>
        <v xml:space="preserve"> MEJORAMIENTO AREA VERDE POBL. MIRAFLORES II </v>
      </c>
      <c r="D35" s="16" t="str">
        <f ca="1">IFERROR(__xludf.DUMMYFUNCTION("""COMPUTED_VALUE""")," 1-K-2023-131 ")</f>
        <v xml:space="preserve"> 1-K-2023-131 </v>
      </c>
      <c r="E35" s="16" t="str">
        <f ca="1">IFERROR(__xludf.DUMMYFUNCTION("""COMPUTED_VALUE""")," Con Giro por Anticipo ")</f>
        <v xml:space="preserve"> Con Giro por Anticipo </v>
      </c>
      <c r="F35" s="17">
        <f ca="1">IFERROR(__xludf.DUMMYFUNCTION("""COMPUTED_VALUE"""),45322)</f>
        <v>45322</v>
      </c>
      <c r="G35" s="16">
        <f ca="1">IFERROR(__xludf.DUMMYFUNCTION("""COMPUTED_VALUE"""),151000000)</f>
        <v>151000000</v>
      </c>
      <c r="H35" s="16" t="str">
        <f ca="1">IFERROR(__xludf.DUMMYFUNCTION("""COMPUTED_VALUE""")," Con Giro por Anticipo ")</f>
        <v xml:space="preserve"> Con Giro por Anticipo </v>
      </c>
      <c r="I35" s="16">
        <f ca="1">IFERROR(__xludf.DUMMYFUNCTION("""COMPUTED_VALUE"""),147451021)</f>
        <v>147451021</v>
      </c>
      <c r="J35" s="83" t="s">
        <v>48</v>
      </c>
      <c r="K35" s="16">
        <f ca="1">IFERROR(__xludf.DUMMYFUNCTION("""COMPUTED_VALUE"""),75285364)</f>
        <v>75285364</v>
      </c>
      <c r="L35" s="16"/>
      <c r="M35" s="16"/>
      <c r="N35" s="21">
        <f ca="1">IFERROR(__xludf.DUMMYFUNCTION("""COMPUTED_VALUE"""),72165657)</f>
        <v>72165657</v>
      </c>
      <c r="O35" s="19"/>
      <c r="P35" s="19"/>
      <c r="Q35" s="19"/>
      <c r="R35" s="19"/>
      <c r="S35" s="19"/>
      <c r="T35" s="19"/>
      <c r="U35" s="19"/>
      <c r="V35" s="19"/>
      <c r="W35" s="20">
        <f ca="1">IFERROR(__xludf.DUMMYFUNCTION("""COMPUTED_VALUE"""),147451021)</f>
        <v>147451021</v>
      </c>
      <c r="X35" s="20" t="str">
        <f ca="1">IFERROR(__xludf.DUMMYFUNCTION("""COMPUTED_VALUE""")," MUNICIPALIDAD DE CURANILAHUE ")</f>
        <v xml:space="preserve"> MUNICIPALIDAD DE CURANILAHUE </v>
      </c>
    </row>
    <row r="36" spans="1:24" ht="15.75" customHeight="1" x14ac:dyDescent="0.25">
      <c r="A36" s="16" t="str">
        <f ca="1">IFERROR(__xludf.DUMMYFUNCTION("""COMPUTED_VALUE""")," REGIÓN DEL BIOBÍO ")</f>
        <v xml:space="preserve"> REGIÓN DEL BIOBÍO </v>
      </c>
      <c r="B36" s="16" t="str">
        <f t="shared" ca="1" si="0"/>
        <v xml:space="preserve"> CURANILAHUE </v>
      </c>
      <c r="C36" s="16" t="str">
        <f ca="1">IFERROR(__xludf.DUMMYFUNCTION("""COMPUTED_VALUE""")," MEJORAMIENTO AREAS VERDES POBL. MIRAFLORES V Y MIRAFLORES VI ")</f>
        <v xml:space="preserve"> MEJORAMIENTO AREAS VERDES POBL. MIRAFLORES V Y MIRAFLORES VI </v>
      </c>
      <c r="D36" s="16" t="str">
        <f ca="1">IFERROR(__xludf.DUMMYFUNCTION("""COMPUTED_VALUE""")," 1-K-2023-132 ")</f>
        <v xml:space="preserve"> 1-K-2023-132 </v>
      </c>
      <c r="E36" s="16" t="str">
        <f ca="1">IFERROR(__xludf.DUMMYFUNCTION("""COMPUTED_VALUE""")," Con Giro por Anticipo ")</f>
        <v xml:space="preserve"> Con Giro por Anticipo </v>
      </c>
      <c r="F36" s="17">
        <f ca="1">IFERROR(__xludf.DUMMYFUNCTION("""COMPUTED_VALUE"""),45322)</f>
        <v>45322</v>
      </c>
      <c r="G36" s="16">
        <f ca="1">IFERROR(__xludf.DUMMYFUNCTION("""COMPUTED_VALUE"""),151000000)</f>
        <v>151000000</v>
      </c>
      <c r="H36" s="16" t="str">
        <f ca="1">IFERROR(__xludf.DUMMYFUNCTION("""COMPUTED_VALUE""")," Con Giro por Anticipo ")</f>
        <v xml:space="preserve"> Con Giro por Anticipo </v>
      </c>
      <c r="I36" s="16">
        <f ca="1">IFERROR(__xludf.DUMMYFUNCTION("""COMPUTED_VALUE"""),147447221)</f>
        <v>147447221</v>
      </c>
      <c r="J36" s="83" t="s">
        <v>48</v>
      </c>
      <c r="K36" s="16">
        <f ca="1">IFERROR(__xludf.DUMMYFUNCTION("""COMPUTED_VALUE"""),75283464)</f>
        <v>75283464</v>
      </c>
      <c r="L36" s="16"/>
      <c r="M36" s="16"/>
      <c r="N36" s="21">
        <f ca="1">IFERROR(__xludf.DUMMYFUNCTION("""COMPUTED_VALUE"""),72163757)</f>
        <v>72163757</v>
      </c>
      <c r="O36" s="19"/>
      <c r="P36" s="19"/>
      <c r="Q36" s="19"/>
      <c r="R36" s="19"/>
      <c r="S36" s="19"/>
      <c r="T36" s="19"/>
      <c r="U36" s="19"/>
      <c r="V36" s="19"/>
      <c r="W36" s="20">
        <f ca="1">IFERROR(__xludf.DUMMYFUNCTION("""COMPUTED_VALUE"""),147447221)</f>
        <v>147447221</v>
      </c>
      <c r="X36" s="20" t="str">
        <f ca="1">IFERROR(__xludf.DUMMYFUNCTION("""COMPUTED_VALUE""")," MUNICIPALIDAD DE CURANILAHUE ")</f>
        <v xml:space="preserve"> MUNICIPALIDAD DE CURANILAHUE </v>
      </c>
    </row>
    <row r="37" spans="1:24" ht="15.75" customHeight="1" x14ac:dyDescent="0.25">
      <c r="A37" s="16" t="str">
        <f ca="1">IFERROR(__xludf.DUMMYFUNCTION("""COMPUTED_VALUE""")," REGIÓN DEL BIOBÍO ")</f>
        <v xml:space="preserve"> REGIÓN DEL BIOBÍO </v>
      </c>
      <c r="B37" s="16" t="str">
        <f t="shared" ca="1" si="0"/>
        <v xml:space="preserve"> CURANILAHUE </v>
      </c>
      <c r="C37" s="16" t="str">
        <f ca="1">IFERROR(__xludf.DUMMYFUNCTION("""COMPUTED_VALUE""")," MEJORAMIENTO PLAZOLETA SAN JOSE DE COLICO ")</f>
        <v xml:space="preserve"> MEJORAMIENTO PLAZOLETA SAN JOSE DE COLICO </v>
      </c>
      <c r="D37" s="16" t="str">
        <f ca="1">IFERROR(__xludf.DUMMYFUNCTION("""COMPUTED_VALUE""")," 1-K-2023-133 ")</f>
        <v xml:space="preserve"> 1-K-2023-133 </v>
      </c>
      <c r="E37" s="16" t="str">
        <f ca="1">IFERROR(__xludf.DUMMYFUNCTION("""COMPUTED_VALUE""")," Con Giro por Anticipo ")</f>
        <v xml:space="preserve"> Con Giro por Anticipo </v>
      </c>
      <c r="F37" s="17">
        <f ca="1">IFERROR(__xludf.DUMMYFUNCTION("""COMPUTED_VALUE"""),45322)</f>
        <v>45322</v>
      </c>
      <c r="G37" s="16">
        <f ca="1">IFERROR(__xludf.DUMMYFUNCTION("""COMPUTED_VALUE"""),150000000)</f>
        <v>150000000</v>
      </c>
      <c r="H37" s="16" t="str">
        <f ca="1">IFERROR(__xludf.DUMMYFUNCTION("""COMPUTED_VALUE""")," Con Giro por Anticipo ")</f>
        <v xml:space="preserve"> Con Giro por Anticipo </v>
      </c>
      <c r="I37" s="16">
        <f ca="1">IFERROR(__xludf.DUMMYFUNCTION("""COMPUTED_VALUE"""),147227421)</f>
        <v>147227421</v>
      </c>
      <c r="J37" s="83" t="s">
        <v>48</v>
      </c>
      <c r="K37" s="16">
        <f ca="1">IFERROR(__xludf.DUMMYFUNCTION("""COMPUTED_VALUE"""),75173564)</f>
        <v>75173564</v>
      </c>
      <c r="L37" s="16"/>
      <c r="M37" s="16"/>
      <c r="N37" s="21">
        <f ca="1">IFERROR(__xludf.DUMMYFUNCTION("""COMPUTED_VALUE"""),72053857)</f>
        <v>72053857</v>
      </c>
      <c r="O37" s="19"/>
      <c r="P37" s="19"/>
      <c r="Q37" s="19"/>
      <c r="R37" s="19"/>
      <c r="S37" s="19"/>
      <c r="T37" s="19"/>
      <c r="U37" s="19"/>
      <c r="V37" s="19"/>
      <c r="W37" s="20">
        <f ca="1">IFERROR(__xludf.DUMMYFUNCTION("""COMPUTED_VALUE"""),147227421)</f>
        <v>147227421</v>
      </c>
      <c r="X37" s="20" t="str">
        <f ca="1">IFERROR(__xludf.DUMMYFUNCTION("""COMPUTED_VALUE""")," MUNICIPALIDAD DE CURANILAHUE ")</f>
        <v xml:space="preserve"> MUNICIPALIDAD DE CURANILAHUE </v>
      </c>
    </row>
    <row r="38" spans="1:24" ht="15.75" customHeight="1" x14ac:dyDescent="0.25">
      <c r="A38" s="16" t="str">
        <f ca="1">IFERROR(__xludf.DUMMYFUNCTION("""COMPUTED_VALUE""")," REGIÓN DEL BIOBÍO ")</f>
        <v xml:space="preserve"> REGIÓN DEL BIOBÍO </v>
      </c>
      <c r="B38" s="16" t="str">
        <f t="shared" ca="1" si="0"/>
        <v xml:space="preserve"> CURANILAHUE </v>
      </c>
      <c r="C38" s="16" t="str">
        <f ca="1">IFERROR(__xludf.DUMMYFUNCTION("""COMPUTED_VALUE""")," MEJORAMIENTO AREA DE JUEGOS INFANTILES PORTALES ALTO ESQUINA FEDERICO SALGADO ")</f>
        <v xml:space="preserve"> MEJORAMIENTO AREA DE JUEGOS INFANTILES PORTALES ALTO ESQUINA FEDERICO SALGADO </v>
      </c>
      <c r="D38" s="16" t="str">
        <f ca="1">IFERROR(__xludf.DUMMYFUNCTION("""COMPUTED_VALUE""")," 1-K-2023-134 ")</f>
        <v xml:space="preserve"> 1-K-2023-134 </v>
      </c>
      <c r="E38" s="16" t="str">
        <f ca="1">IFERROR(__xludf.DUMMYFUNCTION("""COMPUTED_VALUE""")," Con Giro por Anticipo ")</f>
        <v xml:space="preserve"> Con Giro por Anticipo </v>
      </c>
      <c r="F38" s="17">
        <f ca="1">IFERROR(__xludf.DUMMYFUNCTION("""COMPUTED_VALUE"""),45321)</f>
        <v>45321</v>
      </c>
      <c r="G38" s="16">
        <f ca="1">IFERROR(__xludf.DUMMYFUNCTION("""COMPUTED_VALUE"""),152000000)</f>
        <v>152000000</v>
      </c>
      <c r="H38" s="16" t="str">
        <f ca="1">IFERROR(__xludf.DUMMYFUNCTION("""COMPUTED_VALUE""")," Con Giro por Anticipo ")</f>
        <v xml:space="preserve"> Con Giro por Anticipo </v>
      </c>
      <c r="I38" s="16">
        <f ca="1">IFERROR(__xludf.DUMMYFUNCTION("""COMPUTED_VALUE"""),148438821)</f>
        <v>148438821</v>
      </c>
      <c r="J38" s="83" t="s">
        <v>48</v>
      </c>
      <c r="K38" s="16">
        <f ca="1">IFERROR(__xludf.DUMMYFUNCTION("""COMPUTED_VALUE"""),75779264)</f>
        <v>75779264</v>
      </c>
      <c r="L38" s="16"/>
      <c r="M38" s="16"/>
      <c r="N38" s="21">
        <f ca="1">IFERROR(__xludf.DUMMYFUNCTION("""COMPUTED_VALUE"""),72659557)</f>
        <v>72659557</v>
      </c>
      <c r="O38" s="19"/>
      <c r="P38" s="19"/>
      <c r="Q38" s="19"/>
      <c r="R38" s="19"/>
      <c r="S38" s="19"/>
      <c r="T38" s="19"/>
      <c r="U38" s="19"/>
      <c r="V38" s="19"/>
      <c r="W38" s="20">
        <f ca="1">IFERROR(__xludf.DUMMYFUNCTION("""COMPUTED_VALUE"""),148438821)</f>
        <v>148438821</v>
      </c>
      <c r="X38" s="20" t="str">
        <f ca="1">IFERROR(__xludf.DUMMYFUNCTION("""COMPUTED_VALUE""")," MUNICIPALIDAD DE CURANILAHUE ")</f>
        <v xml:space="preserve"> MUNICIPALIDAD DE CURANILAHUE </v>
      </c>
    </row>
    <row r="39" spans="1:24" ht="15.75" customHeight="1" x14ac:dyDescent="0.25">
      <c r="A39" s="16" t="str">
        <f ca="1">IFERROR(__xludf.DUMMYFUNCTION("""COMPUTED_VALUE""")," REGIÓN DEL BIOBÍO ")</f>
        <v xml:space="preserve"> REGIÓN DEL BIOBÍO </v>
      </c>
      <c r="B39" s="16" t="str">
        <f t="shared" ca="1" si="0"/>
        <v xml:space="preserve"> CURANILAHUE </v>
      </c>
      <c r="C39" s="16" t="str">
        <f ca="1">IFERROR(__xludf.DUMMYFUNCTION("""COMPUTED_VALUE""")," MEJORAMIENTO VEREDAS COSTADO NORTE CALLE RAMÓN ZAMORA ")</f>
        <v xml:space="preserve"> MEJORAMIENTO VEREDAS COSTADO NORTE CALLE RAMÓN ZAMORA </v>
      </c>
      <c r="D39" s="16" t="str">
        <f ca="1">IFERROR(__xludf.DUMMYFUNCTION("""COMPUTED_VALUE""")," 1-K-2023-135 ")</f>
        <v xml:space="preserve"> 1-K-2023-135 </v>
      </c>
      <c r="E39" s="16" t="str">
        <f ca="1">IFERROR(__xludf.DUMMYFUNCTION("""COMPUTED_VALUE""")," Con Giro por Anticipo ")</f>
        <v xml:space="preserve"> Con Giro por Anticipo </v>
      </c>
      <c r="F39" s="17">
        <f ca="1">IFERROR(__xludf.DUMMYFUNCTION("""COMPUTED_VALUE"""),45321)</f>
        <v>45321</v>
      </c>
      <c r="G39" s="16">
        <f ca="1">IFERROR(__xludf.DUMMYFUNCTION("""COMPUTED_VALUE"""),152000000)</f>
        <v>152000000</v>
      </c>
      <c r="H39" s="16" t="str">
        <f ca="1">IFERROR(__xludf.DUMMYFUNCTION("""COMPUTED_VALUE""")," Con Giro por Anticipo ")</f>
        <v xml:space="preserve"> Con Giro por Anticipo </v>
      </c>
      <c r="I39" s="16">
        <f ca="1">IFERROR(__xludf.DUMMYFUNCTION("""COMPUTED_VALUE"""),151955752)</f>
        <v>151955752</v>
      </c>
      <c r="J39" s="83" t="s">
        <v>48</v>
      </c>
      <c r="K39" s="16">
        <f ca="1">IFERROR(__xludf.DUMMYFUNCTION("""COMPUTED_VALUE"""),75977876)</f>
        <v>75977876</v>
      </c>
      <c r="L39" s="16"/>
      <c r="M39" s="16"/>
      <c r="N39" s="21">
        <f ca="1">IFERROR(__xludf.DUMMYFUNCTION("""COMPUTED_VALUE"""),75977876)</f>
        <v>75977876</v>
      </c>
      <c r="O39" s="19"/>
      <c r="P39" s="19"/>
      <c r="Q39" s="19"/>
      <c r="R39" s="19"/>
      <c r="S39" s="19"/>
      <c r="T39" s="19"/>
      <c r="U39" s="19"/>
      <c r="V39" s="19"/>
      <c r="W39" s="20">
        <f ca="1">IFERROR(__xludf.DUMMYFUNCTION("""COMPUTED_VALUE"""),151955752)</f>
        <v>151955752</v>
      </c>
      <c r="X39" s="20" t="str">
        <f ca="1">IFERROR(__xludf.DUMMYFUNCTION("""COMPUTED_VALUE""")," MUNICIPALIDAD DE CURANILAHUE ")</f>
        <v xml:space="preserve"> MUNICIPALIDAD DE CURANILAHUE </v>
      </c>
    </row>
    <row r="40" spans="1:24" ht="15.75" customHeight="1" x14ac:dyDescent="0.25">
      <c r="A40" s="16" t="str">
        <f ca="1">IFERROR(__xludf.DUMMYFUNCTION("""COMPUTED_VALUE""")," REGIÓN DEL BIOBÍO ")</f>
        <v xml:space="preserve"> REGIÓN DEL BIOBÍO </v>
      </c>
      <c r="B40" s="16" t="str">
        <f t="shared" ca="1" si="0"/>
        <v xml:space="preserve"> CURANILAHUE </v>
      </c>
      <c r="C40" s="16" t="str">
        <f ca="1">IFERROR(__xludf.DUMMYFUNCTION("""COMPUTED_VALUE""")," INSTALACIÓN SEÑALETICAS CALLES Y PASAJES POBLACIONES FORESTAL Y MIRAFLORES ")</f>
        <v xml:space="preserve"> INSTALACIÓN SEÑALETICAS CALLES Y PASAJES POBLACIONES FORESTAL Y MIRAFLORES </v>
      </c>
      <c r="D40" s="16" t="str">
        <f ca="1">IFERROR(__xludf.DUMMYFUNCTION("""COMPUTED_VALUE""")," 1-K-2023-136 ")</f>
        <v xml:space="preserve"> 1-K-2023-136 </v>
      </c>
      <c r="E40" s="16" t="str">
        <f ca="1">IFERROR(__xludf.DUMMYFUNCTION("""COMPUTED_VALUE""")," Con Giro por Anticipo ")</f>
        <v xml:space="preserve"> Con Giro por Anticipo </v>
      </c>
      <c r="F40" s="17">
        <f ca="1">IFERROR(__xludf.DUMMYFUNCTION("""COMPUTED_VALUE"""),45321)</f>
        <v>45321</v>
      </c>
      <c r="G40" s="16">
        <f ca="1">IFERROR(__xludf.DUMMYFUNCTION("""COMPUTED_VALUE"""),151000000)</f>
        <v>151000000</v>
      </c>
      <c r="H40" s="16" t="str">
        <f ca="1">IFERROR(__xludf.DUMMYFUNCTION("""COMPUTED_VALUE""")," Con Giro por Anticipo ")</f>
        <v xml:space="preserve"> Con Giro por Anticipo </v>
      </c>
      <c r="I40" s="16">
        <f ca="1">IFERROR(__xludf.DUMMYFUNCTION("""COMPUTED_VALUE"""),147546221)</f>
        <v>147546221</v>
      </c>
      <c r="J40" s="83" t="s">
        <v>48</v>
      </c>
      <c r="K40" s="16">
        <f ca="1">IFERROR(__xludf.DUMMYFUNCTION("""COMPUTED_VALUE"""),75332964)</f>
        <v>75332964</v>
      </c>
      <c r="L40" s="16"/>
      <c r="M40" s="16"/>
      <c r="N40" s="21">
        <f ca="1">IFERROR(__xludf.DUMMYFUNCTION("""COMPUTED_VALUE"""),72213257)</f>
        <v>72213257</v>
      </c>
      <c r="O40" s="19"/>
      <c r="P40" s="19"/>
      <c r="Q40" s="19"/>
      <c r="R40" s="19"/>
      <c r="S40" s="19"/>
      <c r="T40" s="19"/>
      <c r="U40" s="19"/>
      <c r="V40" s="19"/>
      <c r="W40" s="20">
        <f ca="1">IFERROR(__xludf.DUMMYFUNCTION("""COMPUTED_VALUE"""),147546221)</f>
        <v>147546221</v>
      </c>
      <c r="X40" s="20" t="str">
        <f ca="1">IFERROR(__xludf.DUMMYFUNCTION("""COMPUTED_VALUE""")," MUNICIPALIDAD DE CURANILAHUE ")</f>
        <v xml:space="preserve"> MUNICIPALIDAD DE CURANILAHUE </v>
      </c>
    </row>
    <row r="41" spans="1:24" ht="15.75" customHeight="1" x14ac:dyDescent="0.25">
      <c r="A41" s="16" t="str">
        <f ca="1">IFERROR(__xludf.DUMMYFUNCTION("""COMPUTED_VALUE""")," REGIÓN DEL BIOBÍO ")</f>
        <v xml:space="preserve"> REGIÓN DEL BIOBÍO </v>
      </c>
      <c r="B41" s="16" t="str">
        <f t="shared" ca="1" si="0"/>
        <v xml:space="preserve"> CURANILAHUE </v>
      </c>
      <c r="C41" s="16" t="str">
        <f ca="1">IFERROR(__xludf.DUMMYFUNCTION("""COMPUTED_VALUE""")," MEJORAMIENTO ÁREAS VERDES ENTORNO CALLE 1, POBLACIÓN CURAMALAL ")</f>
        <v xml:space="preserve"> MEJORAMIENTO ÁREAS VERDES ENTORNO CALLE 1, POBLACIÓN CURAMALAL </v>
      </c>
      <c r="D41" s="16" t="str">
        <f ca="1">IFERROR(__xludf.DUMMYFUNCTION("""COMPUTED_VALUE""")," 1-K-2023-137 ")</f>
        <v xml:space="preserve"> 1-K-2023-137 </v>
      </c>
      <c r="E41" s="16" t="str">
        <f ca="1">IFERROR(__xludf.DUMMYFUNCTION("""COMPUTED_VALUE""")," Con Giro por Anticipo ")</f>
        <v xml:space="preserve"> Con Giro por Anticipo </v>
      </c>
      <c r="F41" s="17">
        <f ca="1">IFERROR(__xludf.DUMMYFUNCTION("""COMPUTED_VALUE"""),45321)</f>
        <v>45321</v>
      </c>
      <c r="G41" s="16">
        <f ca="1">IFERROR(__xludf.DUMMYFUNCTION("""COMPUTED_VALUE"""),151000000)</f>
        <v>151000000</v>
      </c>
      <c r="H41" s="16" t="str">
        <f ca="1">IFERROR(__xludf.DUMMYFUNCTION("""COMPUTED_VALUE""")," Con Giro por Anticipo ")</f>
        <v xml:space="preserve"> Con Giro por Anticipo </v>
      </c>
      <c r="I41" s="16">
        <f ca="1">IFERROR(__xludf.DUMMYFUNCTION("""COMPUTED_VALUE"""),148438821)</f>
        <v>148438821</v>
      </c>
      <c r="J41" s="83" t="s">
        <v>48</v>
      </c>
      <c r="K41" s="16">
        <f ca="1">IFERROR(__xludf.DUMMYFUNCTION("""COMPUTED_VALUE"""),75285164)</f>
        <v>75285164</v>
      </c>
      <c r="L41" s="16"/>
      <c r="M41" s="16"/>
      <c r="N41" s="21">
        <f ca="1">IFERROR(__xludf.DUMMYFUNCTION("""COMPUTED_VALUE"""),73153657)</f>
        <v>73153657</v>
      </c>
      <c r="O41" s="19"/>
      <c r="P41" s="19"/>
      <c r="Q41" s="19"/>
      <c r="R41" s="19"/>
      <c r="S41" s="19"/>
      <c r="T41" s="19"/>
      <c r="U41" s="19"/>
      <c r="V41" s="19"/>
      <c r="W41" s="20">
        <f ca="1">IFERROR(__xludf.DUMMYFUNCTION("""COMPUTED_VALUE"""),148438821)</f>
        <v>148438821</v>
      </c>
      <c r="X41" s="20" t="str">
        <f ca="1">IFERROR(__xludf.DUMMYFUNCTION("""COMPUTED_VALUE""")," MUNICIPALIDAD DE CURANILAHUE ")</f>
        <v xml:space="preserve"> MUNICIPALIDAD DE CURANILAHUE </v>
      </c>
    </row>
    <row r="42" spans="1:24" ht="15.75" customHeight="1" x14ac:dyDescent="0.25">
      <c r="A42" s="16" t="str">
        <f ca="1">IFERROR(__xludf.DUMMYFUNCTION("""COMPUTED_VALUE""")," REGIÓN DEL BIOBÍO ")</f>
        <v xml:space="preserve"> REGIÓN DEL BIOBÍO </v>
      </c>
      <c r="B42" s="16" t="str">
        <f t="shared" ca="1" si="0"/>
        <v xml:space="preserve"> CURANILAHUE </v>
      </c>
      <c r="C42" s="16" t="str">
        <f ca="1">IFERROR(__xludf.DUMMYFUNCTION("""COMPUTED_VALUE""")," MEJORAMIENTO VEREDAS Y CANAL AGUAS LLUVIAS LADO SUR AV. EDUARDO FREI, DESDE LOS CASTAÑOS HASTA N°1677 ")</f>
        <v xml:space="preserve"> MEJORAMIENTO VEREDAS Y CANAL AGUAS LLUVIAS LADO SUR AV. EDUARDO FREI, DESDE LOS CASTAÑOS HASTA N°1677 </v>
      </c>
      <c r="D42" s="16" t="str">
        <f ca="1">IFERROR(__xludf.DUMMYFUNCTION("""COMPUTED_VALUE""")," 1-K-2023-138 ")</f>
        <v xml:space="preserve"> 1-K-2023-138 </v>
      </c>
      <c r="E42" s="16" t="str">
        <f ca="1">IFERROR(__xludf.DUMMYFUNCTION("""COMPUTED_VALUE""")," Con Giro por Anticipo ")</f>
        <v xml:space="preserve"> Con Giro por Anticipo </v>
      </c>
      <c r="F42" s="17">
        <f ca="1">IFERROR(__xludf.DUMMYFUNCTION("""COMPUTED_VALUE"""),45322)</f>
        <v>45322</v>
      </c>
      <c r="G42" s="16">
        <f ca="1">IFERROR(__xludf.DUMMYFUNCTION("""COMPUTED_VALUE"""),148000000)</f>
        <v>148000000</v>
      </c>
      <c r="H42" s="16" t="str">
        <f ca="1">IFERROR(__xludf.DUMMYFUNCTION("""COMPUTED_VALUE""")," Con Giro por Anticipo ")</f>
        <v xml:space="preserve"> Con Giro por Anticipo </v>
      </c>
      <c r="I42" s="16">
        <f ca="1">IFERROR(__xludf.DUMMYFUNCTION("""COMPUTED_VALUE"""),148131958)</f>
        <v>148131958</v>
      </c>
      <c r="J42" s="83" t="s">
        <v>48</v>
      </c>
      <c r="K42" s="16">
        <f ca="1">IFERROR(__xludf.DUMMYFUNCTION("""COMPUTED_VALUE"""),74065979)</f>
        <v>74065979</v>
      </c>
      <c r="L42" s="16"/>
      <c r="M42" s="16"/>
      <c r="N42" s="21">
        <f ca="1">IFERROR(__xludf.DUMMYFUNCTION("""COMPUTED_VALUE"""),74065979)</f>
        <v>74065979</v>
      </c>
      <c r="O42" s="19"/>
      <c r="P42" s="19"/>
      <c r="Q42" s="19"/>
      <c r="R42" s="19"/>
      <c r="S42" s="19"/>
      <c r="T42" s="19"/>
      <c r="U42" s="19"/>
      <c r="V42" s="19"/>
      <c r="W42" s="20">
        <f ca="1">IFERROR(__xludf.DUMMYFUNCTION("""COMPUTED_VALUE"""),148131958)</f>
        <v>148131958</v>
      </c>
      <c r="X42" s="20" t="str">
        <f ca="1">IFERROR(__xludf.DUMMYFUNCTION("""COMPUTED_VALUE""")," MUNICIPALIDAD DE CURANILAHUE ")</f>
        <v xml:space="preserve"> MUNICIPALIDAD DE CURANILAHUE </v>
      </c>
    </row>
    <row r="43" spans="1:24" ht="15.75" customHeight="1" x14ac:dyDescent="0.25">
      <c r="A43" s="16" t="str">
        <f ca="1">IFERROR(__xludf.DUMMYFUNCTION("""COMPUTED_VALUE""")," REGIÓN DEL BIOBÍO ")</f>
        <v xml:space="preserve"> REGIÓN DEL BIOBÍO </v>
      </c>
      <c r="B43" s="16" t="str">
        <f t="shared" ca="1" si="0"/>
        <v xml:space="preserve"> CURANILAHUE </v>
      </c>
      <c r="C43" s="16" t="str">
        <f ca="1">IFERROR(__xludf.DUMMYFUNCTION("""COMPUTED_VALUE""")," CONSTRUCCIÓN E INSTALACIÓN REFUGIO PEATONAL E INSTALACIÓN DE TÓTEM TURISTICOS EN DIVERSOS SECTORES ")</f>
        <v xml:space="preserve"> CONSTRUCCIÓN E INSTALACIÓN REFUGIO PEATONAL E INSTALACIÓN DE TÓTEM TURISTICOS EN DIVERSOS SECTORES </v>
      </c>
      <c r="D43" s="16" t="str">
        <f ca="1">IFERROR(__xludf.DUMMYFUNCTION("""COMPUTED_VALUE""")," 1-K-2023-139 ")</f>
        <v xml:space="preserve"> 1-K-2023-139 </v>
      </c>
      <c r="E43" s="16" t="str">
        <f ca="1">IFERROR(__xludf.DUMMYFUNCTION("""COMPUTED_VALUE""")," Con Giro por Anticipo ")</f>
        <v xml:space="preserve"> Con Giro por Anticipo </v>
      </c>
      <c r="F43" s="17">
        <f ca="1">IFERROR(__xludf.DUMMYFUNCTION("""COMPUTED_VALUE"""),45322)</f>
        <v>45322</v>
      </c>
      <c r="G43" s="16">
        <f ca="1">IFERROR(__xludf.DUMMYFUNCTION("""COMPUTED_VALUE"""),145000000)</f>
        <v>145000000</v>
      </c>
      <c r="H43" s="16" t="str">
        <f ca="1">IFERROR(__xludf.DUMMYFUNCTION("""COMPUTED_VALUE""")," Con Giro por Anticipo ")</f>
        <v xml:space="preserve"> Con Giro por Anticipo </v>
      </c>
      <c r="I43" s="16">
        <f ca="1">IFERROR(__xludf.DUMMYFUNCTION("""COMPUTED_VALUE"""),141490221)</f>
        <v>141490221</v>
      </c>
      <c r="J43" s="83" t="s">
        <v>48</v>
      </c>
      <c r="K43" s="16">
        <f ca="1">IFERROR(__xludf.DUMMYFUNCTION("""COMPUTED_VALUE"""),72304964)</f>
        <v>72304964</v>
      </c>
      <c r="L43" s="16"/>
      <c r="M43" s="16"/>
      <c r="N43" s="21">
        <f ca="1">IFERROR(__xludf.DUMMYFUNCTION("""COMPUTED_VALUE"""),69185257)</f>
        <v>69185257</v>
      </c>
      <c r="O43" s="19"/>
      <c r="P43" s="19"/>
      <c r="Q43" s="19"/>
      <c r="R43" s="19"/>
      <c r="S43" s="19"/>
      <c r="T43" s="19"/>
      <c r="U43" s="19"/>
      <c r="V43" s="19"/>
      <c r="W43" s="20">
        <f ca="1">IFERROR(__xludf.DUMMYFUNCTION("""COMPUTED_VALUE"""),141490221)</f>
        <v>141490221</v>
      </c>
      <c r="X43" s="20" t="str">
        <f ca="1">IFERROR(__xludf.DUMMYFUNCTION("""COMPUTED_VALUE""")," MUNICIPALIDAD DE CURANILAHUE ")</f>
        <v xml:space="preserve"> MUNICIPALIDAD DE CURANILAHUE </v>
      </c>
    </row>
    <row r="44" spans="1:24" ht="15.75" customHeight="1" x14ac:dyDescent="0.25">
      <c r="A44" s="16" t="str">
        <f ca="1">IFERROR(__xludf.DUMMYFUNCTION("""COMPUTED_VALUE""")," REGIÓN DEL BIOBÍO ")</f>
        <v xml:space="preserve"> REGIÓN DEL BIOBÍO </v>
      </c>
      <c r="B44" s="16" t="str">
        <f t="shared" ca="1" si="0"/>
        <v xml:space="preserve"> CURANILAHUE </v>
      </c>
      <c r="C44" s="16" t="str">
        <f ca="1">IFERROR(__xludf.DUMMYFUNCTION("""COMPUTED_VALUE""")," DEMARCACIÓN Y MEJORAMIENTO VIAL SECTOR ESCUELA 4 DE OCTUBRE Y OTROS ")</f>
        <v xml:space="preserve"> DEMARCACIÓN Y MEJORAMIENTO VIAL SECTOR ESCUELA 4 DE OCTUBRE Y OTROS </v>
      </c>
      <c r="D44" s="16" t="str">
        <f ca="1">IFERROR(__xludf.DUMMYFUNCTION("""COMPUTED_VALUE""")," 1-K-2023-140 ")</f>
        <v xml:space="preserve"> 1-K-2023-140 </v>
      </c>
      <c r="E44" s="16" t="str">
        <f ca="1">IFERROR(__xludf.DUMMYFUNCTION("""COMPUTED_VALUE""")," Con Giro por Anticipo ")</f>
        <v xml:space="preserve"> Con Giro por Anticipo </v>
      </c>
      <c r="F44" s="17">
        <f ca="1">IFERROR(__xludf.DUMMYFUNCTION("""COMPUTED_VALUE"""),45321)</f>
        <v>45321</v>
      </c>
      <c r="G44" s="16">
        <f ca="1">IFERROR(__xludf.DUMMYFUNCTION("""COMPUTED_VALUE"""),146000000)</f>
        <v>146000000</v>
      </c>
      <c r="H44" s="16" t="str">
        <f ca="1">IFERROR(__xludf.DUMMYFUNCTION("""COMPUTED_VALUE""")," Con Giro por Anticipo ")</f>
        <v xml:space="preserve"> Con Giro por Anticipo </v>
      </c>
      <c r="I44" s="16">
        <f ca="1">IFERROR(__xludf.DUMMYFUNCTION("""COMPUTED_VALUE"""),146102652)</f>
        <v>146102652</v>
      </c>
      <c r="J44" s="83" t="s">
        <v>48</v>
      </c>
      <c r="K44" s="16">
        <f ca="1">IFERROR(__xludf.DUMMYFUNCTION("""COMPUTED_VALUE"""),73051326)</f>
        <v>73051326</v>
      </c>
      <c r="L44" s="16"/>
      <c r="M44" s="16"/>
      <c r="N44" s="21">
        <f ca="1">IFERROR(__xludf.DUMMYFUNCTION("""COMPUTED_VALUE"""),73051326)</f>
        <v>73051326</v>
      </c>
      <c r="O44" s="19"/>
      <c r="P44" s="19"/>
      <c r="Q44" s="19"/>
      <c r="R44" s="19"/>
      <c r="S44" s="19"/>
      <c r="T44" s="19"/>
      <c r="U44" s="19"/>
      <c r="V44" s="19"/>
      <c r="W44" s="20">
        <f ca="1">IFERROR(__xludf.DUMMYFUNCTION("""COMPUTED_VALUE"""),146102652)</f>
        <v>146102652</v>
      </c>
      <c r="X44" s="20" t="str">
        <f ca="1">IFERROR(__xludf.DUMMYFUNCTION("""COMPUTED_VALUE""")," MUNICIPALIDAD DE CURANILAHUE ")</f>
        <v xml:space="preserve"> MUNICIPALIDAD DE CURANILAHUE </v>
      </c>
    </row>
    <row r="45" spans="1:24" ht="15.75" customHeight="1" x14ac:dyDescent="0.25">
      <c r="A45" s="16" t="str">
        <f ca="1">IFERROR(__xludf.DUMMYFUNCTION("""COMPUTED_VALUE""")," REGIÓN DEL BIOBÍO ")</f>
        <v xml:space="preserve"> REGIÓN DEL BIOBÍO </v>
      </c>
      <c r="B45" s="16" t="str">
        <f t="shared" ca="1" si="0"/>
        <v xml:space="preserve"> CURANILAHUE </v>
      </c>
      <c r="C45" s="16" t="str">
        <f ca="1">IFERROR(__xludf.DUMMYFUNCTION("""COMPUTED_VALUE""")," MEJORAMIENTO, CONSTRUCCIÓN E INSTALACIÓN DE REFUGIOS PEATONALES EN DISTINTOS SECTORES DE LA COMUNA ")</f>
        <v xml:space="preserve"> MEJORAMIENTO, CONSTRUCCIÓN E INSTALACIÓN DE REFUGIOS PEATONALES EN DISTINTOS SECTORES DE LA COMUNA </v>
      </c>
      <c r="D45" s="16" t="str">
        <f ca="1">IFERROR(__xludf.DUMMYFUNCTION("""COMPUTED_VALUE""")," 1-K-2023-141 ")</f>
        <v xml:space="preserve"> 1-K-2023-141 </v>
      </c>
      <c r="E45" s="16" t="str">
        <f ca="1">IFERROR(__xludf.DUMMYFUNCTION("""COMPUTED_VALUE""")," Con Giro por Anticipo ")</f>
        <v xml:space="preserve"> Con Giro por Anticipo </v>
      </c>
      <c r="F45" s="17">
        <f ca="1">IFERROR(__xludf.DUMMYFUNCTION("""COMPUTED_VALUE"""),45322)</f>
        <v>45322</v>
      </c>
      <c r="G45" s="16">
        <f ca="1">IFERROR(__xludf.DUMMYFUNCTION("""COMPUTED_VALUE"""),146000000)</f>
        <v>146000000</v>
      </c>
      <c r="H45" s="16" t="str">
        <f ca="1">IFERROR(__xludf.DUMMYFUNCTION("""COMPUTED_VALUE""")," Con Giro por Anticipo ")</f>
        <v xml:space="preserve"> Con Giro por Anticipo </v>
      </c>
      <c r="I45" s="16">
        <f ca="1">IFERROR(__xludf.DUMMYFUNCTION("""COMPUTED_VALUE"""),146105552)</f>
        <v>146105552</v>
      </c>
      <c r="J45" s="83" t="s">
        <v>48</v>
      </c>
      <c r="K45" s="16">
        <f ca="1">IFERROR(__xludf.DUMMYFUNCTION("""COMPUTED_VALUE"""),73052776)</f>
        <v>73052776</v>
      </c>
      <c r="L45" s="16"/>
      <c r="M45" s="16"/>
      <c r="N45" s="21">
        <f ca="1">IFERROR(__xludf.DUMMYFUNCTION("""COMPUTED_VALUE"""),73052776)</f>
        <v>73052776</v>
      </c>
      <c r="O45" s="19"/>
      <c r="P45" s="19"/>
      <c r="Q45" s="19"/>
      <c r="R45" s="19"/>
      <c r="S45" s="19"/>
      <c r="T45" s="19"/>
      <c r="U45" s="19"/>
      <c r="V45" s="19"/>
      <c r="W45" s="20">
        <f ca="1">IFERROR(__xludf.DUMMYFUNCTION("""COMPUTED_VALUE"""),146105552)</f>
        <v>146105552</v>
      </c>
      <c r="X45" s="20" t="str">
        <f ca="1">IFERROR(__xludf.DUMMYFUNCTION("""COMPUTED_VALUE""")," MUNICIPALIDAD DE CURANILAHUE ")</f>
        <v xml:space="preserve"> MUNICIPALIDAD DE CURANILAHUE </v>
      </c>
    </row>
    <row r="46" spans="1:24" ht="15.75" customHeight="1" x14ac:dyDescent="0.25">
      <c r="A46" s="16" t="str">
        <f ca="1">IFERROR(__xludf.DUMMYFUNCTION("""COMPUTED_VALUE""")," REGIÓN DEL BIOBÍO ")</f>
        <v xml:space="preserve"> REGIÓN DEL BIOBÍO </v>
      </c>
      <c r="B46" s="16" t="str">
        <f t="shared" ca="1" si="0"/>
        <v xml:space="preserve"> CURANILAHUE </v>
      </c>
      <c r="C46" s="16" t="str">
        <f ca="1">IFERROR(__xludf.DUMMYFUNCTION("""COMPUTED_VALUE""")," REPOSICIÓN VEREDAS AV. EDUARDO FREI LADO SUR, DESDE HORTALIZAS HASTA N° 752 ")</f>
        <v xml:space="preserve"> REPOSICIÓN VEREDAS AV. EDUARDO FREI LADO SUR, DESDE HORTALIZAS HASTA N° 752 </v>
      </c>
      <c r="D46" s="16" t="str">
        <f ca="1">IFERROR(__xludf.DUMMYFUNCTION("""COMPUTED_VALUE""")," 1-K-2023-142 ")</f>
        <v xml:space="preserve"> 1-K-2023-142 </v>
      </c>
      <c r="E46" s="16" t="str">
        <f ca="1">IFERROR(__xludf.DUMMYFUNCTION("""COMPUTED_VALUE""")," Con Giro por Anticipo ")</f>
        <v xml:space="preserve"> Con Giro por Anticipo </v>
      </c>
      <c r="F46" s="17">
        <f ca="1">IFERROR(__xludf.DUMMYFUNCTION("""COMPUTED_VALUE"""),45321)</f>
        <v>45321</v>
      </c>
      <c r="G46" s="16">
        <f ca="1">IFERROR(__xludf.DUMMYFUNCTION("""COMPUTED_VALUE"""),146000000)</f>
        <v>146000000</v>
      </c>
      <c r="H46" s="16" t="str">
        <f ca="1">IFERROR(__xludf.DUMMYFUNCTION("""COMPUTED_VALUE""")," Con Giro por Anticipo ")</f>
        <v xml:space="preserve"> Con Giro por Anticipo </v>
      </c>
      <c r="I46" s="16">
        <f ca="1">IFERROR(__xludf.DUMMYFUNCTION("""COMPUTED_VALUE"""),146108652)</f>
        <v>146108652</v>
      </c>
      <c r="J46" s="83" t="s">
        <v>48</v>
      </c>
      <c r="K46" s="16">
        <f ca="1">IFERROR(__xludf.DUMMYFUNCTION("""COMPUTED_VALUE"""),73054326)</f>
        <v>73054326</v>
      </c>
      <c r="L46" s="16"/>
      <c r="M46" s="16"/>
      <c r="N46" s="21">
        <f ca="1">IFERROR(__xludf.DUMMYFUNCTION("""COMPUTED_VALUE"""),73054326)</f>
        <v>73054326</v>
      </c>
      <c r="O46" s="19"/>
      <c r="P46" s="19"/>
      <c r="Q46" s="19"/>
      <c r="R46" s="19"/>
      <c r="S46" s="19"/>
      <c r="T46" s="19"/>
      <c r="U46" s="19"/>
      <c r="V46" s="19"/>
      <c r="W46" s="20">
        <f ca="1">IFERROR(__xludf.DUMMYFUNCTION("""COMPUTED_VALUE"""),146108652)</f>
        <v>146108652</v>
      </c>
      <c r="X46" s="20" t="str">
        <f ca="1">IFERROR(__xludf.DUMMYFUNCTION("""COMPUTED_VALUE""")," MUNICIPALIDAD DE CURANILAHUE ")</f>
        <v xml:space="preserve"> MUNICIPALIDAD DE CURANILAHUE </v>
      </c>
    </row>
    <row r="47" spans="1:24" ht="15.75" customHeight="1" x14ac:dyDescent="0.25">
      <c r="A47" s="16" t="str">
        <f ca="1">IFERROR(__xludf.DUMMYFUNCTION("""COMPUTED_VALUE""")," REGIÓN DEL BIOBÍO ")</f>
        <v xml:space="preserve"> REGIÓN DEL BIOBÍO </v>
      </c>
      <c r="B47" s="16" t="str">
        <f t="shared" ca="1" si="0"/>
        <v xml:space="preserve"> CURANILAHUE </v>
      </c>
      <c r="C47" s="16" t="str">
        <f ca="1">IFERROR(__xludf.DUMMYFUNCTION("""COMPUTED_VALUE""")," REPOSICIÓN VEREDAS CALLE CHACABUCO LADO NORESTE, DESDE. C. HENRIQUEZ HASTA EL N°104, CERRO VERDE ")</f>
        <v xml:space="preserve"> REPOSICIÓN VEREDAS CALLE CHACABUCO LADO NORESTE, DESDE. C. HENRIQUEZ HASTA EL N°104, CERRO VERDE </v>
      </c>
      <c r="D47" s="16" t="str">
        <f ca="1">IFERROR(__xludf.DUMMYFUNCTION("""COMPUTED_VALUE""")," 1-K-2023-143 ")</f>
        <v xml:space="preserve"> 1-K-2023-143 </v>
      </c>
      <c r="E47" s="16" t="str">
        <f ca="1">IFERROR(__xludf.DUMMYFUNCTION("""COMPUTED_VALUE""")," Con Giro por Anticipo ")</f>
        <v xml:space="preserve"> Con Giro por Anticipo </v>
      </c>
      <c r="F47" s="17">
        <f ca="1">IFERROR(__xludf.DUMMYFUNCTION("""COMPUTED_VALUE"""),45321)</f>
        <v>45321</v>
      </c>
      <c r="G47" s="16">
        <f ca="1">IFERROR(__xludf.DUMMYFUNCTION("""COMPUTED_VALUE"""),146000000)</f>
        <v>146000000</v>
      </c>
      <c r="H47" s="16" t="str">
        <f ca="1">IFERROR(__xludf.DUMMYFUNCTION("""COMPUTED_VALUE""")," Con Giro por Anticipo ")</f>
        <v xml:space="preserve"> Con Giro por Anticipo </v>
      </c>
      <c r="I47" s="16">
        <f ca="1">IFERROR(__xludf.DUMMYFUNCTION("""COMPUTED_VALUE"""),146107652)</f>
        <v>146107652</v>
      </c>
      <c r="J47" s="83" t="s">
        <v>48</v>
      </c>
      <c r="K47" s="16">
        <f ca="1">IFERROR(__xludf.DUMMYFUNCTION("""COMPUTED_VALUE"""),73053826)</f>
        <v>73053826</v>
      </c>
      <c r="L47" s="16"/>
      <c r="M47" s="16"/>
      <c r="N47" s="21">
        <f ca="1">IFERROR(__xludf.DUMMYFUNCTION("""COMPUTED_VALUE"""),73053826)</f>
        <v>73053826</v>
      </c>
      <c r="O47" s="19"/>
      <c r="P47" s="19"/>
      <c r="Q47" s="19"/>
      <c r="R47" s="19"/>
      <c r="S47" s="19"/>
      <c r="T47" s="19"/>
      <c r="U47" s="19"/>
      <c r="V47" s="19"/>
      <c r="W47" s="20">
        <f ca="1">IFERROR(__xludf.DUMMYFUNCTION("""COMPUTED_VALUE"""),146107652)</f>
        <v>146107652</v>
      </c>
      <c r="X47" s="20" t="str">
        <f ca="1">IFERROR(__xludf.DUMMYFUNCTION("""COMPUTED_VALUE""")," MUNICIPALIDAD DE CURANILAHUE ")</f>
        <v xml:space="preserve"> MUNICIPALIDAD DE CURANILAHUE </v>
      </c>
    </row>
    <row r="48" spans="1:24" ht="15.75" customHeight="1" x14ac:dyDescent="0.25">
      <c r="A48" s="16" t="str">
        <f ca="1">IFERROR(__xludf.DUMMYFUNCTION("""COMPUTED_VALUE""")," REGIÓN DEL BIOBÍO ")</f>
        <v xml:space="preserve"> REGIÓN DEL BIOBÍO </v>
      </c>
      <c r="B48" s="16" t="str">
        <f t="shared" ca="1" si="0"/>
        <v xml:space="preserve"> CURANILAHUE </v>
      </c>
      <c r="C48" s="16" t="str">
        <f ca="1">IFERROR(__xludf.DUMMYFUNCTION("""COMPUTED_VALUE""")," REPOSICIÓN VEREDAS CALLE CARLOS CONDELL ")</f>
        <v xml:space="preserve"> REPOSICIÓN VEREDAS CALLE CARLOS CONDELL </v>
      </c>
      <c r="D48" s="16" t="str">
        <f ca="1">IFERROR(__xludf.DUMMYFUNCTION("""COMPUTED_VALUE""")," 1-K-2023-145 ")</f>
        <v xml:space="preserve"> 1-K-2023-145 </v>
      </c>
      <c r="E48" s="16" t="str">
        <f ca="1">IFERROR(__xludf.DUMMYFUNCTION("""COMPUTED_VALUE""")," Con Giro por Anticipo ")</f>
        <v xml:space="preserve"> Con Giro por Anticipo </v>
      </c>
      <c r="F48" s="17">
        <f ca="1">IFERROR(__xludf.DUMMYFUNCTION("""COMPUTED_VALUE"""),45321)</f>
        <v>45321</v>
      </c>
      <c r="G48" s="16">
        <f ca="1">IFERROR(__xludf.DUMMYFUNCTION("""COMPUTED_VALUE"""),150000000)</f>
        <v>150000000</v>
      </c>
      <c r="H48" s="16" t="str">
        <f ca="1">IFERROR(__xludf.DUMMYFUNCTION("""COMPUTED_VALUE""")," Con Giro por Anticipo ")</f>
        <v xml:space="preserve"> Con Giro por Anticipo </v>
      </c>
      <c r="I48" s="16">
        <f ca="1">IFERROR(__xludf.DUMMYFUNCTION("""COMPUTED_VALUE"""),150011338)</f>
        <v>150011338</v>
      </c>
      <c r="J48" s="83" t="s">
        <v>48</v>
      </c>
      <c r="K48" s="16">
        <f ca="1">IFERROR(__xludf.DUMMYFUNCTION("""COMPUTED_VALUE"""),75005669)</f>
        <v>75005669</v>
      </c>
      <c r="L48" s="16"/>
      <c r="M48" s="16"/>
      <c r="N48" s="21">
        <f ca="1">IFERROR(__xludf.DUMMYFUNCTION("""COMPUTED_VALUE"""),75005669)</f>
        <v>75005669</v>
      </c>
      <c r="O48" s="19"/>
      <c r="P48" s="19"/>
      <c r="Q48" s="19"/>
      <c r="R48" s="19"/>
      <c r="S48" s="19"/>
      <c r="T48" s="19"/>
      <c r="U48" s="19"/>
      <c r="V48" s="19"/>
      <c r="W48" s="20">
        <f ca="1">IFERROR(__xludf.DUMMYFUNCTION("""COMPUTED_VALUE"""),150011338)</f>
        <v>150011338</v>
      </c>
      <c r="X48" s="20" t="str">
        <f ca="1">IFERROR(__xludf.DUMMYFUNCTION("""COMPUTED_VALUE""")," MUNICIPALIDAD DE CURANILAHUE ")</f>
        <v xml:space="preserve"> MUNICIPALIDAD DE CURANILAHUE </v>
      </c>
    </row>
    <row r="49" spans="1:24" ht="15.75" customHeight="1" x14ac:dyDescent="0.25">
      <c r="A49" s="16" t="str">
        <f ca="1">IFERROR(__xludf.DUMMYFUNCTION("""COMPUTED_VALUE""")," REGIÓN DEL BIOBÍO ")</f>
        <v xml:space="preserve"> REGIÓN DEL BIOBÍO </v>
      </c>
      <c r="B49" s="16" t="str">
        <f t="shared" ca="1" si="0"/>
        <v xml:space="preserve"> CURANILAHUE </v>
      </c>
      <c r="C49" s="16" t="str">
        <f ca="1">IFERROR(__xludf.DUMMYFUNCTION("""COMPUTED_VALUE""")," REPOSICIÓN VEREDAS CALLES PEDRO V. OPORTUS, SANTA HELENA, GASPAR INOSTROZA ")</f>
        <v xml:space="preserve"> REPOSICIÓN VEREDAS CALLES PEDRO V. OPORTUS, SANTA HELENA, GASPAR INOSTROZA </v>
      </c>
      <c r="D49" s="16" t="str">
        <f ca="1">IFERROR(__xludf.DUMMYFUNCTION("""COMPUTED_VALUE""")," 1-K-2023-146 ")</f>
        <v xml:space="preserve"> 1-K-2023-146 </v>
      </c>
      <c r="E49" s="16" t="str">
        <f ca="1">IFERROR(__xludf.DUMMYFUNCTION("""COMPUTED_VALUE""")," Con Giro por Anticipo ")</f>
        <v xml:space="preserve"> Con Giro por Anticipo </v>
      </c>
      <c r="F49" s="17">
        <f ca="1">IFERROR(__xludf.DUMMYFUNCTION("""COMPUTED_VALUE"""),45321)</f>
        <v>45321</v>
      </c>
      <c r="G49" s="16">
        <f ca="1">IFERROR(__xludf.DUMMYFUNCTION("""COMPUTED_VALUE"""),146000000)</f>
        <v>146000000</v>
      </c>
      <c r="H49" s="16" t="str">
        <f ca="1">IFERROR(__xludf.DUMMYFUNCTION("""COMPUTED_VALUE""")," Con Giro por Anticipo ")</f>
        <v xml:space="preserve"> Con Giro por Anticipo </v>
      </c>
      <c r="I49" s="16">
        <f ca="1">IFERROR(__xludf.DUMMYFUNCTION("""COMPUTED_VALUE"""),146107652)</f>
        <v>146107652</v>
      </c>
      <c r="J49" s="83" t="s">
        <v>48</v>
      </c>
      <c r="K49" s="16">
        <f ca="1">IFERROR(__xludf.DUMMYFUNCTION("""COMPUTED_VALUE"""),73053826)</f>
        <v>73053826</v>
      </c>
      <c r="L49" s="16"/>
      <c r="M49" s="16"/>
      <c r="N49" s="21">
        <f ca="1">IFERROR(__xludf.DUMMYFUNCTION("""COMPUTED_VALUE"""),73053826)</f>
        <v>73053826</v>
      </c>
      <c r="O49" s="19"/>
      <c r="P49" s="19"/>
      <c r="Q49" s="19"/>
      <c r="R49" s="19"/>
      <c r="S49" s="19"/>
      <c r="T49" s="19"/>
      <c r="U49" s="19"/>
      <c r="V49" s="19"/>
      <c r="W49" s="20">
        <f ca="1">IFERROR(__xludf.DUMMYFUNCTION("""COMPUTED_VALUE"""),146107652)</f>
        <v>146107652</v>
      </c>
      <c r="X49" s="20" t="str">
        <f ca="1">IFERROR(__xludf.DUMMYFUNCTION("""COMPUTED_VALUE""")," MUNICIPALIDAD DE CURANILAHUE ")</f>
        <v xml:space="preserve"> MUNICIPALIDAD DE CURANILAHUE </v>
      </c>
    </row>
    <row r="50" spans="1:24" ht="15.75" customHeight="1" x14ac:dyDescent="0.25">
      <c r="A50" s="16" t="str">
        <f ca="1">IFERROR(__xludf.DUMMYFUNCTION("""COMPUTED_VALUE""")," REGIÓN DEL BIOBÍO ")</f>
        <v xml:space="preserve"> REGIÓN DEL BIOBÍO </v>
      </c>
      <c r="B50" s="16" t="str">
        <f t="shared" ca="1" si="0"/>
        <v xml:space="preserve"> CURANILAHUE </v>
      </c>
      <c r="C50" s="16" t="str">
        <f ca="1">IFERROR(__xludf.DUMMYFUNCTION("""COMPUTED_VALUE""")," REPOSICIÓN VEREDAS CALLES CORNELIA OLIVARES, PAULA J. QUEMADA, BARROS ARANA, JOAQUIN PRIETO ")</f>
        <v xml:space="preserve"> REPOSICIÓN VEREDAS CALLES CORNELIA OLIVARES, PAULA J. QUEMADA, BARROS ARANA, JOAQUIN PRIETO </v>
      </c>
      <c r="D50" s="16" t="str">
        <f ca="1">IFERROR(__xludf.DUMMYFUNCTION("""COMPUTED_VALUE""")," 1-K-2023-147 ")</f>
        <v xml:space="preserve"> 1-K-2023-147 </v>
      </c>
      <c r="E50" s="16" t="str">
        <f ca="1">IFERROR(__xludf.DUMMYFUNCTION("""COMPUTED_VALUE""")," Con Giro por Anticipo ")</f>
        <v xml:space="preserve"> Con Giro por Anticipo </v>
      </c>
      <c r="F50" s="17">
        <f ca="1">IFERROR(__xludf.DUMMYFUNCTION("""COMPUTED_VALUE"""),45321)</f>
        <v>45321</v>
      </c>
      <c r="G50" s="16">
        <f ca="1">IFERROR(__xludf.DUMMYFUNCTION("""COMPUTED_VALUE"""),151000000)</f>
        <v>151000000</v>
      </c>
      <c r="H50" s="16" t="str">
        <f ca="1">IFERROR(__xludf.DUMMYFUNCTION("""COMPUTED_VALUE""")," Con Giro por Anticipo ")</f>
        <v xml:space="preserve"> Con Giro por Anticipo </v>
      </c>
      <c r="I50" s="16">
        <f ca="1">IFERROR(__xludf.DUMMYFUNCTION("""COMPUTED_VALUE"""),147441721)</f>
        <v>147441721</v>
      </c>
      <c r="J50" s="83" t="s">
        <v>48</v>
      </c>
      <c r="K50" s="16">
        <f ca="1">IFERROR(__xludf.DUMMYFUNCTION("""COMPUTED_VALUE"""),75280714)</f>
        <v>75280714</v>
      </c>
      <c r="L50" s="16"/>
      <c r="M50" s="16"/>
      <c r="N50" s="21">
        <f ca="1">IFERROR(__xludf.DUMMYFUNCTION("""COMPUTED_VALUE"""),72161007)</f>
        <v>72161007</v>
      </c>
      <c r="O50" s="19"/>
      <c r="P50" s="19"/>
      <c r="Q50" s="19"/>
      <c r="R50" s="19"/>
      <c r="S50" s="19"/>
      <c r="T50" s="19"/>
      <c r="U50" s="19"/>
      <c r="V50" s="19"/>
      <c r="W50" s="20">
        <f ca="1">IFERROR(__xludf.DUMMYFUNCTION("""COMPUTED_VALUE"""),147441721)</f>
        <v>147441721</v>
      </c>
      <c r="X50" s="20" t="str">
        <f ca="1">IFERROR(__xludf.DUMMYFUNCTION("""COMPUTED_VALUE""")," MUNICIPALIDAD DE CURANILAHUE ")</f>
        <v xml:space="preserve"> MUNICIPALIDAD DE CURANILAHUE </v>
      </c>
    </row>
    <row r="51" spans="1:24" ht="15.75" customHeight="1" x14ac:dyDescent="0.25">
      <c r="A51" s="16" t="str">
        <f ca="1">IFERROR(__xludf.DUMMYFUNCTION("""COMPUTED_VALUE""")," REGIÓN DEL BIOBÍO ")</f>
        <v xml:space="preserve"> REGIÓN DEL BIOBÍO </v>
      </c>
      <c r="B51" s="16" t="str">
        <f t="shared" ca="1" si="0"/>
        <v xml:space="preserve"> CURANILAHUE </v>
      </c>
      <c r="C51" s="16" t="str">
        <f ca="1">IFERROR(__xludf.DUMMYFUNCTION("""COMPUTED_VALUE""")," MEJORAMIENTO MULTICANCHA COLICO NORTE ")</f>
        <v xml:space="preserve"> MEJORAMIENTO MULTICANCHA COLICO NORTE </v>
      </c>
      <c r="D51" s="16" t="str">
        <f ca="1">IFERROR(__xludf.DUMMYFUNCTION("""COMPUTED_VALUE""")," 1-K-2023-148 ")</f>
        <v xml:space="preserve"> 1-K-2023-148 </v>
      </c>
      <c r="E51" s="16" t="str">
        <f ca="1">IFERROR(__xludf.DUMMYFUNCTION("""COMPUTED_VALUE""")," Con Giro por Anticipo ")</f>
        <v xml:space="preserve"> Con Giro por Anticipo </v>
      </c>
      <c r="F51" s="17">
        <f ca="1">IFERROR(__xludf.DUMMYFUNCTION("""COMPUTED_VALUE"""),45321)</f>
        <v>45321</v>
      </c>
      <c r="G51" s="16">
        <f ca="1">IFERROR(__xludf.DUMMYFUNCTION("""COMPUTED_VALUE"""),152000000)</f>
        <v>152000000</v>
      </c>
      <c r="H51" s="16" t="str">
        <f ca="1">IFERROR(__xludf.DUMMYFUNCTION("""COMPUTED_VALUE""")," Con Giro por Anticipo ")</f>
        <v xml:space="preserve"> Con Giro por Anticipo </v>
      </c>
      <c r="I51" s="16">
        <f ca="1">IFERROR(__xludf.DUMMYFUNCTION("""COMPUTED_VALUE"""),148806021)</f>
        <v>148806021</v>
      </c>
      <c r="J51" s="83" t="s">
        <v>48</v>
      </c>
      <c r="K51" s="16">
        <f ca="1">IFERROR(__xludf.DUMMYFUNCTION("""COMPUTED_VALUE"""),75962864)</f>
        <v>75962864</v>
      </c>
      <c r="L51" s="16"/>
      <c r="M51" s="16"/>
      <c r="N51" s="21">
        <f ca="1">IFERROR(__xludf.DUMMYFUNCTION("""COMPUTED_VALUE"""),72843157)</f>
        <v>72843157</v>
      </c>
      <c r="O51" s="19"/>
      <c r="P51" s="19"/>
      <c r="Q51" s="19"/>
      <c r="R51" s="19"/>
      <c r="S51" s="19"/>
      <c r="T51" s="19"/>
      <c r="U51" s="19"/>
      <c r="V51" s="19"/>
      <c r="W51" s="20">
        <f ca="1">IFERROR(__xludf.DUMMYFUNCTION("""COMPUTED_VALUE"""),148806021)</f>
        <v>148806021</v>
      </c>
      <c r="X51" s="20" t="str">
        <f ca="1">IFERROR(__xludf.DUMMYFUNCTION("""COMPUTED_VALUE""")," MUNICIPALIDAD DE CURANILAHUE ")</f>
        <v xml:space="preserve"> MUNICIPALIDAD DE CURANILAHUE </v>
      </c>
    </row>
    <row r="52" spans="1:24" ht="15.75" customHeight="1" x14ac:dyDescent="0.25">
      <c r="A52" s="16" t="str">
        <f ca="1">IFERROR(__xludf.DUMMYFUNCTION("""COMPUTED_VALUE""")," REGIÓN DEL BIOBÍO ")</f>
        <v xml:space="preserve"> REGIÓN DEL BIOBÍO </v>
      </c>
      <c r="B52" s="16" t="str">
        <f t="shared" ca="1" si="0"/>
        <v xml:space="preserve"> CORONEL </v>
      </c>
      <c r="C52" s="16" t="str">
        <f ca="1">IFERROR(__xludf.DUMMYFUNCTION("""COMPUTED_VALUE""")," 1. REPOSICIÓN ACERAS EN CALLE VOLCÁN OSORNO ENTRE CALLES CERRO ALTO NEVADO Y CERRO EL PLOMO, POB. JORGE ALESSANDRI ")</f>
        <v xml:space="preserve"> 1. REPOSICIÓN ACERAS EN CALLE VOLCÁN OSORNO ENTRE CALLES CERRO ALTO NEVADO Y CERRO EL PLOMO, POB. JORGE ALESSANDRI </v>
      </c>
      <c r="D52" s="16" t="str">
        <f ca="1">IFERROR(__xludf.DUMMYFUNCTION("""COMPUTED_VALUE""")," 1-K-2023-149 ")</f>
        <v xml:space="preserve"> 1-K-2023-149 </v>
      </c>
      <c r="E52" s="16" t="str">
        <f ca="1">IFERROR(__xludf.DUMMYFUNCTION("""COMPUTED_VALUE""")," Con Giro por Anticipo ")</f>
        <v xml:space="preserve"> Con Giro por Anticipo </v>
      </c>
      <c r="F52" s="17">
        <f ca="1">IFERROR(__xludf.DUMMYFUNCTION("""COMPUTED_VALUE"""),45322)</f>
        <v>45322</v>
      </c>
      <c r="G52" s="16">
        <f ca="1">IFERROR(__xludf.DUMMYFUNCTION("""COMPUTED_VALUE"""),49652269)</f>
        <v>49652269</v>
      </c>
      <c r="H52" s="16" t="str">
        <f ca="1">IFERROR(__xludf.DUMMYFUNCTION("""COMPUTED_VALUE""")," Con Giro por Anticipo ")</f>
        <v xml:space="preserve"> Con Giro por Anticipo </v>
      </c>
      <c r="I52" s="16">
        <f ca="1">IFERROR(__xludf.DUMMYFUNCTION("""COMPUTED_VALUE"""),49652269)</f>
        <v>49652269</v>
      </c>
      <c r="J52" s="83" t="s">
        <v>48</v>
      </c>
      <c r="K52" s="16">
        <f ca="1">IFERROR(__xludf.DUMMYFUNCTION("""COMPUTED_VALUE"""),24826135)</f>
        <v>24826135</v>
      </c>
      <c r="L52" s="16"/>
      <c r="M52" s="16"/>
      <c r="N52" s="21">
        <f ca="1">IFERROR(__xludf.DUMMYFUNCTION("""COMPUTED_VALUE"""),24826134)</f>
        <v>24826134</v>
      </c>
      <c r="O52" s="19"/>
      <c r="P52" s="19"/>
      <c r="Q52" s="19"/>
      <c r="R52" s="19"/>
      <c r="S52" s="19"/>
      <c r="T52" s="19"/>
      <c r="U52" s="19"/>
      <c r="V52" s="19"/>
      <c r="W52" s="20">
        <f ca="1">IFERROR(__xludf.DUMMYFUNCTION("""COMPUTED_VALUE"""),49652269)</f>
        <v>49652269</v>
      </c>
      <c r="X52" s="20" t="str">
        <f ca="1">IFERROR(__xludf.DUMMYFUNCTION("""COMPUTED_VALUE""")," MUNICIPALIDAD DE CORONEL ")</f>
        <v xml:space="preserve"> MUNICIPALIDAD DE CORONEL </v>
      </c>
    </row>
    <row r="53" spans="1:24" ht="15.75" customHeight="1" x14ac:dyDescent="0.25">
      <c r="A53" s="16" t="str">
        <f ca="1">IFERROR(__xludf.DUMMYFUNCTION("""COMPUTED_VALUE""")," REGIÓN DEL BIOBÍO ")</f>
        <v xml:space="preserve"> REGIÓN DEL BIOBÍO </v>
      </c>
      <c r="B53" s="16" t="str">
        <f t="shared" ca="1" si="0"/>
        <v xml:space="preserve"> CORONEL </v>
      </c>
      <c r="C53" s="16" t="str">
        <f ca="1">IFERROR(__xludf.DUMMYFUNCTION("""COMPUTED_VALUE""")," 2. REPOSICIÓN ACERAS EN CALLE VOLCÁN LONQUIMAY ENTRE CALLES CERRO EL PLOMO Y CERRO ALTO NEVADO, POB. JORGE ALESSANDRI. ")</f>
        <v xml:space="preserve"> 2. REPOSICIÓN ACERAS EN CALLE VOLCÁN LONQUIMAY ENTRE CALLES CERRO EL PLOMO Y CERRO ALTO NEVADO, POB. JORGE ALESSANDRI. </v>
      </c>
      <c r="D53" s="16" t="str">
        <f ca="1">IFERROR(__xludf.DUMMYFUNCTION("""COMPUTED_VALUE""")," 1-K-2023-150 ")</f>
        <v xml:space="preserve"> 1-K-2023-150 </v>
      </c>
      <c r="E53" s="16" t="str">
        <f ca="1">IFERROR(__xludf.DUMMYFUNCTION("""COMPUTED_VALUE""")," Con Giro por Anticipo ")</f>
        <v xml:space="preserve"> Con Giro por Anticipo </v>
      </c>
      <c r="F53" s="17">
        <f ca="1">IFERROR(__xludf.DUMMYFUNCTION("""COMPUTED_VALUE"""),45322)</f>
        <v>45322</v>
      </c>
      <c r="G53" s="16">
        <f ca="1">IFERROR(__xludf.DUMMYFUNCTION("""COMPUTED_VALUE"""),85839611)</f>
        <v>85839611</v>
      </c>
      <c r="H53" s="16" t="str">
        <f ca="1">IFERROR(__xludf.DUMMYFUNCTION("""COMPUTED_VALUE""")," Con Giro por Anticipo ")</f>
        <v xml:space="preserve"> Con Giro por Anticipo </v>
      </c>
      <c r="I53" s="16">
        <f ca="1">IFERROR(__xludf.DUMMYFUNCTION("""COMPUTED_VALUE"""),82710520)</f>
        <v>82710520</v>
      </c>
      <c r="J53" s="83" t="s">
        <v>48</v>
      </c>
      <c r="K53" s="16">
        <f ca="1">IFERROR(__xludf.DUMMYFUNCTION("""COMPUTED_VALUE"""),42919806)</f>
        <v>42919806</v>
      </c>
      <c r="L53" s="16"/>
      <c r="M53" s="16"/>
      <c r="N53" s="21">
        <f ca="1">IFERROR(__xludf.DUMMYFUNCTION("""COMPUTED_VALUE"""),39790714)</f>
        <v>39790714</v>
      </c>
      <c r="O53" s="19"/>
      <c r="P53" s="19"/>
      <c r="Q53" s="19"/>
      <c r="R53" s="19"/>
      <c r="S53" s="19"/>
      <c r="T53" s="19"/>
      <c r="U53" s="19"/>
      <c r="V53" s="19"/>
      <c r="W53" s="20">
        <f ca="1">IFERROR(__xludf.DUMMYFUNCTION("""COMPUTED_VALUE"""),82710520)</f>
        <v>82710520</v>
      </c>
      <c r="X53" s="20" t="str">
        <f ca="1">IFERROR(__xludf.DUMMYFUNCTION("""COMPUTED_VALUE""")," MUNICIPALIDAD DE CORONEL ")</f>
        <v xml:space="preserve"> MUNICIPALIDAD DE CORONEL </v>
      </c>
    </row>
    <row r="54" spans="1:24" ht="15.75" customHeight="1" x14ac:dyDescent="0.25">
      <c r="A54" s="16" t="str">
        <f ca="1">IFERROR(__xludf.DUMMYFUNCTION("""COMPUTED_VALUE""")," REGIÓN DEL BIOBÍO ")</f>
        <v xml:space="preserve"> REGIÓN DEL BIOBÍO </v>
      </c>
      <c r="B54" s="16" t="str">
        <f t="shared" ca="1" si="0"/>
        <v xml:space="preserve"> CORONEL </v>
      </c>
      <c r="C54" s="16" t="str">
        <f ca="1">IFERROR(__xludf.DUMMYFUNCTION("""COMPUTED_VALUE""")," 3. REPOSICIÓN ACERAS EN CALLE LOS NOGALES ENTRE CALLES LAS ENCINAS Y LOS ALERCES, POB. LAGUNILLAS. ")</f>
        <v xml:space="preserve"> 3. REPOSICIÓN ACERAS EN CALLE LOS NOGALES ENTRE CALLES LAS ENCINAS Y LOS ALERCES, POB. LAGUNILLAS. </v>
      </c>
      <c r="D54" s="16" t="str">
        <f ca="1">IFERROR(__xludf.DUMMYFUNCTION("""COMPUTED_VALUE""")," 1-K-2023-151 ")</f>
        <v xml:space="preserve"> 1-K-2023-151 </v>
      </c>
      <c r="E54" s="16" t="str">
        <f ca="1">IFERROR(__xludf.DUMMYFUNCTION("""COMPUTED_VALUE""")," Con Giro por Anticipo ")</f>
        <v xml:space="preserve"> Con Giro por Anticipo </v>
      </c>
      <c r="F54" s="17">
        <f ca="1">IFERROR(__xludf.DUMMYFUNCTION("""COMPUTED_VALUE"""),45322)</f>
        <v>45322</v>
      </c>
      <c r="G54" s="16">
        <f ca="1">IFERROR(__xludf.DUMMYFUNCTION("""COMPUTED_VALUE"""),149000000)</f>
        <v>149000000</v>
      </c>
      <c r="H54" s="16" t="str">
        <f ca="1">IFERROR(__xludf.DUMMYFUNCTION("""COMPUTED_VALUE""")," Con Giro por Anticipo ")</f>
        <v xml:space="preserve"> Con Giro por Anticipo </v>
      </c>
      <c r="I54" s="16">
        <f ca="1">IFERROR(__xludf.DUMMYFUNCTION("""COMPUTED_VALUE"""),146364630)</f>
        <v>146364630</v>
      </c>
      <c r="J54" s="83" t="s">
        <v>48</v>
      </c>
      <c r="K54" s="16">
        <f ca="1">IFERROR(__xludf.DUMMYFUNCTION("""COMPUTED_VALUE"""),74746861)</f>
        <v>74746861</v>
      </c>
      <c r="L54" s="16"/>
      <c r="M54" s="16"/>
      <c r="N54" s="21">
        <f ca="1">IFERROR(__xludf.DUMMYFUNCTION("""COMPUTED_VALUE"""),71617769)</f>
        <v>71617769</v>
      </c>
      <c r="O54" s="19"/>
      <c r="P54" s="19"/>
      <c r="Q54" s="19"/>
      <c r="R54" s="19"/>
      <c r="S54" s="19"/>
      <c r="T54" s="19"/>
      <c r="U54" s="19"/>
      <c r="V54" s="19"/>
      <c r="W54" s="20">
        <f ca="1">IFERROR(__xludf.DUMMYFUNCTION("""COMPUTED_VALUE"""),146364630)</f>
        <v>146364630</v>
      </c>
      <c r="X54" s="20" t="str">
        <f ca="1">IFERROR(__xludf.DUMMYFUNCTION("""COMPUTED_VALUE""")," MUNICIPALIDAD DE CORONEL ")</f>
        <v xml:space="preserve"> MUNICIPALIDAD DE CORONEL </v>
      </c>
    </row>
    <row r="55" spans="1:24" ht="15.75" customHeight="1" x14ac:dyDescent="0.25">
      <c r="A55" s="16" t="str">
        <f ca="1">IFERROR(__xludf.DUMMYFUNCTION("""COMPUTED_VALUE""")," REGIÓN DEL BIOBÍO ")</f>
        <v xml:space="preserve"> REGIÓN DEL BIOBÍO </v>
      </c>
      <c r="B55" s="16" t="str">
        <f t="shared" ca="1" si="0"/>
        <v xml:space="preserve"> CORONEL </v>
      </c>
      <c r="C55" s="16" t="str">
        <f ca="1">IFERROR(__xludf.DUMMYFUNCTION("""COMPUTED_VALUE""")," 4. REPOSICIÓN ACERAS EN CALLE CERRO EL PLOMO ENTRE CALLES VOLCÁN OSORNO Y VOLCÁN LONQUIMAY, POB. JORGE ALESSANDRI. ")</f>
        <v xml:space="preserve"> 4. REPOSICIÓN ACERAS EN CALLE CERRO EL PLOMO ENTRE CALLES VOLCÁN OSORNO Y VOLCÁN LONQUIMAY, POB. JORGE ALESSANDRI. </v>
      </c>
      <c r="D55" s="16" t="str">
        <f ca="1">IFERROR(__xludf.DUMMYFUNCTION("""COMPUTED_VALUE""")," 1-K-2023-152 ")</f>
        <v xml:space="preserve"> 1-K-2023-152 </v>
      </c>
      <c r="E55" s="16" t="str">
        <f ca="1">IFERROR(__xludf.DUMMYFUNCTION("""COMPUTED_VALUE""")," Con Giro por Anticipo ")</f>
        <v xml:space="preserve"> Con Giro por Anticipo </v>
      </c>
      <c r="F55" s="17">
        <f ca="1">IFERROR(__xludf.DUMMYFUNCTION("""COMPUTED_VALUE"""),45322)</f>
        <v>45322</v>
      </c>
      <c r="G55" s="16">
        <f ca="1">IFERROR(__xludf.DUMMYFUNCTION("""COMPUTED_VALUE"""),153000000)</f>
        <v>153000000</v>
      </c>
      <c r="H55" s="16" t="str">
        <f ca="1">IFERROR(__xludf.DUMMYFUNCTION("""COMPUTED_VALUE""")," Con Giro por Anticipo ")</f>
        <v xml:space="preserve"> Con Giro por Anticipo </v>
      </c>
      <c r="I55" s="16">
        <f ca="1">IFERROR(__xludf.DUMMYFUNCTION("""COMPUTED_VALUE"""),149639136)</f>
        <v>149639136</v>
      </c>
      <c r="J55" s="83" t="s">
        <v>48</v>
      </c>
      <c r="K55" s="16">
        <f ca="1">IFERROR(__xludf.DUMMYFUNCTION("""COMPUTED_VALUE"""),76384114)</f>
        <v>76384114</v>
      </c>
      <c r="L55" s="16"/>
      <c r="M55" s="16"/>
      <c r="N55" s="21">
        <f ca="1">IFERROR(__xludf.DUMMYFUNCTION("""COMPUTED_VALUE"""),73255022)</f>
        <v>73255022</v>
      </c>
      <c r="O55" s="19"/>
      <c r="P55" s="19"/>
      <c r="Q55" s="19"/>
      <c r="R55" s="19"/>
      <c r="S55" s="19"/>
      <c r="T55" s="19"/>
      <c r="U55" s="19"/>
      <c r="V55" s="19"/>
      <c r="W55" s="20">
        <f ca="1">IFERROR(__xludf.DUMMYFUNCTION("""COMPUTED_VALUE"""),149639136)</f>
        <v>149639136</v>
      </c>
      <c r="X55" s="20" t="str">
        <f ca="1">IFERROR(__xludf.DUMMYFUNCTION("""COMPUTED_VALUE""")," MUNICIPALIDAD DE CORONEL ")</f>
        <v xml:space="preserve"> MUNICIPALIDAD DE CORONEL </v>
      </c>
    </row>
    <row r="56" spans="1:24" ht="15.75" customHeight="1" x14ac:dyDescent="0.25">
      <c r="A56" s="16" t="str">
        <f ca="1">IFERROR(__xludf.DUMMYFUNCTION("""COMPUTED_VALUE""")," REGIÓN DEL BIOBÍO ")</f>
        <v xml:space="preserve"> REGIÓN DEL BIOBÍO </v>
      </c>
      <c r="B56" s="16" t="str">
        <f t="shared" ca="1" si="0"/>
        <v xml:space="preserve"> CORONEL </v>
      </c>
      <c r="C56" s="16" t="str">
        <f ca="1">IFERROR(__xludf.DUMMYFUNCTION("""COMPUTED_VALUE""")," 5. REPOSICIÓN ACERAS EN CALLE VOLCÁN PUYEHUE ENTRE CALLES VOLCÁN OSORNO Y VOLCÁN YATES, POB. JORGE ALESSANDRI. ")</f>
        <v xml:space="preserve"> 5. REPOSICIÓN ACERAS EN CALLE VOLCÁN PUYEHUE ENTRE CALLES VOLCÁN OSORNO Y VOLCÁN YATES, POB. JORGE ALESSANDRI. </v>
      </c>
      <c r="D56" s="16" t="str">
        <f ca="1">IFERROR(__xludf.DUMMYFUNCTION("""COMPUTED_VALUE""")," 1-K-2023-153 ")</f>
        <v xml:space="preserve"> 1-K-2023-153 </v>
      </c>
      <c r="E56" s="16" t="str">
        <f ca="1">IFERROR(__xludf.DUMMYFUNCTION("""COMPUTED_VALUE""")," Con Giro por Anticipo ")</f>
        <v xml:space="preserve"> Con Giro por Anticipo </v>
      </c>
      <c r="F56" s="17">
        <f ca="1">IFERROR(__xludf.DUMMYFUNCTION("""COMPUTED_VALUE"""),45322)</f>
        <v>45322</v>
      </c>
      <c r="G56" s="16">
        <f ca="1">IFERROR(__xludf.DUMMYFUNCTION("""COMPUTED_VALUE"""),85786907)</f>
        <v>85786907</v>
      </c>
      <c r="H56" s="16" t="str">
        <f ca="1">IFERROR(__xludf.DUMMYFUNCTION("""COMPUTED_VALUE""")," Con Giro por Anticipo ")</f>
        <v xml:space="preserve"> Con Giro por Anticipo </v>
      </c>
      <c r="I56" s="16">
        <f ca="1">IFERROR(__xludf.DUMMYFUNCTION("""COMPUTED_VALUE"""),85786907)</f>
        <v>85786907</v>
      </c>
      <c r="J56" s="83" t="s">
        <v>48</v>
      </c>
      <c r="K56" s="16">
        <f ca="1">IFERROR(__xludf.DUMMYFUNCTION("""COMPUTED_VALUE"""),42893454)</f>
        <v>42893454</v>
      </c>
      <c r="L56" s="16"/>
      <c r="M56" s="16"/>
      <c r="N56" s="21">
        <f ca="1">IFERROR(__xludf.DUMMYFUNCTION("""COMPUTED_VALUE"""),42893453)</f>
        <v>42893453</v>
      </c>
      <c r="O56" s="19"/>
      <c r="P56" s="19"/>
      <c r="Q56" s="19"/>
      <c r="R56" s="19"/>
      <c r="S56" s="19"/>
      <c r="T56" s="19"/>
      <c r="U56" s="19"/>
      <c r="V56" s="19"/>
      <c r="W56" s="20">
        <f ca="1">IFERROR(__xludf.DUMMYFUNCTION("""COMPUTED_VALUE"""),85786907)</f>
        <v>85786907</v>
      </c>
      <c r="X56" s="20" t="str">
        <f ca="1">IFERROR(__xludf.DUMMYFUNCTION("""COMPUTED_VALUE""")," MUNICIPALIDAD DE CORONEL ")</f>
        <v xml:space="preserve"> MUNICIPALIDAD DE CORONEL </v>
      </c>
    </row>
    <row r="57" spans="1:24" ht="15.75" customHeight="1" x14ac:dyDescent="0.25">
      <c r="A57" s="16" t="str">
        <f ca="1">IFERROR(__xludf.DUMMYFUNCTION("""COMPUTED_VALUE""")," REGIÓN DEL BIOBÍO ")</f>
        <v xml:space="preserve"> REGIÓN DEL BIOBÍO </v>
      </c>
      <c r="B57" s="16" t="str">
        <f t="shared" ca="1" si="0"/>
        <v xml:space="preserve"> CORONEL </v>
      </c>
      <c r="C57" s="16" t="str">
        <f ca="1">IFERROR(__xludf.DUMMYFUNCTION("""COMPUTED_VALUE""")," 6. REPOSICIÓN ACERAS EN CALLE CERRO ALTO NEVADO ENTRE CALLES VOLCÁN LONQUIMAY Y VOLCÁN OSORNO, POB. JORGE ALESSANDRI. ")</f>
        <v xml:space="preserve"> 6. REPOSICIÓN ACERAS EN CALLE CERRO ALTO NEVADO ENTRE CALLES VOLCÁN LONQUIMAY Y VOLCÁN OSORNO, POB. JORGE ALESSANDRI. </v>
      </c>
      <c r="D57" s="16" t="str">
        <f ca="1">IFERROR(__xludf.DUMMYFUNCTION("""COMPUTED_VALUE""")," 1-K-2023-154 ")</f>
        <v xml:space="preserve"> 1-K-2023-154 </v>
      </c>
      <c r="E57" s="16" t="str">
        <f ca="1">IFERROR(__xludf.DUMMYFUNCTION("""COMPUTED_VALUE""")," Con Giro por Anticipo ")</f>
        <v xml:space="preserve"> Con Giro por Anticipo </v>
      </c>
      <c r="F57" s="17">
        <f ca="1">IFERROR(__xludf.DUMMYFUNCTION("""COMPUTED_VALUE"""),45322)</f>
        <v>45322</v>
      </c>
      <c r="G57" s="16">
        <f ca="1">IFERROR(__xludf.DUMMYFUNCTION("""COMPUTED_VALUE"""),153000000)</f>
        <v>153000000</v>
      </c>
      <c r="H57" s="16" t="str">
        <f ca="1">IFERROR(__xludf.DUMMYFUNCTION("""COMPUTED_VALUE""")," Con Giro por Anticipo ")</f>
        <v xml:space="preserve"> Con Giro por Anticipo </v>
      </c>
      <c r="I57" s="16">
        <f ca="1">IFERROR(__xludf.DUMMYFUNCTION("""COMPUTED_VALUE"""),150291399)</f>
        <v>150291399</v>
      </c>
      <c r="J57" s="83" t="s">
        <v>48</v>
      </c>
      <c r="K57" s="16">
        <f ca="1">IFERROR(__xludf.DUMMYFUNCTION("""COMPUTED_VALUE"""),76710245)</f>
        <v>76710245</v>
      </c>
      <c r="L57" s="16"/>
      <c r="M57" s="16"/>
      <c r="N57" s="21">
        <f ca="1">IFERROR(__xludf.DUMMYFUNCTION("""COMPUTED_VALUE"""),73581154)</f>
        <v>73581154</v>
      </c>
      <c r="O57" s="19"/>
      <c r="P57" s="19"/>
      <c r="Q57" s="19"/>
      <c r="R57" s="19"/>
      <c r="S57" s="19"/>
      <c r="T57" s="19"/>
      <c r="U57" s="19"/>
      <c r="V57" s="19"/>
      <c r="W57" s="20">
        <f ca="1">IFERROR(__xludf.DUMMYFUNCTION("""COMPUTED_VALUE"""),150291399)</f>
        <v>150291399</v>
      </c>
      <c r="X57" s="20" t="str">
        <f ca="1">IFERROR(__xludf.DUMMYFUNCTION("""COMPUTED_VALUE""")," MUNICIPALIDAD DE CORONEL ")</f>
        <v xml:space="preserve"> MUNICIPALIDAD DE CORONEL </v>
      </c>
    </row>
    <row r="58" spans="1:24" ht="15.75" customHeight="1" x14ac:dyDescent="0.25">
      <c r="A58" s="16" t="str">
        <f ca="1">IFERROR(__xludf.DUMMYFUNCTION("""COMPUTED_VALUE""")," REGIÓN DEL BIOBÍO ")</f>
        <v xml:space="preserve"> REGIÓN DEL BIOBÍO </v>
      </c>
      <c r="B58" s="16" t="str">
        <f t="shared" ca="1" si="0"/>
        <v xml:space="preserve"> CORONEL </v>
      </c>
      <c r="C58" s="16" t="str">
        <f ca="1">IFERROR(__xludf.DUMMYFUNCTION("""COMPUTED_VALUE""")," 7. REPOSICIÓN ACERAS EN CALLE VOLCÁN PUYEHUE ENTRE CALLES VOLCÁN CALBUCO Y VOLCÁN LOS DIAGUITAS, POB. JORGE ALESSANDRI. ")</f>
        <v xml:space="preserve"> 7. REPOSICIÓN ACERAS EN CALLE VOLCÁN PUYEHUE ENTRE CALLES VOLCÁN CALBUCO Y VOLCÁN LOS DIAGUITAS, POB. JORGE ALESSANDRI. </v>
      </c>
      <c r="D58" s="16" t="str">
        <f ca="1">IFERROR(__xludf.DUMMYFUNCTION("""COMPUTED_VALUE""")," 1-K-2023-155 ")</f>
        <v xml:space="preserve"> 1-K-2023-155 </v>
      </c>
      <c r="E58" s="16" t="str">
        <f ca="1">IFERROR(__xludf.DUMMYFUNCTION("""COMPUTED_VALUE""")," Con Giro por Anticipo ")</f>
        <v xml:space="preserve"> Con Giro por Anticipo </v>
      </c>
      <c r="F58" s="17">
        <f ca="1">IFERROR(__xludf.DUMMYFUNCTION("""COMPUTED_VALUE"""),45321)</f>
        <v>45321</v>
      </c>
      <c r="G58" s="16">
        <f ca="1">IFERROR(__xludf.DUMMYFUNCTION("""COMPUTED_VALUE"""),85941708)</f>
        <v>85941708</v>
      </c>
      <c r="H58" s="16" t="str">
        <f ca="1">IFERROR(__xludf.DUMMYFUNCTION("""COMPUTED_VALUE""")," Con Giro por Anticipo ")</f>
        <v xml:space="preserve"> Con Giro por Anticipo </v>
      </c>
      <c r="I58" s="16">
        <f ca="1">IFERROR(__xludf.DUMMYFUNCTION("""COMPUTED_VALUE"""),82812617)</f>
        <v>82812617</v>
      </c>
      <c r="J58" s="83" t="s">
        <v>48</v>
      </c>
      <c r="K58" s="16">
        <f ca="1">IFERROR(__xludf.DUMMYFUNCTION("""COMPUTED_VALUE"""),42970854)</f>
        <v>42970854</v>
      </c>
      <c r="L58" s="16"/>
      <c r="M58" s="16"/>
      <c r="N58" s="21">
        <f ca="1">IFERROR(__xludf.DUMMYFUNCTION("""COMPUTED_VALUE"""),39841763)</f>
        <v>39841763</v>
      </c>
      <c r="O58" s="19"/>
      <c r="P58" s="19"/>
      <c r="Q58" s="19"/>
      <c r="R58" s="19"/>
      <c r="S58" s="19"/>
      <c r="T58" s="19"/>
      <c r="U58" s="19"/>
      <c r="V58" s="19"/>
      <c r="W58" s="20">
        <f ca="1">IFERROR(__xludf.DUMMYFUNCTION("""COMPUTED_VALUE"""),82812617)</f>
        <v>82812617</v>
      </c>
      <c r="X58" s="20" t="str">
        <f ca="1">IFERROR(__xludf.DUMMYFUNCTION("""COMPUTED_VALUE""")," MUNICIPALIDAD DE CORONEL ")</f>
        <v xml:space="preserve"> MUNICIPALIDAD DE CORONEL </v>
      </c>
    </row>
    <row r="59" spans="1:24" ht="15.75" customHeight="1" x14ac:dyDescent="0.25">
      <c r="A59" s="16" t="str">
        <f ca="1">IFERROR(__xludf.DUMMYFUNCTION("""COMPUTED_VALUE""")," REGIÓN DEL BIOBÍO ")</f>
        <v xml:space="preserve"> REGIÓN DEL BIOBÍO </v>
      </c>
      <c r="B59" s="16" t="str">
        <f t="shared" ca="1" si="0"/>
        <v xml:space="preserve"> CORONEL </v>
      </c>
      <c r="C59" s="16" t="str">
        <f ca="1">IFERROR(__xludf.DUMMYFUNCTION("""COMPUTED_VALUE""")," 8. REPOSICIÓN CIERRE PERIMETRAL MULTICANCHA VILLA LA POSADA DE CALLE LA ARAUCANA CON CATRILEO. ")</f>
        <v xml:space="preserve"> 8. REPOSICIÓN CIERRE PERIMETRAL MULTICANCHA VILLA LA POSADA DE CALLE LA ARAUCANA CON CATRILEO. </v>
      </c>
      <c r="D59" s="16" t="str">
        <f ca="1">IFERROR(__xludf.DUMMYFUNCTION("""COMPUTED_VALUE""")," 1-K-2023-156 ")</f>
        <v xml:space="preserve"> 1-K-2023-156 </v>
      </c>
      <c r="E59" s="16" t="str">
        <f ca="1">IFERROR(__xludf.DUMMYFUNCTION("""COMPUTED_VALUE""")," Con Giro por Anticipo ")</f>
        <v xml:space="preserve"> Con Giro por Anticipo </v>
      </c>
      <c r="F59" s="17">
        <f ca="1">IFERROR(__xludf.DUMMYFUNCTION("""COMPUTED_VALUE"""),45322)</f>
        <v>45322</v>
      </c>
      <c r="G59" s="16">
        <f ca="1">IFERROR(__xludf.DUMMYFUNCTION("""COMPUTED_VALUE"""),88277632)</f>
        <v>88277632</v>
      </c>
      <c r="H59" s="16" t="str">
        <f ca="1">IFERROR(__xludf.DUMMYFUNCTION("""COMPUTED_VALUE""")," Con Giro por Anticipo ")</f>
        <v xml:space="preserve"> Con Giro por Anticipo </v>
      </c>
      <c r="I59" s="16">
        <f ca="1">IFERROR(__xludf.DUMMYFUNCTION("""COMPUTED_VALUE"""),82019450)</f>
        <v>82019450</v>
      </c>
      <c r="J59" s="83" t="s">
        <v>48</v>
      </c>
      <c r="K59" s="16">
        <f ca="1">IFERROR(__xludf.DUMMYFUNCTION("""COMPUTED_VALUE"""),44138816)</f>
        <v>44138816</v>
      </c>
      <c r="L59" s="16"/>
      <c r="M59" s="16"/>
      <c r="N59" s="21">
        <f ca="1">IFERROR(__xludf.DUMMYFUNCTION("""COMPUTED_VALUE"""),37880634)</f>
        <v>37880634</v>
      </c>
      <c r="O59" s="19"/>
      <c r="P59" s="19"/>
      <c r="Q59" s="19"/>
      <c r="R59" s="19"/>
      <c r="S59" s="19"/>
      <c r="T59" s="19"/>
      <c r="U59" s="19"/>
      <c r="V59" s="19"/>
      <c r="W59" s="20">
        <f ca="1">IFERROR(__xludf.DUMMYFUNCTION("""COMPUTED_VALUE"""),82019450)</f>
        <v>82019450</v>
      </c>
      <c r="X59" s="20" t="str">
        <f ca="1">IFERROR(__xludf.DUMMYFUNCTION("""COMPUTED_VALUE""")," MUNICIPALIDAD DE CORONEL ")</f>
        <v xml:space="preserve"> MUNICIPALIDAD DE CORONEL </v>
      </c>
    </row>
    <row r="60" spans="1:24" ht="15.75" customHeight="1" x14ac:dyDescent="0.25">
      <c r="A60" s="16" t="str">
        <f ca="1">IFERROR(__xludf.DUMMYFUNCTION("""COMPUTED_VALUE""")," REGIÓN DEL BIOBÍO ")</f>
        <v xml:space="preserve"> REGIÓN DEL BIOBÍO </v>
      </c>
      <c r="B60" s="16" t="str">
        <f t="shared" ca="1" si="0"/>
        <v xml:space="preserve"> CORONEL </v>
      </c>
      <c r="C60" s="16" t="str">
        <f ca="1">IFERROR(__xludf.DUMMYFUNCTION("""COMPUTED_VALUE""")," 9. REPOSICIÓN ACERAS EN CALLE LOS POLVOREROS ENTRE CALLES FAYAMAN Y LAS CHARRAS, POB. O´HIGGINS. ")</f>
        <v xml:space="preserve"> 9. REPOSICIÓN ACERAS EN CALLE LOS POLVOREROS ENTRE CALLES FAYAMAN Y LAS CHARRAS, POB. O´HIGGINS. </v>
      </c>
      <c r="D60" s="16" t="str">
        <f ca="1">IFERROR(__xludf.DUMMYFUNCTION("""COMPUTED_VALUE""")," 1-K-2023-157 ")</f>
        <v xml:space="preserve"> 1-K-2023-157 </v>
      </c>
      <c r="E60" s="16" t="str">
        <f ca="1">IFERROR(__xludf.DUMMYFUNCTION("""COMPUTED_VALUE""")," Con Giro por Anticipo ")</f>
        <v xml:space="preserve"> Con Giro por Anticipo </v>
      </c>
      <c r="F60" s="17">
        <f ca="1">IFERROR(__xludf.DUMMYFUNCTION("""COMPUTED_VALUE"""),45322)</f>
        <v>45322</v>
      </c>
      <c r="G60" s="16">
        <f ca="1">IFERROR(__xludf.DUMMYFUNCTION("""COMPUTED_VALUE"""),84220313)</f>
        <v>84220313</v>
      </c>
      <c r="H60" s="16" t="str">
        <f ca="1">IFERROR(__xludf.DUMMYFUNCTION("""COMPUTED_VALUE""")," Con Giro por Anticipo ")</f>
        <v xml:space="preserve"> Con Giro por Anticipo </v>
      </c>
      <c r="I60" s="16">
        <f ca="1">IFERROR(__xludf.DUMMYFUNCTION("""COMPUTED_VALUE"""),84220313)</f>
        <v>84220313</v>
      </c>
      <c r="J60" s="83" t="s">
        <v>48</v>
      </c>
      <c r="K60" s="16">
        <f ca="1">IFERROR(__xludf.DUMMYFUNCTION("""COMPUTED_VALUE"""),42110157)</f>
        <v>42110157</v>
      </c>
      <c r="L60" s="16"/>
      <c r="M60" s="16"/>
      <c r="N60" s="21">
        <f ca="1">IFERROR(__xludf.DUMMYFUNCTION("""COMPUTED_VALUE"""),42110156)</f>
        <v>42110156</v>
      </c>
      <c r="O60" s="19"/>
      <c r="P60" s="19"/>
      <c r="Q60" s="19"/>
      <c r="R60" s="19"/>
      <c r="S60" s="19"/>
      <c r="T60" s="19"/>
      <c r="U60" s="19"/>
      <c r="V60" s="19"/>
      <c r="W60" s="20">
        <f ca="1">IFERROR(__xludf.DUMMYFUNCTION("""COMPUTED_VALUE"""),84220313)</f>
        <v>84220313</v>
      </c>
      <c r="X60" s="20" t="str">
        <f ca="1">IFERROR(__xludf.DUMMYFUNCTION("""COMPUTED_VALUE""")," MUNICIPALIDAD DE CORONEL ")</f>
        <v xml:space="preserve"> MUNICIPALIDAD DE CORONEL </v>
      </c>
    </row>
    <row r="61" spans="1:24" ht="15.75" customHeight="1" x14ac:dyDescent="0.25">
      <c r="A61" s="16" t="str">
        <f ca="1">IFERROR(__xludf.DUMMYFUNCTION("""COMPUTED_VALUE""")," REGIÓN DEL BIOBÍO ")</f>
        <v xml:space="preserve"> REGIÓN DEL BIOBÍO </v>
      </c>
      <c r="B61" s="16" t="str">
        <f t="shared" ca="1" si="0"/>
        <v xml:space="preserve"> CORONEL </v>
      </c>
      <c r="C61" s="16" t="str">
        <f ca="1">IFERROR(__xludf.DUMMYFUNCTION("""COMPUTED_VALUE""")," 10. REPOSICIÓN ACERAS EN CALLE VOLCÁN PUYEHUE ENTRE CALLES VOLCÁN SAN PEDRO Y VOLCÁN LONQUIMAY, POB. JORGE ALESSANDRI. ")</f>
        <v xml:space="preserve"> 10. REPOSICIÓN ACERAS EN CALLE VOLCÁN PUYEHUE ENTRE CALLES VOLCÁN SAN PEDRO Y VOLCÁN LONQUIMAY, POB. JORGE ALESSANDRI. </v>
      </c>
      <c r="D61" s="16" t="str">
        <f ca="1">IFERROR(__xludf.DUMMYFUNCTION("""COMPUTED_VALUE""")," 1-K-2023-158 ")</f>
        <v xml:space="preserve"> 1-K-2023-158 </v>
      </c>
      <c r="E61" s="16" t="str">
        <f ca="1">IFERROR(__xludf.DUMMYFUNCTION("""COMPUTED_VALUE""")," Con Giro por Anticipo ")</f>
        <v xml:space="preserve"> Con Giro por Anticipo </v>
      </c>
      <c r="F61" s="17">
        <f ca="1">IFERROR(__xludf.DUMMYFUNCTION("""COMPUTED_VALUE"""),45322)</f>
        <v>45322</v>
      </c>
      <c r="G61" s="16">
        <f ca="1">IFERROR(__xludf.DUMMYFUNCTION("""COMPUTED_VALUE"""),149000000)</f>
        <v>149000000</v>
      </c>
      <c r="H61" s="16" t="str">
        <f ca="1">IFERROR(__xludf.DUMMYFUNCTION("""COMPUTED_VALUE""")," Con Giro por Anticipo ")</f>
        <v xml:space="preserve"> Con Giro por Anticipo </v>
      </c>
      <c r="I61" s="16">
        <f ca="1">IFERROR(__xludf.DUMMYFUNCTION("""COMPUTED_VALUE"""),148808740)</f>
        <v>148808740</v>
      </c>
      <c r="J61" s="83" t="s">
        <v>48</v>
      </c>
      <c r="K61" s="16">
        <f ca="1">IFERROR(__xludf.DUMMYFUNCTION("""COMPUTED_VALUE"""),74404370)</f>
        <v>74404370</v>
      </c>
      <c r="L61" s="16"/>
      <c r="M61" s="16"/>
      <c r="N61" s="21">
        <f ca="1">IFERROR(__xludf.DUMMYFUNCTION("""COMPUTED_VALUE"""),74404370)</f>
        <v>74404370</v>
      </c>
      <c r="O61" s="19"/>
      <c r="P61" s="19"/>
      <c r="Q61" s="19"/>
      <c r="R61" s="19"/>
      <c r="S61" s="19"/>
      <c r="T61" s="19"/>
      <c r="U61" s="19"/>
      <c r="V61" s="19"/>
      <c r="W61" s="20">
        <f ca="1">IFERROR(__xludf.DUMMYFUNCTION("""COMPUTED_VALUE"""),148808740)</f>
        <v>148808740</v>
      </c>
      <c r="X61" s="20" t="str">
        <f ca="1">IFERROR(__xludf.DUMMYFUNCTION("""COMPUTED_VALUE""")," MUNICIPALIDAD DE CORONEL ")</f>
        <v xml:space="preserve"> MUNICIPALIDAD DE CORONEL </v>
      </c>
    </row>
    <row r="62" spans="1:24" ht="15.75" customHeight="1" x14ac:dyDescent="0.25">
      <c r="A62" s="16" t="str">
        <f ca="1">IFERROR(__xludf.DUMMYFUNCTION("""COMPUTED_VALUE""")," REGIÓN DEL BIOBÍO ")</f>
        <v xml:space="preserve"> REGIÓN DEL BIOBÍO </v>
      </c>
      <c r="B62" s="16" t="str">
        <f t="shared" ca="1" si="0"/>
        <v xml:space="preserve"> CORONEL </v>
      </c>
      <c r="C62" s="16" t="str">
        <f ca="1">IFERROR(__xludf.DUMMYFUNCTION("""COMPUTED_VALUE""")," 11. REPOSICIÓN CIERRE PERIMETRAL MULTICANCHA EN CALLE LOS LLEUQUES CON CALLE LOS NOGALES, POB. LAGUNILLAS. ")</f>
        <v xml:space="preserve"> 11. REPOSICIÓN CIERRE PERIMETRAL MULTICANCHA EN CALLE LOS LLEUQUES CON CALLE LOS NOGALES, POB. LAGUNILLAS. </v>
      </c>
      <c r="D62" s="16" t="str">
        <f ca="1">IFERROR(__xludf.DUMMYFUNCTION("""COMPUTED_VALUE""")," 1-K-2023-159 ")</f>
        <v xml:space="preserve"> 1-K-2023-159 </v>
      </c>
      <c r="E62" s="16" t="str">
        <f ca="1">IFERROR(__xludf.DUMMYFUNCTION("""COMPUTED_VALUE""")," Con Giro por Anticipo ")</f>
        <v xml:space="preserve"> Con Giro por Anticipo </v>
      </c>
      <c r="F62" s="17">
        <f ca="1">IFERROR(__xludf.DUMMYFUNCTION("""COMPUTED_VALUE"""),45322)</f>
        <v>45322</v>
      </c>
      <c r="G62" s="16">
        <f ca="1">IFERROR(__xludf.DUMMYFUNCTION("""COMPUTED_VALUE"""),150000000)</f>
        <v>150000000</v>
      </c>
      <c r="H62" s="16" t="str">
        <f ca="1">IFERROR(__xludf.DUMMYFUNCTION("""COMPUTED_VALUE""")," Con Giro por Anticipo ")</f>
        <v xml:space="preserve"> Con Giro por Anticipo </v>
      </c>
      <c r="I62" s="16">
        <f ca="1">IFERROR(__xludf.DUMMYFUNCTION("""COMPUTED_VALUE"""),146862011)</f>
        <v>146862011</v>
      </c>
      <c r="J62" s="83" t="s">
        <v>48</v>
      </c>
      <c r="K62" s="16">
        <f ca="1">IFERROR(__xludf.DUMMYFUNCTION("""COMPUTED_VALUE"""),74995551)</f>
        <v>74995551</v>
      </c>
      <c r="L62" s="16"/>
      <c r="M62" s="16"/>
      <c r="N62" s="21">
        <f ca="1">IFERROR(__xludf.DUMMYFUNCTION("""COMPUTED_VALUE"""),71866460)</f>
        <v>71866460</v>
      </c>
      <c r="O62" s="19"/>
      <c r="P62" s="19"/>
      <c r="Q62" s="19"/>
      <c r="R62" s="19"/>
      <c r="S62" s="19"/>
      <c r="T62" s="19"/>
      <c r="U62" s="19"/>
      <c r="V62" s="19"/>
      <c r="W62" s="20">
        <f ca="1">IFERROR(__xludf.DUMMYFUNCTION("""COMPUTED_VALUE"""),146862011)</f>
        <v>146862011</v>
      </c>
      <c r="X62" s="20" t="str">
        <f ca="1">IFERROR(__xludf.DUMMYFUNCTION("""COMPUTED_VALUE""")," MUNICIPALIDAD DE CORONEL ")</f>
        <v xml:space="preserve"> MUNICIPALIDAD DE CORONEL </v>
      </c>
    </row>
    <row r="63" spans="1:24" ht="15.75" customHeight="1" x14ac:dyDescent="0.25">
      <c r="A63" s="16" t="str">
        <f ca="1">IFERROR(__xludf.DUMMYFUNCTION("""COMPUTED_VALUE""")," REGIÓN DEL BIOBÍO ")</f>
        <v xml:space="preserve"> REGIÓN DEL BIOBÍO </v>
      </c>
      <c r="B63" s="16" t="str">
        <f t="shared" ca="1" si="0"/>
        <v xml:space="preserve"> CORONEL </v>
      </c>
      <c r="C63" s="16" t="str">
        <f ca="1">IFERROR(__xludf.DUMMYFUNCTION("""COMPUTED_VALUE""")," 12. REPOSICIÓN CIERRE PERIMETRAL MULTICANCHA EN PASAJE MINERO EULOGIO RODRIGUEZ CON CALLE MINERO MARIO URZÚA MEZA, SECTOR LA PEÑA. ")</f>
        <v xml:space="preserve"> 12. REPOSICIÓN CIERRE PERIMETRAL MULTICANCHA EN PASAJE MINERO EULOGIO RODRIGUEZ CON CALLE MINERO MARIO URZÚA MEZA, SECTOR LA PEÑA. </v>
      </c>
      <c r="D63" s="16" t="str">
        <f ca="1">IFERROR(__xludf.DUMMYFUNCTION("""COMPUTED_VALUE""")," 1-K-2023-160 ")</f>
        <v xml:space="preserve"> 1-K-2023-160 </v>
      </c>
      <c r="E63" s="16" t="str">
        <f ca="1">IFERROR(__xludf.DUMMYFUNCTION("""COMPUTED_VALUE""")," Con Giro por Anticipo ")</f>
        <v xml:space="preserve"> Con Giro por Anticipo </v>
      </c>
      <c r="F63" s="17">
        <f ca="1">IFERROR(__xludf.DUMMYFUNCTION("""COMPUTED_VALUE"""),45322)</f>
        <v>45322</v>
      </c>
      <c r="G63" s="16">
        <f ca="1">IFERROR(__xludf.DUMMYFUNCTION("""COMPUTED_VALUE"""),151000000)</f>
        <v>151000000</v>
      </c>
      <c r="H63" s="16" t="str">
        <f ca="1">IFERROR(__xludf.DUMMYFUNCTION("""COMPUTED_VALUE""")," Con Giro por Anticipo ")</f>
        <v xml:space="preserve"> Con Giro por Anticipo </v>
      </c>
      <c r="I63" s="16">
        <f ca="1">IFERROR(__xludf.DUMMYFUNCTION("""COMPUTED_VALUE"""),147810345)</f>
        <v>147810345</v>
      </c>
      <c r="J63" s="83" t="s">
        <v>48</v>
      </c>
      <c r="K63" s="16">
        <f ca="1">IFERROR(__xludf.DUMMYFUNCTION("""COMPUTED_VALUE"""),75469718)</f>
        <v>75469718</v>
      </c>
      <c r="L63" s="16"/>
      <c r="M63" s="16"/>
      <c r="N63" s="21">
        <f ca="1">IFERROR(__xludf.DUMMYFUNCTION("""COMPUTED_VALUE"""),72340627)</f>
        <v>72340627</v>
      </c>
      <c r="O63" s="19"/>
      <c r="P63" s="19"/>
      <c r="Q63" s="19"/>
      <c r="R63" s="19"/>
      <c r="S63" s="19"/>
      <c r="T63" s="19"/>
      <c r="U63" s="19"/>
      <c r="V63" s="19"/>
      <c r="W63" s="20">
        <f ca="1">IFERROR(__xludf.DUMMYFUNCTION("""COMPUTED_VALUE"""),147810345)</f>
        <v>147810345</v>
      </c>
      <c r="X63" s="20" t="str">
        <f ca="1">IFERROR(__xludf.DUMMYFUNCTION("""COMPUTED_VALUE""")," MUNICIPALIDAD DE CORONEL ")</f>
        <v xml:space="preserve"> MUNICIPALIDAD DE CORONEL </v>
      </c>
    </row>
    <row r="64" spans="1:24" ht="15.75" customHeight="1" x14ac:dyDescent="0.25">
      <c r="A64" s="16" t="str">
        <f ca="1">IFERROR(__xludf.DUMMYFUNCTION("""COMPUTED_VALUE""")," REGIÓN DEL BIOBÍO ")</f>
        <v xml:space="preserve"> REGIÓN DEL BIOBÍO </v>
      </c>
      <c r="B64" s="16" t="str">
        <f t="shared" ca="1" si="0"/>
        <v xml:space="preserve"> CORONEL </v>
      </c>
      <c r="C64" s="16" t="str">
        <f ca="1">IFERROR(__xludf.DUMMYFUNCTION("""COMPUTED_VALUE""")," 13. REPOSICIÓN ACERAS EN CALLE LOS PIRQUENES ENTRE CALLES LOS POLVOREROS Y LAS CORRIENTES, POB. O´HIGGINS. ")</f>
        <v xml:space="preserve"> 13. REPOSICIÓN ACERAS EN CALLE LOS PIRQUENES ENTRE CALLES LOS POLVOREROS Y LAS CORRIENTES, POB. O´HIGGINS. </v>
      </c>
      <c r="D64" s="16" t="str">
        <f ca="1">IFERROR(__xludf.DUMMYFUNCTION("""COMPUTED_VALUE""")," 1-K-2023-161 ")</f>
        <v xml:space="preserve"> 1-K-2023-161 </v>
      </c>
      <c r="E64" s="16" t="str">
        <f ca="1">IFERROR(__xludf.DUMMYFUNCTION("""COMPUTED_VALUE""")," Con Giro por Anticipo ")</f>
        <v xml:space="preserve"> Con Giro por Anticipo </v>
      </c>
      <c r="F64" s="17">
        <f ca="1">IFERROR(__xludf.DUMMYFUNCTION("""COMPUTED_VALUE"""),45322)</f>
        <v>45322</v>
      </c>
      <c r="G64" s="16">
        <f ca="1">IFERROR(__xludf.DUMMYFUNCTION("""COMPUTED_VALUE"""),149000000)</f>
        <v>149000000</v>
      </c>
      <c r="H64" s="16" t="str">
        <f ca="1">IFERROR(__xludf.DUMMYFUNCTION("""COMPUTED_VALUE""")," Con Giro por Anticipo ")</f>
        <v xml:space="preserve"> Con Giro por Anticipo </v>
      </c>
      <c r="I64" s="16">
        <f ca="1">IFERROR(__xludf.DUMMYFUNCTION("""COMPUTED_VALUE"""),142547446)</f>
        <v>142547446</v>
      </c>
      <c r="J64" s="83" t="s">
        <v>48</v>
      </c>
      <c r="K64" s="16">
        <f ca="1">IFERROR(__xludf.DUMMYFUNCTION("""COMPUTED_VALUE"""),74402814)</f>
        <v>74402814</v>
      </c>
      <c r="L64" s="16"/>
      <c r="M64" s="16"/>
      <c r="N64" s="21">
        <f ca="1">IFERROR(__xludf.DUMMYFUNCTION("""COMPUTED_VALUE"""),68144632)</f>
        <v>68144632</v>
      </c>
      <c r="O64" s="19"/>
      <c r="P64" s="19"/>
      <c r="Q64" s="19"/>
      <c r="R64" s="19"/>
      <c r="S64" s="19"/>
      <c r="T64" s="19"/>
      <c r="U64" s="19"/>
      <c r="V64" s="19"/>
      <c r="W64" s="20">
        <f ca="1">IFERROR(__xludf.DUMMYFUNCTION("""COMPUTED_VALUE"""),142547446)</f>
        <v>142547446</v>
      </c>
      <c r="X64" s="20" t="str">
        <f ca="1">IFERROR(__xludf.DUMMYFUNCTION("""COMPUTED_VALUE""")," MUNICIPALIDAD DE CORONEL ")</f>
        <v xml:space="preserve"> MUNICIPALIDAD DE CORONEL </v>
      </c>
    </row>
    <row r="65" spans="1:24" ht="15.75" customHeight="1" x14ac:dyDescent="0.25">
      <c r="A65" s="16" t="str">
        <f ca="1">IFERROR(__xludf.DUMMYFUNCTION("""COMPUTED_VALUE""")," REGIÓN DEL BIOBÍO ")</f>
        <v xml:space="preserve"> REGIÓN DEL BIOBÍO </v>
      </c>
      <c r="B65" s="16" t="str">
        <f t="shared" ca="1" si="0"/>
        <v xml:space="preserve"> CORONEL </v>
      </c>
      <c r="C65" s="16" t="str">
        <f ca="1">IFERROR(__xludf.DUMMYFUNCTION("""COMPUTED_VALUE""")," 14. REPOSICIÓN ACERAS EN CALLE LOS POLVOREROS ENTRE CALLES LAS CHARRAS Y LAS CABRIAS, POB. O´HIGGINS. ")</f>
        <v xml:space="preserve"> 14. REPOSICIÓN ACERAS EN CALLE LOS POLVOREROS ENTRE CALLES LAS CHARRAS Y LAS CABRIAS, POB. O´HIGGINS. </v>
      </c>
      <c r="D65" s="16" t="str">
        <f ca="1">IFERROR(__xludf.DUMMYFUNCTION("""COMPUTED_VALUE""")," 1-K-2023-162 ")</f>
        <v xml:space="preserve"> 1-K-2023-162 </v>
      </c>
      <c r="E65" s="16" t="str">
        <f ca="1">IFERROR(__xludf.DUMMYFUNCTION("""COMPUTED_VALUE""")," Con Giro por Anticipo ")</f>
        <v xml:space="preserve"> Con Giro por Anticipo </v>
      </c>
      <c r="F65" s="17">
        <f ca="1">IFERROR(__xludf.DUMMYFUNCTION("""COMPUTED_VALUE"""),45322)</f>
        <v>45322</v>
      </c>
      <c r="G65" s="16">
        <f ca="1">IFERROR(__xludf.DUMMYFUNCTION("""COMPUTED_VALUE"""),83378584)</f>
        <v>83378584</v>
      </c>
      <c r="H65" s="16" t="str">
        <f ca="1">IFERROR(__xludf.DUMMYFUNCTION("""COMPUTED_VALUE""")," Con Giro por Anticipo ")</f>
        <v xml:space="preserve"> Con Giro por Anticipo </v>
      </c>
      <c r="I65" s="16">
        <f ca="1">IFERROR(__xludf.DUMMYFUNCTION("""COMPUTED_VALUE"""),77120402)</f>
        <v>77120402</v>
      </c>
      <c r="J65" s="83" t="s">
        <v>48</v>
      </c>
      <c r="K65" s="16">
        <f ca="1">IFERROR(__xludf.DUMMYFUNCTION("""COMPUTED_VALUE"""),41689292)</f>
        <v>41689292</v>
      </c>
      <c r="L65" s="16"/>
      <c r="M65" s="16"/>
      <c r="N65" s="21">
        <f ca="1">IFERROR(__xludf.DUMMYFUNCTION("""COMPUTED_VALUE"""),35431110)</f>
        <v>35431110</v>
      </c>
      <c r="O65" s="19"/>
      <c r="P65" s="19"/>
      <c r="Q65" s="19"/>
      <c r="R65" s="19"/>
      <c r="S65" s="19"/>
      <c r="T65" s="19"/>
      <c r="U65" s="19"/>
      <c r="V65" s="19"/>
      <c r="W65" s="20">
        <f ca="1">IFERROR(__xludf.DUMMYFUNCTION("""COMPUTED_VALUE"""),77120402)</f>
        <v>77120402</v>
      </c>
      <c r="X65" s="20" t="str">
        <f ca="1">IFERROR(__xludf.DUMMYFUNCTION("""COMPUTED_VALUE""")," MUNICIPALIDAD DE CORONEL ")</f>
        <v xml:space="preserve"> MUNICIPALIDAD DE CORONEL </v>
      </c>
    </row>
    <row r="66" spans="1:24" ht="15.75" customHeight="1" x14ac:dyDescent="0.25">
      <c r="A66" s="16" t="str">
        <f ca="1">IFERROR(__xludf.DUMMYFUNCTION("""COMPUTED_VALUE""")," REGIÓN DEL BIOBÍO ")</f>
        <v xml:space="preserve"> REGIÓN DEL BIOBÍO </v>
      </c>
      <c r="B66" s="16" t="str">
        <f t="shared" ca="1" si="0"/>
        <v xml:space="preserve"> TOMÉ </v>
      </c>
      <c r="C66" s="16" t="str">
        <f ca="1">IFERROR(__xludf.DUMMYFUNCTION("""COMPUTED_VALUE""")," MEJORAMIENTO MUROS Y CONSTRUCCION RADIER ESTADIO MUNICIPAL COMUNA DE TOMÉ ")</f>
        <v xml:space="preserve"> MEJORAMIENTO MUROS Y CONSTRUCCION RADIER ESTADIO MUNICIPAL COMUNA DE TOMÉ </v>
      </c>
      <c r="D66" s="16" t="str">
        <f ca="1">IFERROR(__xludf.DUMMYFUNCTION("""COMPUTED_VALUE""")," 1-K-2023-163 ")</f>
        <v xml:space="preserve"> 1-K-2023-163 </v>
      </c>
      <c r="E66" s="16" t="str">
        <f ca="1">IFERROR(__xludf.DUMMYFUNCTION("""COMPUTED_VALUE""")," Con Giro por Anticipo ")</f>
        <v xml:space="preserve"> Con Giro por Anticipo </v>
      </c>
      <c r="F66" s="17">
        <f ca="1">IFERROR(__xludf.DUMMYFUNCTION("""COMPUTED_VALUE"""),45322)</f>
        <v>45322</v>
      </c>
      <c r="G66" s="16">
        <f ca="1">IFERROR(__xludf.DUMMYFUNCTION("""COMPUTED_VALUE"""),111000000)</f>
        <v>111000000</v>
      </c>
      <c r="H66" s="16" t="str">
        <f ca="1">IFERROR(__xludf.DUMMYFUNCTION("""COMPUTED_VALUE""")," Con Giro por Anticipo ")</f>
        <v xml:space="preserve"> Con Giro por Anticipo </v>
      </c>
      <c r="I66" s="16">
        <f ca="1">IFERROR(__xludf.DUMMYFUNCTION("""COMPUTED_VALUE"""),55410736)</f>
        <v>55410736</v>
      </c>
      <c r="J66" s="83" t="s">
        <v>48</v>
      </c>
      <c r="K66" s="16">
        <f ca="1">IFERROR(__xludf.DUMMYFUNCTION("""COMPUTED_VALUE"""),55410736)</f>
        <v>55410736</v>
      </c>
      <c r="L66" s="16"/>
      <c r="M66" s="16"/>
      <c r="N66" s="21">
        <f ca="1">IFERROR(__xludf.DUMMYFUNCTION("""COMPUTED_VALUE"""),0)</f>
        <v>0</v>
      </c>
      <c r="O66" s="19"/>
      <c r="P66" s="19"/>
      <c r="Q66" s="19"/>
      <c r="R66" s="19"/>
      <c r="S66" s="19"/>
      <c r="T66" s="19"/>
      <c r="U66" s="19"/>
      <c r="V66" s="19"/>
      <c r="W66" s="20">
        <f ca="1">IFERROR(__xludf.DUMMYFUNCTION("""COMPUTED_VALUE"""),55410736)</f>
        <v>55410736</v>
      </c>
      <c r="X66" s="20" t="str">
        <f ca="1">IFERROR(__xludf.DUMMYFUNCTION("""COMPUTED_VALUE""")," MUNICIPALIDAD DE TOMÉ ")</f>
        <v xml:space="preserve"> MUNICIPALIDAD DE TOMÉ </v>
      </c>
    </row>
    <row r="67" spans="1:24" ht="15.75" customHeight="1" x14ac:dyDescent="0.25">
      <c r="A67" s="16" t="str">
        <f ca="1">IFERROR(__xludf.DUMMYFUNCTION("""COMPUTED_VALUE""")," REGIÓN DEL BIOBÍO ")</f>
        <v xml:space="preserve"> REGIÓN DEL BIOBÍO </v>
      </c>
      <c r="B67" s="16" t="str">
        <f t="shared" ca="1" si="0"/>
        <v xml:space="preserve"> TOMÉ </v>
      </c>
      <c r="C67" s="16" t="str">
        <f ca="1">IFERROR(__xludf.DUMMYFUNCTION("""COMPUTED_VALUE""")," MEJORAMIENTO SEDE SOCIAL CLUB DEPORTIVO CALIFORNIA, COMUNA DE TOME ")</f>
        <v xml:space="preserve"> MEJORAMIENTO SEDE SOCIAL CLUB DEPORTIVO CALIFORNIA, COMUNA DE TOME </v>
      </c>
      <c r="D67" s="16" t="str">
        <f ca="1">IFERROR(__xludf.DUMMYFUNCTION("""COMPUTED_VALUE""")," 1-K-2023-164 ")</f>
        <v xml:space="preserve"> 1-K-2023-164 </v>
      </c>
      <c r="E67" s="16" t="str">
        <f ca="1">IFERROR(__xludf.DUMMYFUNCTION("""COMPUTED_VALUE""")," Con Giro por Anticipo ")</f>
        <v xml:space="preserve"> Con Giro por Anticipo </v>
      </c>
      <c r="F67" s="17">
        <f ca="1">IFERROR(__xludf.DUMMYFUNCTION("""COMPUTED_VALUE"""),45322)</f>
        <v>45322</v>
      </c>
      <c r="G67" s="16">
        <f ca="1">IFERROR(__xludf.DUMMYFUNCTION("""COMPUTED_VALUE"""),111000000)</f>
        <v>111000000</v>
      </c>
      <c r="H67" s="16" t="str">
        <f ca="1">IFERROR(__xludf.DUMMYFUNCTION("""COMPUTED_VALUE""")," Con Giro por Anticipo ")</f>
        <v xml:space="preserve"> Con Giro por Anticipo </v>
      </c>
      <c r="I67" s="16">
        <f ca="1">IFERROR(__xludf.DUMMYFUNCTION("""COMPUTED_VALUE"""),55689043)</f>
        <v>55689043</v>
      </c>
      <c r="J67" s="83" t="s">
        <v>48</v>
      </c>
      <c r="K67" s="16">
        <f ca="1">IFERROR(__xludf.DUMMYFUNCTION("""COMPUTED_VALUE"""),55689043)</f>
        <v>55689043</v>
      </c>
      <c r="L67" s="16"/>
      <c r="M67" s="16"/>
      <c r="N67" s="21">
        <f ca="1">IFERROR(__xludf.DUMMYFUNCTION("""COMPUTED_VALUE"""),0)</f>
        <v>0</v>
      </c>
      <c r="O67" s="19"/>
      <c r="P67" s="19"/>
      <c r="Q67" s="19"/>
      <c r="R67" s="19"/>
      <c r="S67" s="19"/>
      <c r="T67" s="19"/>
      <c r="U67" s="19"/>
      <c r="V67" s="19"/>
      <c r="W67" s="20">
        <f ca="1">IFERROR(__xludf.DUMMYFUNCTION("""COMPUTED_VALUE"""),55689043)</f>
        <v>55689043</v>
      </c>
      <c r="X67" s="20" t="str">
        <f ca="1">IFERROR(__xludf.DUMMYFUNCTION("""COMPUTED_VALUE""")," MUNICIPALIDAD DE TOMÉ ")</f>
        <v xml:space="preserve"> MUNICIPALIDAD DE TOMÉ </v>
      </c>
    </row>
    <row r="68" spans="1:24" ht="15.75" customHeight="1" x14ac:dyDescent="0.25">
      <c r="A68" s="16" t="str">
        <f ca="1">IFERROR(__xludf.DUMMYFUNCTION("""COMPUTED_VALUE""")," REGIÓN DEL BIOBÍO ")</f>
        <v xml:space="preserve"> REGIÓN DEL BIOBÍO </v>
      </c>
      <c r="B68" s="16" t="str">
        <f t="shared" ca="1" si="0"/>
        <v xml:space="preserve"> TOMÉ </v>
      </c>
      <c r="C68" s="16" t="str">
        <f ca="1">IFERROR(__xludf.DUMMYFUNCTION("""COMPUTED_VALUE""")," MEJORAMIENTO AREA VERDE CALLE BIO BIO Y PUCON TOME ALTO, COMUNA DE TOME ")</f>
        <v xml:space="preserve"> MEJORAMIENTO AREA VERDE CALLE BIO BIO Y PUCON TOME ALTO, COMUNA DE TOME </v>
      </c>
      <c r="D68" s="16" t="str">
        <f ca="1">IFERROR(__xludf.DUMMYFUNCTION("""COMPUTED_VALUE""")," 1-K-2023-165 ")</f>
        <v xml:space="preserve"> 1-K-2023-165 </v>
      </c>
      <c r="E68" s="16" t="str">
        <f ca="1">IFERROR(__xludf.DUMMYFUNCTION("""COMPUTED_VALUE""")," Con Giro por Anticipo ")</f>
        <v xml:space="preserve"> Con Giro por Anticipo </v>
      </c>
      <c r="F68" s="17">
        <f ca="1">IFERROR(__xludf.DUMMYFUNCTION("""COMPUTED_VALUE"""),45322)</f>
        <v>45322</v>
      </c>
      <c r="G68" s="16">
        <f ca="1">IFERROR(__xludf.DUMMYFUNCTION("""COMPUTED_VALUE"""),79688624)</f>
        <v>79688624</v>
      </c>
      <c r="H68" s="16" t="str">
        <f ca="1">IFERROR(__xludf.DUMMYFUNCTION("""COMPUTED_VALUE""")," Con Giro por Anticipo ")</f>
        <v xml:space="preserve"> Con Giro por Anticipo </v>
      </c>
      <c r="I68" s="16">
        <f ca="1">IFERROR(__xludf.DUMMYFUNCTION("""COMPUTED_VALUE"""),39844312)</f>
        <v>39844312</v>
      </c>
      <c r="J68" s="83" t="s">
        <v>48</v>
      </c>
      <c r="K68" s="16">
        <f ca="1">IFERROR(__xludf.DUMMYFUNCTION("""COMPUTED_VALUE"""),39844312)</f>
        <v>39844312</v>
      </c>
      <c r="L68" s="16"/>
      <c r="M68" s="16"/>
      <c r="N68" s="21">
        <f ca="1">IFERROR(__xludf.DUMMYFUNCTION("""COMPUTED_VALUE"""),0)</f>
        <v>0</v>
      </c>
      <c r="O68" s="19"/>
      <c r="P68" s="19"/>
      <c r="Q68" s="19"/>
      <c r="R68" s="19"/>
      <c r="S68" s="19"/>
      <c r="T68" s="19"/>
      <c r="U68" s="19"/>
      <c r="V68" s="19"/>
      <c r="W68" s="20">
        <f ca="1">IFERROR(__xludf.DUMMYFUNCTION("""COMPUTED_VALUE"""),39844312)</f>
        <v>39844312</v>
      </c>
      <c r="X68" s="20" t="str">
        <f ca="1">IFERROR(__xludf.DUMMYFUNCTION("""COMPUTED_VALUE""")," MUNICIPALIDAD DE TOMÉ ")</f>
        <v xml:space="preserve"> MUNICIPALIDAD DE TOMÉ </v>
      </c>
    </row>
    <row r="69" spans="1:24" ht="15.75" customHeight="1" x14ac:dyDescent="0.25">
      <c r="A69" s="16" t="str">
        <f ca="1">IFERROR(__xludf.DUMMYFUNCTION("""COMPUTED_VALUE""")," REGIÓN DEL BIOBÍO ")</f>
        <v xml:space="preserve"> REGIÓN DEL BIOBÍO </v>
      </c>
      <c r="B69" s="16" t="str">
        <f t="shared" ca="1" si="0"/>
        <v xml:space="preserve"> TOMÉ </v>
      </c>
      <c r="C69" s="16" t="str">
        <f ca="1">IFERROR(__xludf.DUMMYFUNCTION("""COMPUTED_VALUE""")," CONSTRUCCION RADIER DE ACCESO GIMNASIO MUNICIPAL DE DICHATO, COMUNA DE TOME ")</f>
        <v xml:space="preserve"> CONSTRUCCION RADIER DE ACCESO GIMNASIO MUNICIPAL DE DICHATO, COMUNA DE TOME </v>
      </c>
      <c r="D69" s="16" t="str">
        <f ca="1">IFERROR(__xludf.DUMMYFUNCTION("""COMPUTED_VALUE""")," 1-K-2023-166 ")</f>
        <v xml:space="preserve"> 1-K-2023-166 </v>
      </c>
      <c r="E69" s="16" t="str">
        <f ca="1">IFERROR(__xludf.DUMMYFUNCTION("""COMPUTED_VALUE""")," En Ejecución ")</f>
        <v xml:space="preserve"> En Ejecución </v>
      </c>
      <c r="F69" s="17">
        <f ca="1">IFERROR(__xludf.DUMMYFUNCTION("""COMPUTED_VALUE"""),45322)</f>
        <v>45322</v>
      </c>
      <c r="G69" s="16">
        <f ca="1">IFERROR(__xludf.DUMMYFUNCTION("""COMPUTED_VALUE"""),116000000)</f>
        <v>116000000</v>
      </c>
      <c r="H69" s="16" t="str">
        <f ca="1">IFERROR(__xludf.DUMMYFUNCTION("""COMPUTED_VALUE""")," En Ejecución ")</f>
        <v xml:space="preserve"> En Ejecución </v>
      </c>
      <c r="I69" s="16">
        <f ca="1">IFERROR(__xludf.DUMMYFUNCTION("""COMPUTED_VALUE"""),57975191)</f>
        <v>57975191</v>
      </c>
      <c r="J69" s="83" t="s">
        <v>48</v>
      </c>
      <c r="K69" s="16">
        <f ca="1">IFERROR(__xludf.DUMMYFUNCTION("""COMPUTED_VALUE"""),57975191)</f>
        <v>57975191</v>
      </c>
      <c r="L69" s="16"/>
      <c r="M69" s="16"/>
      <c r="N69" s="21">
        <f ca="1">IFERROR(__xludf.DUMMYFUNCTION("""COMPUTED_VALUE"""),0)</f>
        <v>0</v>
      </c>
      <c r="O69" s="19"/>
      <c r="P69" s="19"/>
      <c r="Q69" s="19"/>
      <c r="R69" s="19"/>
      <c r="S69" s="19"/>
      <c r="T69" s="19"/>
      <c r="U69" s="19"/>
      <c r="V69" s="19"/>
      <c r="W69" s="20">
        <f ca="1">IFERROR(__xludf.DUMMYFUNCTION("""COMPUTED_VALUE"""),57975191)</f>
        <v>57975191</v>
      </c>
      <c r="X69" s="20" t="str">
        <f ca="1">IFERROR(__xludf.DUMMYFUNCTION("""COMPUTED_VALUE""")," MUNICIPALIDAD DE TOMÉ ")</f>
        <v xml:space="preserve"> MUNICIPALIDAD DE TOMÉ </v>
      </c>
    </row>
    <row r="70" spans="1:24" ht="15.75" customHeight="1" x14ac:dyDescent="0.25">
      <c r="A70" s="16" t="str">
        <f ca="1">IFERROR(__xludf.DUMMYFUNCTION("""COMPUTED_VALUE""")," REGIÓN DEL BIOBÍO ")</f>
        <v xml:space="preserve"> REGIÓN DEL BIOBÍO </v>
      </c>
      <c r="B70" s="16" t="str">
        <f t="shared" ca="1" si="0"/>
        <v xml:space="preserve"> PENCO </v>
      </c>
      <c r="C70" s="16" t="str">
        <f ca="1">IFERROR(__xludf.DUMMYFUNCTION("""COMPUTED_VALUE""")," MEJORAMIENTO AREA VERDE VILLA ITALIA, Y CONSTRUCCION MURO DE CONTENCION CALLE DANTE DE ALIGHIERI ")</f>
        <v xml:space="preserve"> MEJORAMIENTO AREA VERDE VILLA ITALIA, Y CONSTRUCCION MURO DE CONTENCION CALLE DANTE DE ALIGHIERI </v>
      </c>
      <c r="D70" s="16" t="str">
        <f ca="1">IFERROR(__xludf.DUMMYFUNCTION("""COMPUTED_VALUE""")," 1-K-2023-167 ")</f>
        <v xml:space="preserve"> 1-K-2023-167 </v>
      </c>
      <c r="E70" s="16" t="str">
        <f ca="1">IFERROR(__xludf.DUMMYFUNCTION("""COMPUTED_VALUE""")," Con Giro por Anticipo ")</f>
        <v xml:space="preserve"> Con Giro por Anticipo </v>
      </c>
      <c r="F70" s="17">
        <f ca="1">IFERROR(__xludf.DUMMYFUNCTION("""COMPUTED_VALUE"""),45322)</f>
        <v>45322</v>
      </c>
      <c r="G70" s="16">
        <f ca="1">IFERROR(__xludf.DUMMYFUNCTION("""COMPUTED_VALUE"""),78587148)</f>
        <v>78587148</v>
      </c>
      <c r="H70" s="16" t="str">
        <f ca="1">IFERROR(__xludf.DUMMYFUNCTION("""COMPUTED_VALUE""")," Con Giro por Anticipo ")</f>
        <v xml:space="preserve"> Con Giro por Anticipo </v>
      </c>
      <c r="I70" s="16">
        <f ca="1">IFERROR(__xludf.DUMMYFUNCTION("""COMPUTED_VALUE"""),75458057)</f>
        <v>75458057</v>
      </c>
      <c r="J70" s="83" t="s">
        <v>48</v>
      </c>
      <c r="K70" s="16">
        <f ca="1">IFERROR(__xludf.DUMMYFUNCTION("""COMPUTED_VALUE"""),39293574)</f>
        <v>39293574</v>
      </c>
      <c r="L70" s="16"/>
      <c r="M70" s="16"/>
      <c r="N70" s="21">
        <f ca="1">IFERROR(__xludf.DUMMYFUNCTION("""COMPUTED_VALUE"""),36164483)</f>
        <v>36164483</v>
      </c>
      <c r="O70" s="19"/>
      <c r="P70" s="19"/>
      <c r="Q70" s="19"/>
      <c r="R70" s="19"/>
      <c r="S70" s="19"/>
      <c r="T70" s="19"/>
      <c r="U70" s="19"/>
      <c r="V70" s="19"/>
      <c r="W70" s="20">
        <f ca="1">IFERROR(__xludf.DUMMYFUNCTION("""COMPUTED_VALUE"""),75458057)</f>
        <v>75458057</v>
      </c>
      <c r="X70" s="20" t="str">
        <f ca="1">IFERROR(__xludf.DUMMYFUNCTION("""COMPUTED_VALUE""")," MUNICIPALIDAD DE PENCO ")</f>
        <v xml:space="preserve"> MUNICIPALIDAD DE PENCO </v>
      </c>
    </row>
    <row r="71" spans="1:24" ht="15.75" customHeight="1" x14ac:dyDescent="0.25">
      <c r="A71" s="16" t="str">
        <f ca="1">IFERROR(__xludf.DUMMYFUNCTION("""COMPUTED_VALUE""")," REGIÓN DEL BIOBÍO ")</f>
        <v xml:space="preserve"> REGIÓN DEL BIOBÍO </v>
      </c>
      <c r="B71" s="16" t="str">
        <f t="shared" ca="1" si="0"/>
        <v xml:space="preserve"> PENCO </v>
      </c>
      <c r="C71" s="16" t="str">
        <f ca="1">IFERROR(__xludf.DUMMYFUNCTION("""COMPUTED_VALUE""")," REPOSICION DE ACERAS CALLE LOS OLIVOS, ENTRE INFANTE Y TOLTEN ")</f>
        <v xml:space="preserve"> REPOSICION DE ACERAS CALLE LOS OLIVOS, ENTRE INFANTE Y TOLTEN </v>
      </c>
      <c r="D71" s="16" t="str">
        <f ca="1">IFERROR(__xludf.DUMMYFUNCTION("""COMPUTED_VALUE""")," 1-K-2023-168 ")</f>
        <v xml:space="preserve"> 1-K-2023-168 </v>
      </c>
      <c r="E71" s="16" t="str">
        <f ca="1">IFERROR(__xludf.DUMMYFUNCTION("""COMPUTED_VALUE""")," Con Giro por Anticipo ")</f>
        <v xml:space="preserve"> Con Giro por Anticipo </v>
      </c>
      <c r="F71" s="17">
        <f ca="1">IFERROR(__xludf.DUMMYFUNCTION("""COMPUTED_VALUE"""),45322)</f>
        <v>45322</v>
      </c>
      <c r="G71" s="16">
        <f ca="1">IFERROR(__xludf.DUMMYFUNCTION("""COMPUTED_VALUE"""),80278440)</f>
        <v>80278440</v>
      </c>
      <c r="H71" s="16" t="str">
        <f ca="1">IFERROR(__xludf.DUMMYFUNCTION("""COMPUTED_VALUE""")," Con Giro por Anticipo ")</f>
        <v xml:space="preserve"> Con Giro por Anticipo </v>
      </c>
      <c r="I71" s="16">
        <f ca="1">IFERROR(__xludf.DUMMYFUNCTION("""COMPUTED_VALUE"""),70891167)</f>
        <v>70891167</v>
      </c>
      <c r="J71" s="83" t="s">
        <v>48</v>
      </c>
      <c r="K71" s="16">
        <f ca="1">IFERROR(__xludf.DUMMYFUNCTION("""COMPUTED_VALUE"""),40139220)</f>
        <v>40139220</v>
      </c>
      <c r="L71" s="16"/>
      <c r="M71" s="16"/>
      <c r="N71" s="21">
        <f ca="1">IFERROR(__xludf.DUMMYFUNCTION("""COMPUTED_VALUE"""),30751947)</f>
        <v>30751947</v>
      </c>
      <c r="O71" s="19"/>
      <c r="P71" s="19"/>
      <c r="Q71" s="19"/>
      <c r="R71" s="19"/>
      <c r="S71" s="19"/>
      <c r="T71" s="19"/>
      <c r="U71" s="19"/>
      <c r="V71" s="19"/>
      <c r="W71" s="20">
        <f ca="1">IFERROR(__xludf.DUMMYFUNCTION("""COMPUTED_VALUE"""),70891167)</f>
        <v>70891167</v>
      </c>
      <c r="X71" s="20" t="str">
        <f ca="1">IFERROR(__xludf.DUMMYFUNCTION("""COMPUTED_VALUE""")," MUNICIPALIDAD DE PENCO ")</f>
        <v xml:space="preserve"> MUNICIPALIDAD DE PENCO </v>
      </c>
    </row>
    <row r="72" spans="1:24" ht="15.75" customHeight="1" x14ac:dyDescent="0.25">
      <c r="A72" s="16" t="str">
        <f ca="1">IFERROR(__xludf.DUMMYFUNCTION("""COMPUTED_VALUE""")," REGIÓN DEL BIOBÍO ")</f>
        <v xml:space="preserve"> REGIÓN DEL BIOBÍO </v>
      </c>
      <c r="B72" s="16" t="str">
        <f t="shared" ca="1" si="0"/>
        <v xml:space="preserve"> PENCO </v>
      </c>
      <c r="C72" s="16" t="str">
        <f ca="1">IFERROR(__xludf.DUMMYFUNCTION("""COMPUTED_VALUE""")," MEJORAMIENTO DE ACERAS Y AREAS VERDES, CALLE YERBAS BUENAS ")</f>
        <v xml:space="preserve"> MEJORAMIENTO DE ACERAS Y AREAS VERDES, CALLE YERBAS BUENAS </v>
      </c>
      <c r="D72" s="16" t="str">
        <f ca="1">IFERROR(__xludf.DUMMYFUNCTION("""COMPUTED_VALUE""")," 1-K-2023-170 ")</f>
        <v xml:space="preserve"> 1-K-2023-170 </v>
      </c>
      <c r="E72" s="16" t="str">
        <f ca="1">IFERROR(__xludf.DUMMYFUNCTION("""COMPUTED_VALUE""")," Con Giro por Anticipo ")</f>
        <v xml:space="preserve"> Con Giro por Anticipo </v>
      </c>
      <c r="F72" s="17">
        <f ca="1">IFERROR(__xludf.DUMMYFUNCTION("""COMPUTED_VALUE"""),45322)</f>
        <v>45322</v>
      </c>
      <c r="G72" s="16">
        <f ca="1">IFERROR(__xludf.DUMMYFUNCTION("""COMPUTED_VALUE"""),66654831)</f>
        <v>66654831</v>
      </c>
      <c r="H72" s="16" t="str">
        <f ca="1">IFERROR(__xludf.DUMMYFUNCTION("""COMPUTED_VALUE""")," Con Giro por Anticipo ")</f>
        <v xml:space="preserve"> Con Giro por Anticipo </v>
      </c>
      <c r="I72" s="16">
        <f ca="1">IFERROR(__xludf.DUMMYFUNCTION("""COMPUTED_VALUE"""),57267558)</f>
        <v>57267558</v>
      </c>
      <c r="J72" s="83" t="s">
        <v>48</v>
      </c>
      <c r="K72" s="16">
        <f ca="1">IFERROR(__xludf.DUMMYFUNCTION("""COMPUTED_VALUE"""),33327416)</f>
        <v>33327416</v>
      </c>
      <c r="L72" s="16"/>
      <c r="M72" s="16"/>
      <c r="N72" s="21">
        <f ca="1">IFERROR(__xludf.DUMMYFUNCTION("""COMPUTED_VALUE"""),23940142)</f>
        <v>23940142</v>
      </c>
      <c r="O72" s="19"/>
      <c r="P72" s="19"/>
      <c r="Q72" s="19"/>
      <c r="R72" s="19"/>
      <c r="S72" s="19"/>
      <c r="T72" s="19"/>
      <c r="U72" s="19"/>
      <c r="V72" s="19"/>
      <c r="W72" s="20">
        <f ca="1">IFERROR(__xludf.DUMMYFUNCTION("""COMPUTED_VALUE"""),57267558)</f>
        <v>57267558</v>
      </c>
      <c r="X72" s="20" t="str">
        <f ca="1">IFERROR(__xludf.DUMMYFUNCTION("""COMPUTED_VALUE""")," MUNICIPALIDAD DE PENCO ")</f>
        <v xml:space="preserve"> MUNICIPALIDAD DE PENCO </v>
      </c>
    </row>
    <row r="73" spans="1:24" ht="15.75" customHeight="1" x14ac:dyDescent="0.25">
      <c r="A73" s="16" t="str">
        <f ca="1">IFERROR(__xludf.DUMMYFUNCTION("""COMPUTED_VALUE""")," REGIÓN DEL BIOBÍO ")</f>
        <v xml:space="preserve"> REGIÓN DEL BIOBÍO </v>
      </c>
      <c r="B73" s="16" t="str">
        <f t="shared" ca="1" si="0"/>
        <v xml:space="preserve"> PENCO </v>
      </c>
      <c r="C73" s="16" t="str">
        <f ca="1">IFERROR(__xludf.DUMMYFUNCTION("""COMPUTED_VALUE""")," MEJORAMIENTO Y RECUPERACION DE AREA VERDE, POBL PADRE PEDRO ARREGUI ")</f>
        <v xml:space="preserve"> MEJORAMIENTO Y RECUPERACION DE AREA VERDE, POBL PADRE PEDRO ARREGUI </v>
      </c>
      <c r="D73" s="16" t="str">
        <f ca="1">IFERROR(__xludf.DUMMYFUNCTION("""COMPUTED_VALUE""")," 1-K-2023-171 ")</f>
        <v xml:space="preserve"> 1-K-2023-171 </v>
      </c>
      <c r="E73" s="16" t="str">
        <f ca="1">IFERROR(__xludf.DUMMYFUNCTION("""COMPUTED_VALUE""")," Con Giro por Anticipo ")</f>
        <v xml:space="preserve"> Con Giro por Anticipo </v>
      </c>
      <c r="F73" s="17">
        <f ca="1">IFERROR(__xludf.DUMMYFUNCTION("""COMPUTED_VALUE"""),45322)</f>
        <v>45322</v>
      </c>
      <c r="G73" s="16">
        <f ca="1">IFERROR(__xludf.DUMMYFUNCTION("""COMPUTED_VALUE"""),68873479)</f>
        <v>68873479</v>
      </c>
      <c r="H73" s="16" t="str">
        <f ca="1">IFERROR(__xludf.DUMMYFUNCTION("""COMPUTED_VALUE""")," Con Giro por Anticipo ")</f>
        <v xml:space="preserve"> Con Giro por Anticipo </v>
      </c>
      <c r="I73" s="16">
        <f ca="1">IFERROR(__xludf.DUMMYFUNCTION("""COMPUTED_VALUE"""),65744388)</f>
        <v>65744388</v>
      </c>
      <c r="J73" s="83" t="s">
        <v>48</v>
      </c>
      <c r="K73" s="16">
        <f ca="1">IFERROR(__xludf.DUMMYFUNCTION("""COMPUTED_VALUE"""),34436740)</f>
        <v>34436740</v>
      </c>
      <c r="L73" s="16"/>
      <c r="M73" s="16"/>
      <c r="N73" s="21">
        <f ca="1">IFERROR(__xludf.DUMMYFUNCTION("""COMPUTED_VALUE"""),31307648)</f>
        <v>31307648</v>
      </c>
      <c r="O73" s="19"/>
      <c r="P73" s="19"/>
      <c r="Q73" s="19"/>
      <c r="R73" s="19"/>
      <c r="S73" s="19"/>
      <c r="T73" s="19"/>
      <c r="U73" s="19"/>
      <c r="V73" s="19"/>
      <c r="W73" s="20">
        <f ca="1">IFERROR(__xludf.DUMMYFUNCTION("""COMPUTED_VALUE"""),65744388)</f>
        <v>65744388</v>
      </c>
      <c r="X73" s="20" t="str">
        <f ca="1">IFERROR(__xludf.DUMMYFUNCTION("""COMPUTED_VALUE""")," MUNICIPALIDAD DE PENCO ")</f>
        <v xml:space="preserve"> MUNICIPALIDAD DE PENCO </v>
      </c>
    </row>
    <row r="74" spans="1:24" ht="15.75" customHeight="1" x14ac:dyDescent="0.25">
      <c r="A74" s="16" t="str">
        <f ca="1">IFERROR(__xludf.DUMMYFUNCTION("""COMPUTED_VALUE""")," REGIÓN DEL BIOBÍO ")</f>
        <v xml:space="preserve"> REGIÓN DEL BIOBÍO </v>
      </c>
      <c r="B74" s="16" t="str">
        <f t="shared" ca="1" si="0"/>
        <v xml:space="preserve"> PENCO </v>
      </c>
      <c r="C74" s="16" t="str">
        <f ca="1">IFERROR(__xludf.DUMMYFUNCTION("""COMPUTED_VALUE""")," MEJORAMIENTO DE AREA VERDE, PLAZA SOTOMAYOR ")</f>
        <v xml:space="preserve"> MEJORAMIENTO DE AREA VERDE, PLAZA SOTOMAYOR </v>
      </c>
      <c r="D74" s="16" t="str">
        <f ca="1">IFERROR(__xludf.DUMMYFUNCTION("""COMPUTED_VALUE""")," 1-K-2023-172 ")</f>
        <v xml:space="preserve"> 1-K-2023-172 </v>
      </c>
      <c r="E74" s="16" t="str">
        <f ca="1">IFERROR(__xludf.DUMMYFUNCTION("""COMPUTED_VALUE""")," Con Giro por Anticipo ")</f>
        <v xml:space="preserve"> Con Giro por Anticipo </v>
      </c>
      <c r="F74" s="17">
        <f ca="1">IFERROR(__xludf.DUMMYFUNCTION("""COMPUTED_VALUE"""),45322)</f>
        <v>45322</v>
      </c>
      <c r="G74" s="16">
        <f ca="1">IFERROR(__xludf.DUMMYFUNCTION("""COMPUTED_VALUE"""),81177837)</f>
        <v>81177837</v>
      </c>
      <c r="H74" s="16" t="str">
        <f ca="1">IFERROR(__xludf.DUMMYFUNCTION("""COMPUTED_VALUE""")," Con Giro por Anticipo ")</f>
        <v xml:space="preserve"> Con Giro por Anticipo </v>
      </c>
      <c r="I74" s="16">
        <f ca="1">IFERROR(__xludf.DUMMYFUNCTION("""COMPUTED_VALUE"""),78048746)</f>
        <v>78048746</v>
      </c>
      <c r="J74" s="83" t="s">
        <v>48</v>
      </c>
      <c r="K74" s="16">
        <f ca="1">IFERROR(__xludf.DUMMYFUNCTION("""COMPUTED_VALUE"""),40588919)</f>
        <v>40588919</v>
      </c>
      <c r="L74" s="16"/>
      <c r="M74" s="16"/>
      <c r="N74" s="21">
        <f ca="1">IFERROR(__xludf.DUMMYFUNCTION("""COMPUTED_VALUE"""),37459827)</f>
        <v>37459827</v>
      </c>
      <c r="O74" s="19"/>
      <c r="P74" s="19"/>
      <c r="Q74" s="19"/>
      <c r="R74" s="19"/>
      <c r="S74" s="19"/>
      <c r="T74" s="19"/>
      <c r="U74" s="19"/>
      <c r="V74" s="19"/>
      <c r="W74" s="20">
        <f ca="1">IFERROR(__xludf.DUMMYFUNCTION("""COMPUTED_VALUE"""),78048746)</f>
        <v>78048746</v>
      </c>
      <c r="X74" s="20" t="str">
        <f ca="1">IFERROR(__xludf.DUMMYFUNCTION("""COMPUTED_VALUE""")," MUNICIPALIDAD DE PENCO ")</f>
        <v xml:space="preserve"> MUNICIPALIDAD DE PENCO </v>
      </c>
    </row>
    <row r="75" spans="1:24" ht="15.75" customHeight="1" x14ac:dyDescent="0.25">
      <c r="A75" s="16" t="str">
        <f ca="1">IFERROR(__xludf.DUMMYFUNCTION("""COMPUTED_VALUE""")," REGIÓN DEL BIOBÍO ")</f>
        <v xml:space="preserve"> REGIÓN DEL BIOBÍO </v>
      </c>
      <c r="B75" s="16" t="str">
        <f t="shared" ca="1" si="0"/>
        <v xml:space="preserve"> LOTA </v>
      </c>
      <c r="C75" s="16" t="str">
        <f ca="1">IFERROR(__xludf.DUMMYFUNCTION("""COMPUTED_VALUE""")," CONSTRUCCIÓN REDUCTOR DE VELOCIDAD CALLE LUIS CRUZ MARTÍNEZ ENTRE PÉREZ CANTO Y REGIMIENTO BUIN SECTOR CALERO SUR, LOTA ")</f>
        <v xml:space="preserve"> CONSTRUCCIÓN REDUCTOR DE VELOCIDAD CALLE LUIS CRUZ MARTÍNEZ ENTRE PÉREZ CANTO Y REGIMIENTO BUIN SECTOR CALERO SUR, LOTA </v>
      </c>
      <c r="D75" s="16" t="str">
        <f ca="1">IFERROR(__xludf.DUMMYFUNCTION("""COMPUTED_VALUE""")," 1-K-2023-201 ")</f>
        <v xml:space="preserve"> 1-K-2023-201 </v>
      </c>
      <c r="E75" s="16" t="str">
        <f ca="1">IFERROR(__xludf.DUMMYFUNCTION("""COMPUTED_VALUE""")," Con Giro por Anticipo ")</f>
        <v xml:space="preserve"> Con Giro por Anticipo </v>
      </c>
      <c r="F75" s="17">
        <f ca="1">IFERROR(__xludf.DUMMYFUNCTION("""COMPUTED_VALUE"""),45322)</f>
        <v>45322</v>
      </c>
      <c r="G75" s="16">
        <f ca="1">IFERROR(__xludf.DUMMYFUNCTION("""COMPUTED_VALUE"""),150000000)</f>
        <v>150000000</v>
      </c>
      <c r="H75" s="16" t="str">
        <f ca="1">IFERROR(__xludf.DUMMYFUNCTION("""COMPUTED_VALUE""")," Con Giro por Anticipo ")</f>
        <v xml:space="preserve"> Con Giro por Anticipo </v>
      </c>
      <c r="I75" s="16">
        <f ca="1">IFERROR(__xludf.DUMMYFUNCTION("""COMPUTED_VALUE"""),149615892)</f>
        <v>149615892</v>
      </c>
      <c r="J75" s="83" t="s">
        <v>48</v>
      </c>
      <c r="K75" s="16">
        <f ca="1">IFERROR(__xludf.DUMMYFUNCTION("""COMPUTED_VALUE"""),74807946)</f>
        <v>74807946</v>
      </c>
      <c r="L75" s="16"/>
      <c r="M75" s="16"/>
      <c r="N75" s="21">
        <f ca="1">IFERROR(__xludf.DUMMYFUNCTION("""COMPUTED_VALUE"""),74807946)</f>
        <v>74807946</v>
      </c>
      <c r="O75" s="19"/>
      <c r="P75" s="19"/>
      <c r="Q75" s="19"/>
      <c r="R75" s="19"/>
      <c r="S75" s="19"/>
      <c r="T75" s="19"/>
      <c r="U75" s="19"/>
      <c r="V75" s="19"/>
      <c r="W75" s="20">
        <f ca="1">IFERROR(__xludf.DUMMYFUNCTION("""COMPUTED_VALUE"""),149615892)</f>
        <v>149615892</v>
      </c>
      <c r="X75" s="20" t="str">
        <f ca="1">IFERROR(__xludf.DUMMYFUNCTION("""COMPUTED_VALUE""")," MUNICIPALIDAD DE LOTA ")</f>
        <v xml:space="preserve"> MUNICIPALIDAD DE LOTA </v>
      </c>
    </row>
    <row r="76" spans="1:24" ht="15.75" customHeight="1" x14ac:dyDescent="0.25">
      <c r="A76" s="16" t="str">
        <f ca="1">IFERROR(__xludf.DUMMYFUNCTION("""COMPUTED_VALUE""")," REGIÓN DEL BIOBÍO ")</f>
        <v xml:space="preserve"> REGIÓN DEL BIOBÍO </v>
      </c>
      <c r="B76" s="16" t="str">
        <f t="shared" ca="1" si="0"/>
        <v xml:space="preserve"> LOTA </v>
      </c>
      <c r="C76" s="16" t="str">
        <f ca="1">IFERROR(__xludf.DUMMYFUNCTION("""COMPUTED_VALUE""")," CONSTRUCCIÓN DEFENSA CAMINERA Y REPOSICIÓN DE ACERA ENTRE CALLE LOS CASTAÑOS Y VIÑA DEL MAR SECTOR POLVORÍN 1, LOTA ")</f>
        <v xml:space="preserve"> CONSTRUCCIÓN DEFENSA CAMINERA Y REPOSICIÓN DE ACERA ENTRE CALLE LOS CASTAÑOS Y VIÑA DEL MAR SECTOR POLVORÍN 1, LOTA </v>
      </c>
      <c r="D76" s="16" t="str">
        <f ca="1">IFERROR(__xludf.DUMMYFUNCTION("""COMPUTED_VALUE""")," 1-K-2023-202 ")</f>
        <v xml:space="preserve"> 1-K-2023-202 </v>
      </c>
      <c r="E76" s="16" t="str">
        <f ca="1">IFERROR(__xludf.DUMMYFUNCTION("""COMPUTED_VALUE""")," Con Giro por Anticipo ")</f>
        <v xml:space="preserve"> Con Giro por Anticipo </v>
      </c>
      <c r="F76" s="17">
        <f ca="1">IFERROR(__xludf.DUMMYFUNCTION("""COMPUTED_VALUE"""),45322)</f>
        <v>45322</v>
      </c>
      <c r="G76" s="16">
        <f ca="1">IFERROR(__xludf.DUMMYFUNCTION("""COMPUTED_VALUE"""),148000000)</f>
        <v>148000000</v>
      </c>
      <c r="H76" s="16" t="str">
        <f ca="1">IFERROR(__xludf.DUMMYFUNCTION("""COMPUTED_VALUE""")," Con Giro por Anticipo ")</f>
        <v xml:space="preserve"> Con Giro por Anticipo </v>
      </c>
      <c r="I76" s="16">
        <f ca="1">IFERROR(__xludf.DUMMYFUNCTION("""COMPUTED_VALUE"""),144470153)</f>
        <v>144470153</v>
      </c>
      <c r="J76" s="83" t="s">
        <v>48</v>
      </c>
      <c r="K76" s="16">
        <f ca="1">IFERROR(__xludf.DUMMYFUNCTION("""COMPUTED_VALUE"""),73794930)</f>
        <v>73794930</v>
      </c>
      <c r="L76" s="16"/>
      <c r="M76" s="16"/>
      <c r="N76" s="21">
        <f ca="1">IFERROR(__xludf.DUMMYFUNCTION("""COMPUTED_VALUE"""),70675223)</f>
        <v>70675223</v>
      </c>
      <c r="O76" s="19"/>
      <c r="P76" s="19"/>
      <c r="Q76" s="19"/>
      <c r="R76" s="19"/>
      <c r="S76" s="19"/>
      <c r="T76" s="19"/>
      <c r="U76" s="19"/>
      <c r="V76" s="19"/>
      <c r="W76" s="20">
        <f ca="1">IFERROR(__xludf.DUMMYFUNCTION("""COMPUTED_VALUE"""),144470153)</f>
        <v>144470153</v>
      </c>
      <c r="X76" s="20" t="str">
        <f ca="1">IFERROR(__xludf.DUMMYFUNCTION("""COMPUTED_VALUE""")," MUNICIPALIDAD DE LOTA ")</f>
        <v xml:space="preserve"> MUNICIPALIDAD DE LOTA </v>
      </c>
    </row>
    <row r="77" spans="1:24" ht="15.75" customHeight="1" x14ac:dyDescent="0.25">
      <c r="A77" s="16" t="str">
        <f ca="1">IFERROR(__xludf.DUMMYFUNCTION("""COMPUTED_VALUE""")," REGIÓN DEL BIOBÍO ")</f>
        <v xml:space="preserve"> REGIÓN DEL BIOBÍO </v>
      </c>
      <c r="B77" s="16" t="str">
        <f t="shared" ca="1" si="0"/>
        <v xml:space="preserve"> LOTA </v>
      </c>
      <c r="C77" s="16" t="str">
        <f ca="1">IFERROR(__xludf.DUMMYFUNCTION("""COMPUTED_VALUE""")," REPOSICIÓN DEFENSA CAMINERA CALLE E. RIQUELME ENTRE LOS MAÑÍOS Y ING. CHAITT SECTOR GABRIELA MISTRAL 2, LOTA ")</f>
        <v xml:space="preserve"> REPOSICIÓN DEFENSA CAMINERA CALLE E. RIQUELME ENTRE LOS MAÑÍOS Y ING. CHAITT SECTOR GABRIELA MISTRAL 2, LOTA </v>
      </c>
      <c r="D77" s="16" t="str">
        <f ca="1">IFERROR(__xludf.DUMMYFUNCTION("""COMPUTED_VALUE""")," 1-K-2023-203 ")</f>
        <v xml:space="preserve"> 1-K-2023-203 </v>
      </c>
      <c r="E77" s="16" t="str">
        <f ca="1">IFERROR(__xludf.DUMMYFUNCTION("""COMPUTED_VALUE""")," Con Giro por Anticipo ")</f>
        <v xml:space="preserve"> Con Giro por Anticipo </v>
      </c>
      <c r="F77" s="17">
        <f ca="1">IFERROR(__xludf.DUMMYFUNCTION("""COMPUTED_VALUE"""),45321)</f>
        <v>45321</v>
      </c>
      <c r="G77" s="16">
        <f ca="1">IFERROR(__xludf.DUMMYFUNCTION("""COMPUTED_VALUE"""),143000000)</f>
        <v>143000000</v>
      </c>
      <c r="H77" s="16" t="str">
        <f ca="1">IFERROR(__xludf.DUMMYFUNCTION("""COMPUTED_VALUE""")," Con Giro por Anticipo ")</f>
        <v xml:space="preserve"> Con Giro por Anticipo </v>
      </c>
      <c r="I77" s="16">
        <f ca="1">IFERROR(__xludf.DUMMYFUNCTION("""COMPUTED_VALUE"""),136781856)</f>
        <v>136781856</v>
      </c>
      <c r="J77" s="83" t="s">
        <v>48</v>
      </c>
      <c r="K77" s="16">
        <f ca="1">IFERROR(__xludf.DUMMYFUNCTION("""COMPUTED_VALUE"""),71510635)</f>
        <v>71510635</v>
      </c>
      <c r="L77" s="16"/>
      <c r="M77" s="16"/>
      <c r="N77" s="21">
        <f ca="1">IFERROR(__xludf.DUMMYFUNCTION("""COMPUTED_VALUE"""),65271221)</f>
        <v>65271221</v>
      </c>
      <c r="O77" s="19"/>
      <c r="P77" s="19"/>
      <c r="Q77" s="19"/>
      <c r="R77" s="19"/>
      <c r="S77" s="19"/>
      <c r="T77" s="19"/>
      <c r="U77" s="19"/>
      <c r="V77" s="19"/>
      <c r="W77" s="20">
        <f ca="1">IFERROR(__xludf.DUMMYFUNCTION("""COMPUTED_VALUE"""),136781856)</f>
        <v>136781856</v>
      </c>
      <c r="X77" s="20" t="str">
        <f ca="1">IFERROR(__xludf.DUMMYFUNCTION("""COMPUTED_VALUE""")," MUNICIPALIDAD DE LOTA ")</f>
        <v xml:space="preserve"> MUNICIPALIDAD DE LOTA </v>
      </c>
    </row>
    <row r="78" spans="1:24" ht="15.75" customHeight="1" x14ac:dyDescent="0.25">
      <c r="A78" s="16" t="str">
        <f ca="1">IFERROR(__xludf.DUMMYFUNCTION("""COMPUTED_VALUE""")," REGIÓN DEL BIOBÍO ")</f>
        <v xml:space="preserve"> REGIÓN DEL BIOBÍO </v>
      </c>
      <c r="B78" s="16" t="str">
        <f t="shared" ca="1" si="0"/>
        <v xml:space="preserve"> LOTA </v>
      </c>
      <c r="C78" s="16" t="str">
        <f ca="1">IFERROR(__xludf.DUMMYFUNCTION("""COMPUTED_VALUE""")," CONSTRUCCIÓN PASAMANOS ESCALERA A. PÉREZ C. SECTOR CANTERA 1, LOTA ")</f>
        <v xml:space="preserve"> CONSTRUCCIÓN PASAMANOS ESCALERA A. PÉREZ C. SECTOR CANTERA 1, LOTA </v>
      </c>
      <c r="D78" s="16" t="str">
        <f ca="1">IFERROR(__xludf.DUMMYFUNCTION("""COMPUTED_VALUE""")," 1-K-2023-205 ")</f>
        <v xml:space="preserve"> 1-K-2023-205 </v>
      </c>
      <c r="E78" s="16" t="str">
        <f ca="1">IFERROR(__xludf.DUMMYFUNCTION("""COMPUTED_VALUE""")," Con Giro por Anticipo ")</f>
        <v xml:space="preserve"> Con Giro por Anticipo </v>
      </c>
      <c r="F78" s="17">
        <f ca="1">IFERROR(__xludf.DUMMYFUNCTION("""COMPUTED_VALUE"""),45322)</f>
        <v>45322</v>
      </c>
      <c r="G78" s="16">
        <f ca="1">IFERROR(__xludf.DUMMYFUNCTION("""COMPUTED_VALUE"""),141000000)</f>
        <v>141000000</v>
      </c>
      <c r="H78" s="16" t="str">
        <f ca="1">IFERROR(__xludf.DUMMYFUNCTION("""COMPUTED_VALUE""")," Con Giro por Anticipo ")</f>
        <v xml:space="preserve"> Con Giro por Anticipo </v>
      </c>
      <c r="I78" s="16">
        <f ca="1">IFERROR(__xludf.DUMMYFUNCTION("""COMPUTED_VALUE"""),141117140)</f>
        <v>141117140</v>
      </c>
      <c r="J78" s="83" t="s">
        <v>48</v>
      </c>
      <c r="K78" s="16">
        <f ca="1">IFERROR(__xludf.DUMMYFUNCTION("""COMPUTED_VALUE"""),70558570)</f>
        <v>70558570</v>
      </c>
      <c r="L78" s="16"/>
      <c r="M78" s="16"/>
      <c r="N78" s="21">
        <f ca="1">IFERROR(__xludf.DUMMYFUNCTION("""COMPUTED_VALUE"""),70558570)</f>
        <v>70558570</v>
      </c>
      <c r="O78" s="19"/>
      <c r="P78" s="19"/>
      <c r="Q78" s="19"/>
      <c r="R78" s="19"/>
      <c r="S78" s="19"/>
      <c r="T78" s="19"/>
      <c r="U78" s="19"/>
      <c r="V78" s="19"/>
      <c r="W78" s="20">
        <f ca="1">IFERROR(__xludf.DUMMYFUNCTION("""COMPUTED_VALUE"""),141117140)</f>
        <v>141117140</v>
      </c>
      <c r="X78" s="20" t="str">
        <f ca="1">IFERROR(__xludf.DUMMYFUNCTION("""COMPUTED_VALUE""")," MUNICIPALIDAD DE LOTA ")</f>
        <v xml:space="preserve"> MUNICIPALIDAD DE LOTA </v>
      </c>
    </row>
    <row r="79" spans="1:24" ht="15.75" customHeight="1" x14ac:dyDescent="0.25">
      <c r="A79" s="16" t="str">
        <f ca="1">IFERROR(__xludf.DUMMYFUNCTION("""COMPUTED_VALUE""")," REGIÓN DEL BIOBÍO ")</f>
        <v xml:space="preserve"> REGIÓN DEL BIOBÍO </v>
      </c>
      <c r="B79" s="16" t="str">
        <f t="shared" ca="1" si="0"/>
        <v xml:space="preserve"> LOTA </v>
      </c>
      <c r="C79" s="16" t="str">
        <f ca="1">IFERROR(__xludf.DUMMYFUNCTION("""COMPUTED_VALUE""")," COLOCACION PASAMANOS Y MOBILIARIO URBANO, ACCESO PEATONAL CEMENTERIO, LOTA. ")</f>
        <v xml:space="preserve"> COLOCACION PASAMANOS Y MOBILIARIO URBANO, ACCESO PEATONAL CEMENTERIO, LOTA. </v>
      </c>
      <c r="D79" s="16" t="str">
        <f ca="1">IFERROR(__xludf.DUMMYFUNCTION("""COMPUTED_VALUE""")," 1-K-2023-206 ")</f>
        <v xml:space="preserve"> 1-K-2023-206 </v>
      </c>
      <c r="E79" s="16" t="str">
        <f ca="1">IFERROR(__xludf.DUMMYFUNCTION("""COMPUTED_VALUE""")," Con Giro por Anticipo ")</f>
        <v xml:space="preserve"> Con Giro por Anticipo </v>
      </c>
      <c r="F79" s="17">
        <f ca="1">IFERROR(__xludf.DUMMYFUNCTION("""COMPUTED_VALUE"""),45322)</f>
        <v>45322</v>
      </c>
      <c r="G79" s="16">
        <f ca="1">IFERROR(__xludf.DUMMYFUNCTION("""COMPUTED_VALUE"""),141000000)</f>
        <v>141000000</v>
      </c>
      <c r="H79" s="16" t="str">
        <f ca="1">IFERROR(__xludf.DUMMYFUNCTION("""COMPUTED_VALUE""")," Con Giro por Anticipo ")</f>
        <v xml:space="preserve"> Con Giro por Anticipo </v>
      </c>
      <c r="I79" s="16">
        <f ca="1">IFERROR(__xludf.DUMMYFUNCTION("""COMPUTED_VALUE"""),140749103)</f>
        <v>140749103</v>
      </c>
      <c r="J79" s="83" t="s">
        <v>48</v>
      </c>
      <c r="K79" s="16">
        <f ca="1">IFERROR(__xludf.DUMMYFUNCTION("""COMPUTED_VALUE"""),70374552)</f>
        <v>70374552</v>
      </c>
      <c r="L79" s="16"/>
      <c r="M79" s="16"/>
      <c r="N79" s="21">
        <f ca="1">IFERROR(__xludf.DUMMYFUNCTION("""COMPUTED_VALUE"""),70374551)</f>
        <v>70374551</v>
      </c>
      <c r="O79" s="19"/>
      <c r="P79" s="19"/>
      <c r="Q79" s="19"/>
      <c r="R79" s="19"/>
      <c r="S79" s="19"/>
      <c r="T79" s="19"/>
      <c r="U79" s="19"/>
      <c r="V79" s="19"/>
      <c r="W79" s="20">
        <f ca="1">IFERROR(__xludf.DUMMYFUNCTION("""COMPUTED_VALUE"""),140749103)</f>
        <v>140749103</v>
      </c>
      <c r="X79" s="20" t="str">
        <f ca="1">IFERROR(__xludf.DUMMYFUNCTION("""COMPUTED_VALUE""")," MUNICIPALIDAD DE LOTA ")</f>
        <v xml:space="preserve"> MUNICIPALIDAD DE LOTA </v>
      </c>
    </row>
    <row r="80" spans="1:24" ht="15.75" customHeight="1" x14ac:dyDescent="0.25">
      <c r="A80" s="16" t="str">
        <f ca="1">IFERROR(__xludf.DUMMYFUNCTION("""COMPUTED_VALUE""")," REGIÓN DEL BIOBÍO ")</f>
        <v xml:space="preserve"> REGIÓN DEL BIOBÍO </v>
      </c>
      <c r="B80" s="16" t="str">
        <f t="shared" ca="1" si="0"/>
        <v xml:space="preserve"> LOTA </v>
      </c>
      <c r="C80" s="16" t="str">
        <f ca="1">IFERROR(__xludf.DUMMYFUNCTION("""COMPUTED_VALUE""")," INSTALACION RED DE SEÑALETICA DE RIESGO DE TSUNAMI, VALLE COLCURA, LOTA. ")</f>
        <v xml:space="preserve"> INSTALACION RED DE SEÑALETICA DE RIESGO DE TSUNAMI, VALLE COLCURA, LOTA. </v>
      </c>
      <c r="D80" s="16" t="str">
        <f ca="1">IFERROR(__xludf.DUMMYFUNCTION("""COMPUTED_VALUE""")," 1-K-2023-208 ")</f>
        <v xml:space="preserve"> 1-K-2023-208 </v>
      </c>
      <c r="E80" s="16" t="str">
        <f ca="1">IFERROR(__xludf.DUMMYFUNCTION("""COMPUTED_VALUE""")," Con Giro por Anticipo ")</f>
        <v xml:space="preserve"> Con Giro por Anticipo </v>
      </c>
      <c r="F80" s="17">
        <f ca="1">IFERROR(__xludf.DUMMYFUNCTION("""COMPUTED_VALUE"""),45322)</f>
        <v>45322</v>
      </c>
      <c r="G80" s="16">
        <f ca="1">IFERROR(__xludf.DUMMYFUNCTION("""COMPUTED_VALUE"""),145000000)</f>
        <v>145000000</v>
      </c>
      <c r="H80" s="16" t="str">
        <f ca="1">IFERROR(__xludf.DUMMYFUNCTION("""COMPUTED_VALUE""")," Con Giro por Anticipo ")</f>
        <v xml:space="preserve"> Con Giro por Anticipo </v>
      </c>
      <c r="I80" s="16">
        <f ca="1">IFERROR(__xludf.DUMMYFUNCTION("""COMPUTED_VALUE"""),141688921)</f>
        <v>141688921</v>
      </c>
      <c r="J80" s="83" t="s">
        <v>48</v>
      </c>
      <c r="K80" s="16">
        <f ca="1">IFERROR(__xludf.DUMMYFUNCTION("""COMPUTED_VALUE"""),72404314)</f>
        <v>72404314</v>
      </c>
      <c r="L80" s="16"/>
      <c r="M80" s="16"/>
      <c r="N80" s="21">
        <f ca="1">IFERROR(__xludf.DUMMYFUNCTION("""COMPUTED_VALUE"""),69284607)</f>
        <v>69284607</v>
      </c>
      <c r="O80" s="19"/>
      <c r="P80" s="19"/>
      <c r="Q80" s="19"/>
      <c r="R80" s="19"/>
      <c r="S80" s="19"/>
      <c r="T80" s="19"/>
      <c r="U80" s="19"/>
      <c r="V80" s="19"/>
      <c r="W80" s="20">
        <f ca="1">IFERROR(__xludf.DUMMYFUNCTION("""COMPUTED_VALUE"""),141688921)</f>
        <v>141688921</v>
      </c>
      <c r="X80" s="20" t="str">
        <f ca="1">IFERROR(__xludf.DUMMYFUNCTION("""COMPUTED_VALUE""")," MUNICIPALIDAD DE LOTA ")</f>
        <v xml:space="preserve"> MUNICIPALIDAD DE LOTA </v>
      </c>
    </row>
    <row r="81" spans="1:24" ht="15.75" customHeight="1" x14ac:dyDescent="0.25">
      <c r="A81" s="16" t="str">
        <f ca="1">IFERROR(__xludf.DUMMYFUNCTION("""COMPUTED_VALUE""")," REGIÓN DEL BIOBÍO ")</f>
        <v xml:space="preserve"> REGIÓN DEL BIOBÍO </v>
      </c>
      <c r="B81" s="16" t="str">
        <f t="shared" ca="1" si="0"/>
        <v xml:space="preserve"> LOTA </v>
      </c>
      <c r="C81" s="16" t="str">
        <f ca="1">IFERROR(__xludf.DUMMYFUNCTION("""COMPUTED_VALUE""")," RECONSTRUCCION Y CONSTRUCCION DE RESALTOS REDUCTORES DE VELOCIDAD EN CALLE: VICTORIA, EL BOSQUE Y L. VIDELA, LORETO CUSIÑO, LOTA ")</f>
        <v xml:space="preserve"> RECONSTRUCCION Y CONSTRUCCION DE RESALTOS REDUCTORES DE VELOCIDAD EN CALLE: VICTORIA, EL BOSQUE Y L. VIDELA, LORETO CUSIÑO, LOTA </v>
      </c>
      <c r="D81" s="16" t="str">
        <f ca="1">IFERROR(__xludf.DUMMYFUNCTION("""COMPUTED_VALUE""")," 1-K-2023-209 ")</f>
        <v xml:space="preserve"> 1-K-2023-209 </v>
      </c>
      <c r="E81" s="16" t="str">
        <f ca="1">IFERROR(__xludf.DUMMYFUNCTION("""COMPUTED_VALUE""")," Con Giro por Anticipo ")</f>
        <v xml:space="preserve"> Con Giro por Anticipo </v>
      </c>
      <c r="F81" s="17">
        <f ca="1">IFERROR(__xludf.DUMMYFUNCTION("""COMPUTED_VALUE"""),45321)</f>
        <v>45321</v>
      </c>
      <c r="G81" s="16">
        <f ca="1">IFERROR(__xludf.DUMMYFUNCTION("""COMPUTED_VALUE"""),150000000)</f>
        <v>150000000</v>
      </c>
      <c r="H81" s="16" t="str">
        <f ca="1">IFERROR(__xludf.DUMMYFUNCTION("""COMPUTED_VALUE""")," Con Giro por Anticipo ")</f>
        <v xml:space="preserve"> Con Giro por Anticipo </v>
      </c>
      <c r="I81" s="16">
        <f ca="1">IFERROR(__xludf.DUMMYFUNCTION("""COMPUTED_VALUE"""),134671464)</f>
        <v>134671464</v>
      </c>
      <c r="J81" s="83" t="s">
        <v>48</v>
      </c>
      <c r="K81" s="16">
        <f ca="1">IFERROR(__xludf.DUMMYFUNCTION("""COMPUTED_VALUE"""),75135000)</f>
        <v>75135000</v>
      </c>
      <c r="L81" s="16"/>
      <c r="M81" s="16"/>
      <c r="N81" s="21">
        <f ca="1">IFERROR(__xludf.DUMMYFUNCTION("""COMPUTED_VALUE"""),59536464)</f>
        <v>59536464</v>
      </c>
      <c r="O81" s="19"/>
      <c r="P81" s="19"/>
      <c r="Q81" s="19"/>
      <c r="R81" s="19"/>
      <c r="S81" s="19"/>
      <c r="T81" s="19"/>
      <c r="U81" s="19"/>
      <c r="V81" s="19"/>
      <c r="W81" s="20">
        <f ca="1">IFERROR(__xludf.DUMMYFUNCTION("""COMPUTED_VALUE"""),134671464)</f>
        <v>134671464</v>
      </c>
      <c r="X81" s="20" t="str">
        <f ca="1">IFERROR(__xludf.DUMMYFUNCTION("""COMPUTED_VALUE""")," MUNICIPALIDAD DE LOTA ")</f>
        <v xml:space="preserve"> MUNICIPALIDAD DE LOTA </v>
      </c>
    </row>
    <row r="82" spans="1:24" ht="15.75" customHeight="1" x14ac:dyDescent="0.25">
      <c r="A82" s="16" t="str">
        <f ca="1">IFERROR(__xludf.DUMMYFUNCTION("""COMPUTED_VALUE""")," REGIÓN DEL BIOBÍO ")</f>
        <v xml:space="preserve"> REGIÓN DEL BIOBÍO </v>
      </c>
      <c r="B82" s="16" t="str">
        <f t="shared" ca="1" si="0"/>
        <v xml:space="preserve"> LOTA </v>
      </c>
      <c r="C82" s="16" t="str">
        <f ca="1">IFERROR(__xludf.DUMMYFUNCTION("""COMPUTED_VALUE""")," RESALTOS EN CALLE LOS COPIHUES, POB. ROBLE ALTO, LOTA ")</f>
        <v xml:space="preserve"> RESALTOS EN CALLE LOS COPIHUES, POB. ROBLE ALTO, LOTA </v>
      </c>
      <c r="D82" s="16" t="str">
        <f ca="1">IFERROR(__xludf.DUMMYFUNCTION("""COMPUTED_VALUE""")," 1-K-2023-210 ")</f>
        <v xml:space="preserve"> 1-K-2023-210 </v>
      </c>
      <c r="E82" s="16" t="str">
        <f ca="1">IFERROR(__xludf.DUMMYFUNCTION("""COMPUTED_VALUE""")," Con Giro por Anticipo ")</f>
        <v xml:space="preserve"> Con Giro por Anticipo </v>
      </c>
      <c r="F82" s="17">
        <f ca="1">IFERROR(__xludf.DUMMYFUNCTION("""COMPUTED_VALUE"""),45322)</f>
        <v>45322</v>
      </c>
      <c r="G82" s="16">
        <f ca="1">IFERROR(__xludf.DUMMYFUNCTION("""COMPUTED_VALUE"""),142000000)</f>
        <v>142000000</v>
      </c>
      <c r="H82" s="16" t="str">
        <f ca="1">IFERROR(__xludf.DUMMYFUNCTION("""COMPUTED_VALUE""")," Con Giro por Anticipo ")</f>
        <v xml:space="preserve"> Con Giro por Anticipo </v>
      </c>
      <c r="I82" s="16">
        <f ca="1">IFERROR(__xludf.DUMMYFUNCTION("""COMPUTED_VALUE"""),132809925)</f>
        <v>132809925</v>
      </c>
      <c r="J82" s="83" t="s">
        <v>48</v>
      </c>
      <c r="K82" s="16">
        <f ca="1">IFERROR(__xludf.DUMMYFUNCTION("""COMPUTED_VALUE"""),71084523)</f>
        <v>71084523</v>
      </c>
      <c r="L82" s="16"/>
      <c r="M82" s="16"/>
      <c r="N82" s="21">
        <f ca="1">IFERROR(__xludf.DUMMYFUNCTION("""COMPUTED_VALUE"""),61725402)</f>
        <v>61725402</v>
      </c>
      <c r="O82" s="19"/>
      <c r="P82" s="19"/>
      <c r="Q82" s="19"/>
      <c r="R82" s="19"/>
      <c r="S82" s="19"/>
      <c r="T82" s="19"/>
      <c r="U82" s="19"/>
      <c r="V82" s="19"/>
      <c r="W82" s="20">
        <f ca="1">IFERROR(__xludf.DUMMYFUNCTION("""COMPUTED_VALUE"""),132809925)</f>
        <v>132809925</v>
      </c>
      <c r="X82" s="20" t="str">
        <f ca="1">IFERROR(__xludf.DUMMYFUNCTION("""COMPUTED_VALUE""")," MUNICIPALIDAD DE LOTA ")</f>
        <v xml:space="preserve"> MUNICIPALIDAD DE LOTA </v>
      </c>
    </row>
    <row r="83" spans="1:24" ht="15.75" customHeight="1" x14ac:dyDescent="0.25">
      <c r="A83" s="16" t="str">
        <f ca="1">IFERROR(__xludf.DUMMYFUNCTION("""COMPUTED_VALUE""")," REGIÓN DEL BIOBÍO ")</f>
        <v xml:space="preserve"> REGIÓN DEL BIOBÍO </v>
      </c>
      <c r="B83" s="16" t="str">
        <f t="shared" ca="1" si="0"/>
        <v xml:space="preserve"> LOTA </v>
      </c>
      <c r="C83" s="16" t="str">
        <f ca="1">IFERROR(__xludf.DUMMYFUNCTION("""COMPUTED_VALUE""")," MEJORAMIENTO ILUMINACIÓN PEATONAL CALLE LUIS COUSIÑO, LOTA ")</f>
        <v xml:space="preserve"> MEJORAMIENTO ILUMINACIÓN PEATONAL CALLE LUIS COUSIÑO, LOTA </v>
      </c>
      <c r="D83" s="16" t="str">
        <f ca="1">IFERROR(__xludf.DUMMYFUNCTION("""COMPUTED_VALUE""")," 1-K-2023-212 ")</f>
        <v xml:space="preserve"> 1-K-2023-212 </v>
      </c>
      <c r="E83" s="16" t="str">
        <f ca="1">IFERROR(__xludf.DUMMYFUNCTION("""COMPUTED_VALUE""")," Con Giro por Anticipo ")</f>
        <v xml:space="preserve"> Con Giro por Anticipo </v>
      </c>
      <c r="F83" s="17">
        <f ca="1">IFERROR(__xludf.DUMMYFUNCTION("""COMPUTED_VALUE"""),45321)</f>
        <v>45321</v>
      </c>
      <c r="G83" s="16">
        <f ca="1">IFERROR(__xludf.DUMMYFUNCTION("""COMPUTED_VALUE"""),150000000)</f>
        <v>150000000</v>
      </c>
      <c r="H83" s="16" t="str">
        <f ca="1">IFERROR(__xludf.DUMMYFUNCTION("""COMPUTED_VALUE""")," Con Giro por Anticipo ")</f>
        <v xml:space="preserve"> Con Giro por Anticipo </v>
      </c>
      <c r="I83" s="16">
        <f ca="1">IFERROR(__xludf.DUMMYFUNCTION("""COMPUTED_VALUE"""),144050012)</f>
        <v>144050012</v>
      </c>
      <c r="J83" s="83" t="s">
        <v>48</v>
      </c>
      <c r="K83" s="16">
        <f ca="1">IFERROR(__xludf.DUMMYFUNCTION("""COMPUTED_VALUE"""),75144713)</f>
        <v>75144713</v>
      </c>
      <c r="L83" s="16"/>
      <c r="M83" s="16"/>
      <c r="N83" s="21">
        <f ca="1">IFERROR(__xludf.DUMMYFUNCTION("""COMPUTED_VALUE"""),68905299)</f>
        <v>68905299</v>
      </c>
      <c r="O83" s="19"/>
      <c r="P83" s="19"/>
      <c r="Q83" s="19"/>
      <c r="R83" s="19"/>
      <c r="S83" s="19"/>
      <c r="T83" s="19"/>
      <c r="U83" s="19"/>
      <c r="V83" s="19"/>
      <c r="W83" s="20">
        <f ca="1">IFERROR(__xludf.DUMMYFUNCTION("""COMPUTED_VALUE"""),144050012)</f>
        <v>144050012</v>
      </c>
      <c r="X83" s="20" t="str">
        <f ca="1">IFERROR(__xludf.DUMMYFUNCTION("""COMPUTED_VALUE""")," MUNICIPALIDAD DE LOTA ")</f>
        <v xml:space="preserve"> MUNICIPALIDAD DE LOTA </v>
      </c>
    </row>
    <row r="84" spans="1:24" ht="15.75" customHeight="1" x14ac:dyDescent="0.25">
      <c r="A84" s="16" t="str">
        <f ca="1">IFERROR(__xludf.DUMMYFUNCTION("""COMPUTED_VALUE""")," REGIÓN DEL BIOBÍO ")</f>
        <v xml:space="preserve"> REGIÓN DEL BIOBÍO </v>
      </c>
      <c r="B84" s="16" t="str">
        <f t="shared" ca="1" si="0"/>
        <v xml:space="preserve"> LOTA </v>
      </c>
      <c r="C84" s="16" t="str">
        <f ca="1">IFERROR(__xludf.DUMMYFUNCTION("""COMPUTED_VALUE""")," MEJORAMIENTO ILUMINACIÓN MULTICANCHA MANZANA 73, LOTA ")</f>
        <v xml:space="preserve"> MEJORAMIENTO ILUMINACIÓN MULTICANCHA MANZANA 73, LOTA </v>
      </c>
      <c r="D84" s="16" t="str">
        <f ca="1">IFERROR(__xludf.DUMMYFUNCTION("""COMPUTED_VALUE""")," 1-K-2023-215 ")</f>
        <v xml:space="preserve"> 1-K-2023-215 </v>
      </c>
      <c r="E84" s="16" t="str">
        <f ca="1">IFERROR(__xludf.DUMMYFUNCTION("""COMPUTED_VALUE""")," Con Giro por Anticipo ")</f>
        <v xml:space="preserve"> Con Giro por Anticipo </v>
      </c>
      <c r="F84" s="17">
        <f ca="1">IFERROR(__xludf.DUMMYFUNCTION("""COMPUTED_VALUE"""),45322)</f>
        <v>45322</v>
      </c>
      <c r="G84" s="16">
        <f ca="1">IFERROR(__xludf.DUMMYFUNCTION("""COMPUTED_VALUE"""),143000000)</f>
        <v>143000000</v>
      </c>
      <c r="H84" s="16" t="str">
        <f ca="1">IFERROR(__xludf.DUMMYFUNCTION("""COMPUTED_VALUE""")," Con Giro por Anticipo ")</f>
        <v xml:space="preserve"> Con Giro por Anticipo </v>
      </c>
      <c r="I84" s="16">
        <f ca="1">IFERROR(__xludf.DUMMYFUNCTION("""COMPUTED_VALUE"""),140050065)</f>
        <v>140050065</v>
      </c>
      <c r="J84" s="83" t="s">
        <v>48</v>
      </c>
      <c r="K84" s="16">
        <f ca="1">IFERROR(__xludf.DUMMYFUNCTION("""COMPUTED_VALUE"""),71584886)</f>
        <v>71584886</v>
      </c>
      <c r="L84" s="16"/>
      <c r="M84" s="16"/>
      <c r="N84" s="21">
        <f ca="1">IFERROR(__xludf.DUMMYFUNCTION("""COMPUTED_VALUE"""),68465179)</f>
        <v>68465179</v>
      </c>
      <c r="O84" s="19"/>
      <c r="P84" s="19"/>
      <c r="Q84" s="19"/>
      <c r="R84" s="19"/>
      <c r="S84" s="19"/>
      <c r="T84" s="19"/>
      <c r="U84" s="19"/>
      <c r="V84" s="19"/>
      <c r="W84" s="20">
        <f ca="1">IFERROR(__xludf.DUMMYFUNCTION("""COMPUTED_VALUE"""),140050065)</f>
        <v>140050065</v>
      </c>
      <c r="X84" s="20" t="str">
        <f ca="1">IFERROR(__xludf.DUMMYFUNCTION("""COMPUTED_VALUE""")," MUNICIPALIDAD DE LOTA ")</f>
        <v xml:space="preserve"> MUNICIPALIDAD DE LOTA </v>
      </c>
    </row>
    <row r="85" spans="1:24" ht="15.75" customHeight="1" x14ac:dyDescent="0.25">
      <c r="A85" s="16" t="str">
        <f ca="1">IFERROR(__xludf.DUMMYFUNCTION("""COMPUTED_VALUE""")," REGIÓN DEL BIOBÍO ")</f>
        <v xml:space="preserve"> REGIÓN DEL BIOBÍO </v>
      </c>
      <c r="B85" s="16" t="str">
        <f t="shared" ca="1" si="0"/>
        <v xml:space="preserve"> LOTA </v>
      </c>
      <c r="C85" s="16" t="str">
        <f ca="1">IFERROR(__xludf.DUMMYFUNCTION("""COMPUTED_VALUE""")," REPOSICIÓN REDUCTORES DE VELOCIDAD SECTOR POLVORÍN 2, LOTA. ")</f>
        <v xml:space="preserve"> REPOSICIÓN REDUCTORES DE VELOCIDAD SECTOR POLVORÍN 2, LOTA. </v>
      </c>
      <c r="D85" s="16" t="str">
        <f ca="1">IFERROR(__xludf.DUMMYFUNCTION("""COMPUTED_VALUE""")," 1-K-2023-216 ")</f>
        <v xml:space="preserve"> 1-K-2023-216 </v>
      </c>
      <c r="E85" s="16" t="str">
        <f ca="1">IFERROR(__xludf.DUMMYFUNCTION("""COMPUTED_VALUE""")," Con Giro por Anticipo ")</f>
        <v xml:space="preserve"> Con Giro por Anticipo </v>
      </c>
      <c r="F85" s="17">
        <f ca="1">IFERROR(__xludf.DUMMYFUNCTION("""COMPUTED_VALUE"""),45322)</f>
        <v>45322</v>
      </c>
      <c r="G85" s="16">
        <f ca="1">IFERROR(__xludf.DUMMYFUNCTION("""COMPUTED_VALUE"""),144000000)</f>
        <v>144000000</v>
      </c>
      <c r="H85" s="16" t="str">
        <f ca="1">IFERROR(__xludf.DUMMYFUNCTION("""COMPUTED_VALUE""")," Con Giro por Anticipo ")</f>
        <v xml:space="preserve"> Con Giro por Anticipo </v>
      </c>
      <c r="I85" s="16">
        <f ca="1">IFERROR(__xludf.DUMMYFUNCTION("""COMPUTED_VALUE"""),138147471)</f>
        <v>138147471</v>
      </c>
      <c r="J85" s="83" t="s">
        <v>48</v>
      </c>
      <c r="K85" s="16">
        <f ca="1">IFERROR(__xludf.DUMMYFUNCTION("""COMPUTED_VALUE"""),72193443)</f>
        <v>72193443</v>
      </c>
      <c r="L85" s="16"/>
      <c r="M85" s="16"/>
      <c r="N85" s="21">
        <f ca="1">IFERROR(__xludf.DUMMYFUNCTION("""COMPUTED_VALUE"""),65954028)</f>
        <v>65954028</v>
      </c>
      <c r="O85" s="19"/>
      <c r="P85" s="19"/>
      <c r="Q85" s="19"/>
      <c r="R85" s="19"/>
      <c r="S85" s="19"/>
      <c r="T85" s="19"/>
      <c r="U85" s="19"/>
      <c r="V85" s="19"/>
      <c r="W85" s="20">
        <f ca="1">IFERROR(__xludf.DUMMYFUNCTION("""COMPUTED_VALUE"""),138147471)</f>
        <v>138147471</v>
      </c>
      <c r="X85" s="20" t="str">
        <f ca="1">IFERROR(__xludf.DUMMYFUNCTION("""COMPUTED_VALUE""")," MUNICIPALIDAD DE LOTA ")</f>
        <v xml:space="preserve"> MUNICIPALIDAD DE LOTA </v>
      </c>
    </row>
    <row r="86" spans="1:24" ht="15.75" customHeight="1" x14ac:dyDescent="0.25">
      <c r="A86" s="16" t="str">
        <f ca="1">IFERROR(__xludf.DUMMYFUNCTION("""COMPUTED_VALUE""")," REGIÓN DEL BIOBÍO ")</f>
        <v xml:space="preserve"> REGIÓN DEL BIOBÍO </v>
      </c>
      <c r="B86" s="16" t="str">
        <f t="shared" ca="1" si="0"/>
        <v xml:space="preserve"> LOTA </v>
      </c>
      <c r="C86" s="16" t="str">
        <f ca="1">IFERROR(__xludf.DUMMYFUNCTION("""COMPUTED_VALUE""")," CONSTRUCCIÓN PASAMANOS Y MEJORAMIENTO DE ESCALERA ESCUELA GETSEMANI SECTOR CANTERA, LOTA. ")</f>
        <v xml:space="preserve"> CONSTRUCCIÓN PASAMANOS Y MEJORAMIENTO DE ESCALERA ESCUELA GETSEMANI SECTOR CANTERA, LOTA. </v>
      </c>
      <c r="D86" s="16" t="str">
        <f ca="1">IFERROR(__xludf.DUMMYFUNCTION("""COMPUTED_VALUE""")," 1-K-2023-217 ")</f>
        <v xml:space="preserve"> 1-K-2023-217 </v>
      </c>
      <c r="E86" s="16" t="str">
        <f ca="1">IFERROR(__xludf.DUMMYFUNCTION("""COMPUTED_VALUE""")," Con Giro por Anticipo ")</f>
        <v xml:space="preserve"> Con Giro por Anticipo </v>
      </c>
      <c r="F86" s="17">
        <f ca="1">IFERROR(__xludf.DUMMYFUNCTION("""COMPUTED_VALUE"""),45322)</f>
        <v>45322</v>
      </c>
      <c r="G86" s="16">
        <f ca="1">IFERROR(__xludf.DUMMYFUNCTION("""COMPUTED_VALUE"""),144000000)</f>
        <v>144000000</v>
      </c>
      <c r="H86" s="16" t="str">
        <f ca="1">IFERROR(__xludf.DUMMYFUNCTION("""COMPUTED_VALUE""")," Con Giro por Anticipo ")</f>
        <v xml:space="preserve"> Con Giro por Anticipo </v>
      </c>
      <c r="I86" s="16">
        <f ca="1">IFERROR(__xludf.DUMMYFUNCTION("""COMPUTED_VALUE"""),140842104)</f>
        <v>140842104</v>
      </c>
      <c r="J86" s="83" t="s">
        <v>48</v>
      </c>
      <c r="K86" s="16">
        <f ca="1">IFERROR(__xludf.DUMMYFUNCTION("""COMPUTED_VALUE"""),71980906)</f>
        <v>71980906</v>
      </c>
      <c r="L86" s="16"/>
      <c r="M86" s="16"/>
      <c r="N86" s="21">
        <f ca="1">IFERROR(__xludf.DUMMYFUNCTION("""COMPUTED_VALUE"""),68861198)</f>
        <v>68861198</v>
      </c>
      <c r="O86" s="19"/>
      <c r="P86" s="19"/>
      <c r="Q86" s="19"/>
      <c r="R86" s="19"/>
      <c r="S86" s="19"/>
      <c r="T86" s="19"/>
      <c r="U86" s="19"/>
      <c r="V86" s="19"/>
      <c r="W86" s="20">
        <f ca="1">IFERROR(__xludf.DUMMYFUNCTION("""COMPUTED_VALUE"""),140842104)</f>
        <v>140842104</v>
      </c>
      <c r="X86" s="20" t="str">
        <f ca="1">IFERROR(__xludf.DUMMYFUNCTION("""COMPUTED_VALUE""")," MUNICIPALIDAD DE LOTA ")</f>
        <v xml:space="preserve"> MUNICIPALIDAD DE LOTA </v>
      </c>
    </row>
    <row r="87" spans="1:24" ht="15.75" customHeight="1" x14ac:dyDescent="0.25">
      <c r="A87" s="16" t="str">
        <f ca="1">IFERROR(__xludf.DUMMYFUNCTION("""COMPUTED_VALUE""")," REGIÓN DEL BIOBÍO ")</f>
        <v xml:space="preserve"> REGIÓN DEL BIOBÍO </v>
      </c>
      <c r="B87" s="16" t="str">
        <f t="shared" ca="1" si="0"/>
        <v xml:space="preserve"> LOTA </v>
      </c>
      <c r="C87" s="16" t="str">
        <f ca="1">IFERROR(__xludf.DUMMYFUNCTION("""COMPUTED_VALUE""")," CONSTRUCCIÓN REDUCTORES DE VELOCIDAD ENTRE CALLE PEDRO AGUIRRE CERDA Y SOTOMAYOR SECTOR CENTRO, LOTA. ")</f>
        <v xml:space="preserve"> CONSTRUCCIÓN REDUCTORES DE VELOCIDAD ENTRE CALLE PEDRO AGUIRRE CERDA Y SOTOMAYOR SECTOR CENTRO, LOTA. </v>
      </c>
      <c r="D87" s="16" t="str">
        <f ca="1">IFERROR(__xludf.DUMMYFUNCTION("""COMPUTED_VALUE""")," 1-K-2023-218 ")</f>
        <v xml:space="preserve"> 1-K-2023-218 </v>
      </c>
      <c r="E87" s="16" t="str">
        <f ca="1">IFERROR(__xludf.DUMMYFUNCTION("""COMPUTED_VALUE""")," Con Giro por Anticipo ")</f>
        <v xml:space="preserve"> Con Giro por Anticipo </v>
      </c>
      <c r="F87" s="17">
        <f ca="1">IFERROR(__xludf.DUMMYFUNCTION("""COMPUTED_VALUE"""),45322)</f>
        <v>45322</v>
      </c>
      <c r="G87" s="16">
        <f ca="1">IFERROR(__xludf.DUMMYFUNCTION("""COMPUTED_VALUE"""),146000000)</f>
        <v>146000000</v>
      </c>
      <c r="H87" s="16" t="str">
        <f ca="1">IFERROR(__xludf.DUMMYFUNCTION("""COMPUTED_VALUE""")," Con Giro por Anticipo ")</f>
        <v xml:space="preserve"> Con Giro por Anticipo </v>
      </c>
      <c r="I87" s="16">
        <f ca="1">IFERROR(__xludf.DUMMYFUNCTION("""COMPUTED_VALUE"""),143334381)</f>
        <v>143334381</v>
      </c>
      <c r="J87" s="83" t="s">
        <v>48</v>
      </c>
      <c r="K87" s="16">
        <f ca="1">IFERROR(__xludf.DUMMYFUNCTION("""COMPUTED_VALUE"""),73227044)</f>
        <v>73227044</v>
      </c>
      <c r="L87" s="16"/>
      <c r="M87" s="16"/>
      <c r="N87" s="21">
        <f ca="1">IFERROR(__xludf.DUMMYFUNCTION("""COMPUTED_VALUE"""),70107337)</f>
        <v>70107337</v>
      </c>
      <c r="O87" s="19"/>
      <c r="P87" s="19"/>
      <c r="Q87" s="19"/>
      <c r="R87" s="19"/>
      <c r="S87" s="19"/>
      <c r="T87" s="19"/>
      <c r="U87" s="19"/>
      <c r="V87" s="19"/>
      <c r="W87" s="20">
        <f ca="1">IFERROR(__xludf.DUMMYFUNCTION("""COMPUTED_VALUE"""),143334381)</f>
        <v>143334381</v>
      </c>
      <c r="X87" s="20" t="str">
        <f ca="1">IFERROR(__xludf.DUMMYFUNCTION("""COMPUTED_VALUE""")," MUNICIPALIDAD DE LOTA ")</f>
        <v xml:space="preserve"> MUNICIPALIDAD DE LOTA </v>
      </c>
    </row>
    <row r="88" spans="1:24" ht="15.75" customHeight="1" x14ac:dyDescent="0.25">
      <c r="A88" s="16" t="str">
        <f ca="1">IFERROR(__xludf.DUMMYFUNCTION("""COMPUTED_VALUE""")," REGIÓN DEL BIOBÍO ")</f>
        <v xml:space="preserve"> REGIÓN DEL BIOBÍO </v>
      </c>
      <c r="B88" s="16" t="str">
        <f t="shared" ca="1" si="0"/>
        <v xml:space="preserve"> LOTA </v>
      </c>
      <c r="C88" s="16" t="str">
        <f ca="1">IFERROR(__xludf.DUMMYFUNCTION("""COMPUTED_VALUE""")," CONSTRUCCIÓN PASAMANOS Y REPOSICIÓN DE ACERA PASAJE E. RIQUELME SECTOR VISTA HERMOSA, LOTA. ")</f>
        <v xml:space="preserve"> CONSTRUCCIÓN PASAMANOS Y REPOSICIÓN DE ACERA PASAJE E. RIQUELME SECTOR VISTA HERMOSA, LOTA. </v>
      </c>
      <c r="D88" s="16" t="str">
        <f ca="1">IFERROR(__xludf.DUMMYFUNCTION("""COMPUTED_VALUE""")," 1-K-2023-219 ")</f>
        <v xml:space="preserve"> 1-K-2023-219 </v>
      </c>
      <c r="E88" s="16" t="str">
        <f ca="1">IFERROR(__xludf.DUMMYFUNCTION("""COMPUTED_VALUE""")," Con Giro por Anticipo ")</f>
        <v xml:space="preserve"> Con Giro por Anticipo </v>
      </c>
      <c r="F88" s="17">
        <f ca="1">IFERROR(__xludf.DUMMYFUNCTION("""COMPUTED_VALUE"""),45322)</f>
        <v>45322</v>
      </c>
      <c r="G88" s="16">
        <f ca="1">IFERROR(__xludf.DUMMYFUNCTION("""COMPUTED_VALUE"""),142000000)</f>
        <v>142000000</v>
      </c>
      <c r="H88" s="16" t="str">
        <f ca="1">IFERROR(__xludf.DUMMYFUNCTION("""COMPUTED_VALUE""")," Con Giro por Anticipo ")</f>
        <v xml:space="preserve"> Con Giro por Anticipo </v>
      </c>
      <c r="I88" s="16">
        <f ca="1">IFERROR(__xludf.DUMMYFUNCTION("""COMPUTED_VALUE"""),141851817)</f>
        <v>141851817</v>
      </c>
      <c r="J88" s="83" t="s">
        <v>48</v>
      </c>
      <c r="K88" s="16">
        <f ca="1">IFERROR(__xludf.DUMMYFUNCTION("""COMPUTED_VALUE"""),70925909)</f>
        <v>70925909</v>
      </c>
      <c r="L88" s="16"/>
      <c r="M88" s="16"/>
      <c r="N88" s="21">
        <f ca="1">IFERROR(__xludf.DUMMYFUNCTION("""COMPUTED_VALUE"""),70925908)</f>
        <v>70925908</v>
      </c>
      <c r="O88" s="19"/>
      <c r="P88" s="19"/>
      <c r="Q88" s="19"/>
      <c r="R88" s="19"/>
      <c r="S88" s="19"/>
      <c r="T88" s="19"/>
      <c r="U88" s="19"/>
      <c r="V88" s="19"/>
      <c r="W88" s="20">
        <f ca="1">IFERROR(__xludf.DUMMYFUNCTION("""COMPUTED_VALUE"""),141851817)</f>
        <v>141851817</v>
      </c>
      <c r="X88" s="20" t="str">
        <f ca="1">IFERROR(__xludf.DUMMYFUNCTION("""COMPUTED_VALUE""")," MUNICIPALIDAD DE LOTA ")</f>
        <v xml:space="preserve"> MUNICIPALIDAD DE LOTA </v>
      </c>
    </row>
    <row r="89" spans="1:24" ht="15.75" customHeight="1" x14ac:dyDescent="0.25">
      <c r="A89" s="16" t="str">
        <f ca="1">IFERROR(__xludf.DUMMYFUNCTION("""COMPUTED_VALUE""")," REGIÓN DEL BIOBÍO ")</f>
        <v xml:space="preserve"> REGIÓN DEL BIOBÍO </v>
      </c>
      <c r="B89" s="16" t="str">
        <f t="shared" ca="1" si="0"/>
        <v xml:space="preserve"> LOTA </v>
      </c>
      <c r="C89" s="16" t="str">
        <f ca="1">IFERROR(__xludf.DUMMYFUNCTION("""COMPUTED_VALUE""")," MEJORAMIENTO ÁREA VERDE, EN SENDA PEATONAL ANDALUCÍA POBL. ESPAÑA, LOTA. ")</f>
        <v xml:space="preserve"> MEJORAMIENTO ÁREA VERDE, EN SENDA PEATONAL ANDALUCÍA POBL. ESPAÑA, LOTA. </v>
      </c>
      <c r="D89" s="16" t="str">
        <f ca="1">IFERROR(__xludf.DUMMYFUNCTION("""COMPUTED_VALUE""")," 1-K-2023-220 ")</f>
        <v xml:space="preserve"> 1-K-2023-220 </v>
      </c>
      <c r="E89" s="16" t="str">
        <f ca="1">IFERROR(__xludf.DUMMYFUNCTION("""COMPUTED_VALUE""")," Con Giro por Anticipo ")</f>
        <v xml:space="preserve"> Con Giro por Anticipo </v>
      </c>
      <c r="F89" s="17">
        <f ca="1">IFERROR(__xludf.DUMMYFUNCTION("""COMPUTED_VALUE"""),45322)</f>
        <v>45322</v>
      </c>
      <c r="G89" s="16">
        <f ca="1">IFERROR(__xludf.DUMMYFUNCTION("""COMPUTED_VALUE"""),147000000)</f>
        <v>147000000</v>
      </c>
      <c r="H89" s="16" t="str">
        <f ca="1">IFERROR(__xludf.DUMMYFUNCTION("""COMPUTED_VALUE""")," Con Giro por Anticipo ")</f>
        <v xml:space="preserve"> Con Giro por Anticipo </v>
      </c>
      <c r="I89" s="16">
        <f ca="1">IFERROR(__xludf.DUMMYFUNCTION("""COMPUTED_VALUE"""),140326676)</f>
        <v>140326676</v>
      </c>
      <c r="J89" s="83" t="s">
        <v>48</v>
      </c>
      <c r="K89" s="16">
        <f ca="1">IFERROR(__xludf.DUMMYFUNCTION("""COMPUTED_VALUE"""),73283045)</f>
        <v>73283045</v>
      </c>
      <c r="L89" s="16"/>
      <c r="M89" s="16"/>
      <c r="N89" s="21">
        <f ca="1">IFERROR(__xludf.DUMMYFUNCTION("""COMPUTED_VALUE"""),67043631)</f>
        <v>67043631</v>
      </c>
      <c r="O89" s="19"/>
      <c r="P89" s="19"/>
      <c r="Q89" s="19"/>
      <c r="R89" s="19"/>
      <c r="S89" s="19"/>
      <c r="T89" s="19"/>
      <c r="U89" s="19"/>
      <c r="V89" s="19"/>
      <c r="W89" s="20">
        <f ca="1">IFERROR(__xludf.DUMMYFUNCTION("""COMPUTED_VALUE"""),140326676)</f>
        <v>140326676</v>
      </c>
      <c r="X89" s="20" t="str">
        <f ca="1">IFERROR(__xludf.DUMMYFUNCTION("""COMPUTED_VALUE""")," MUNICIPALIDAD DE LOTA ")</f>
        <v xml:space="preserve"> MUNICIPALIDAD DE LOTA </v>
      </c>
    </row>
    <row r="90" spans="1:24" ht="15.75" customHeight="1" x14ac:dyDescent="0.25">
      <c r="A90" s="16" t="str">
        <f ca="1">IFERROR(__xludf.DUMMYFUNCTION("""COMPUTED_VALUE""")," REGIÓN DEL BIOBÍO ")</f>
        <v xml:space="preserve"> REGIÓN DEL BIOBÍO </v>
      </c>
      <c r="B90" s="16" t="str">
        <f t="shared" ca="1" si="0"/>
        <v xml:space="preserve"> LOTA </v>
      </c>
      <c r="C90" s="16" t="str">
        <f ca="1">IFERROR(__xludf.DUMMYFUNCTION("""COMPUTED_VALUE""")," COLOCACIÓN VALLA Y BARRERA DE CONTENCIÓN ESQUINA NORPONIENTE CALLE LAJA, POBL. SOTOMAYOR, LOTA. ")</f>
        <v xml:space="preserve"> COLOCACIÓN VALLA Y BARRERA DE CONTENCIÓN ESQUINA NORPONIENTE CALLE LAJA, POBL. SOTOMAYOR, LOTA. </v>
      </c>
      <c r="D90" s="16" t="str">
        <f ca="1">IFERROR(__xludf.DUMMYFUNCTION("""COMPUTED_VALUE""")," 1-K-2023-221 ")</f>
        <v xml:space="preserve"> 1-K-2023-221 </v>
      </c>
      <c r="E90" s="16" t="str">
        <f ca="1">IFERROR(__xludf.DUMMYFUNCTION("""COMPUTED_VALUE""")," Con Giro por Anticipo ")</f>
        <v xml:space="preserve"> Con Giro por Anticipo </v>
      </c>
      <c r="F90" s="17">
        <f ca="1">IFERROR(__xludf.DUMMYFUNCTION("""COMPUTED_VALUE"""),45322)</f>
        <v>45322</v>
      </c>
      <c r="G90" s="16">
        <f ca="1">IFERROR(__xludf.DUMMYFUNCTION("""COMPUTED_VALUE"""),145000000)</f>
        <v>145000000</v>
      </c>
      <c r="H90" s="16" t="str">
        <f ca="1">IFERROR(__xludf.DUMMYFUNCTION("""COMPUTED_VALUE""")," Con Giro por Anticipo ")</f>
        <v xml:space="preserve"> Con Giro por Anticipo </v>
      </c>
      <c r="I90" s="16">
        <f ca="1">IFERROR(__xludf.DUMMYFUNCTION("""COMPUTED_VALUE"""),145405453)</f>
        <v>145405453</v>
      </c>
      <c r="J90" s="83" t="s">
        <v>48</v>
      </c>
      <c r="K90" s="16">
        <f ca="1">IFERROR(__xludf.DUMMYFUNCTION("""COMPUTED_VALUE"""),72702727)</f>
        <v>72702727</v>
      </c>
      <c r="L90" s="16"/>
      <c r="M90" s="16"/>
      <c r="N90" s="21">
        <f ca="1">IFERROR(__xludf.DUMMYFUNCTION("""COMPUTED_VALUE"""),72702726)</f>
        <v>72702726</v>
      </c>
      <c r="O90" s="19"/>
      <c r="P90" s="19"/>
      <c r="Q90" s="19"/>
      <c r="R90" s="19"/>
      <c r="S90" s="19"/>
      <c r="T90" s="19"/>
      <c r="U90" s="19"/>
      <c r="V90" s="19"/>
      <c r="W90" s="20">
        <f ca="1">IFERROR(__xludf.DUMMYFUNCTION("""COMPUTED_VALUE"""),145405453)</f>
        <v>145405453</v>
      </c>
      <c r="X90" s="20" t="str">
        <f ca="1">IFERROR(__xludf.DUMMYFUNCTION("""COMPUTED_VALUE""")," MUNICIPALIDAD DE LOTA ")</f>
        <v xml:space="preserve"> MUNICIPALIDAD DE LOTA </v>
      </c>
    </row>
    <row r="91" spans="1:24" ht="15.75" customHeight="1" x14ac:dyDescent="0.25">
      <c r="A91" s="16" t="str">
        <f ca="1">IFERROR(__xludf.DUMMYFUNCTION("""COMPUTED_VALUE""")," REGIÓN DEL BIOBÍO ")</f>
        <v xml:space="preserve"> REGIÓN DEL BIOBÍO </v>
      </c>
      <c r="B91" s="16" t="str">
        <f t="shared" ca="1" si="0"/>
        <v xml:space="preserve"> LOTA </v>
      </c>
      <c r="C91" s="16" t="str">
        <f ca="1">IFERROR(__xludf.DUMMYFUNCTION("""COMPUTED_VALUE""")," MEJORAMIENTO ÁREA VERDE PJE. LA PAZ Y PORVENIR SECTOR PUESTA DE SOL, LOTA. ")</f>
        <v xml:space="preserve"> MEJORAMIENTO ÁREA VERDE PJE. LA PAZ Y PORVENIR SECTOR PUESTA DE SOL, LOTA. </v>
      </c>
      <c r="D91" s="16" t="str">
        <f ca="1">IFERROR(__xludf.DUMMYFUNCTION("""COMPUTED_VALUE""")," 1-K-2023-222 ")</f>
        <v xml:space="preserve"> 1-K-2023-222 </v>
      </c>
      <c r="E91" s="16" t="str">
        <f ca="1">IFERROR(__xludf.DUMMYFUNCTION("""COMPUTED_VALUE""")," Con Giro por Anticipo ")</f>
        <v xml:space="preserve"> Con Giro por Anticipo </v>
      </c>
      <c r="F91" s="17">
        <f ca="1">IFERROR(__xludf.DUMMYFUNCTION("""COMPUTED_VALUE"""),45322)</f>
        <v>45322</v>
      </c>
      <c r="G91" s="16">
        <f ca="1">IFERROR(__xludf.DUMMYFUNCTION("""COMPUTED_VALUE"""),154000000)</f>
        <v>154000000</v>
      </c>
      <c r="H91" s="16" t="str">
        <f ca="1">IFERROR(__xludf.DUMMYFUNCTION("""COMPUTED_VALUE""")," Con Giro por Anticipo ")</f>
        <v xml:space="preserve"> Con Giro por Anticipo </v>
      </c>
      <c r="I91" s="16">
        <f ca="1">IFERROR(__xludf.DUMMYFUNCTION("""COMPUTED_VALUE"""),150718006)</f>
        <v>150718006</v>
      </c>
      <c r="J91" s="83" t="s">
        <v>48</v>
      </c>
      <c r="K91" s="16">
        <f ca="1">IFERROR(__xludf.DUMMYFUNCTION("""COMPUTED_VALUE"""),76918857)</f>
        <v>76918857</v>
      </c>
      <c r="L91" s="16"/>
      <c r="M91" s="16"/>
      <c r="N91" s="21">
        <f ca="1">IFERROR(__xludf.DUMMYFUNCTION("""COMPUTED_VALUE"""),73799149)</f>
        <v>73799149</v>
      </c>
      <c r="O91" s="19"/>
      <c r="P91" s="19"/>
      <c r="Q91" s="19"/>
      <c r="R91" s="19"/>
      <c r="S91" s="19"/>
      <c r="T91" s="19"/>
      <c r="U91" s="19"/>
      <c r="V91" s="19"/>
      <c r="W91" s="20">
        <f ca="1">IFERROR(__xludf.DUMMYFUNCTION("""COMPUTED_VALUE"""),150718006)</f>
        <v>150718006</v>
      </c>
      <c r="X91" s="20" t="str">
        <f ca="1">IFERROR(__xludf.DUMMYFUNCTION("""COMPUTED_VALUE""")," MUNICIPALIDAD DE LOTA ")</f>
        <v xml:space="preserve"> MUNICIPALIDAD DE LOTA </v>
      </c>
    </row>
    <row r="92" spans="1:24" ht="15.75" customHeight="1" x14ac:dyDescent="0.25">
      <c r="A92" s="16" t="str">
        <f ca="1">IFERROR(__xludf.DUMMYFUNCTION("""COMPUTED_VALUE""")," REGIÓN DEL BIOBÍO ")</f>
        <v xml:space="preserve"> REGIÓN DEL BIOBÍO </v>
      </c>
      <c r="B92" s="16" t="str">
        <f t="shared" ca="1" si="0"/>
        <v xml:space="preserve"> LOTA </v>
      </c>
      <c r="C92" s="16" t="str">
        <f ca="1">IFERROR(__xludf.DUMMYFUNCTION("""COMPUTED_VALUE""")," COLOCACIÓN CIERRE DE PROTECCIÓN CALLE BALDOMERO LILLO, POBL. V. EL ESFUERZO, LOTA. ")</f>
        <v xml:space="preserve"> COLOCACIÓN CIERRE DE PROTECCIÓN CALLE BALDOMERO LILLO, POBL. V. EL ESFUERZO, LOTA. </v>
      </c>
      <c r="D92" s="16" t="str">
        <f ca="1">IFERROR(__xludf.DUMMYFUNCTION("""COMPUTED_VALUE""")," 1-K-2023-223 ")</f>
        <v xml:space="preserve"> 1-K-2023-223 </v>
      </c>
      <c r="E92" s="16" t="str">
        <f ca="1">IFERROR(__xludf.DUMMYFUNCTION("""COMPUTED_VALUE""")," Con Giro por Anticipo ")</f>
        <v xml:space="preserve"> Con Giro por Anticipo </v>
      </c>
      <c r="F92" s="17">
        <f ca="1">IFERROR(__xludf.DUMMYFUNCTION("""COMPUTED_VALUE"""),45322)</f>
        <v>45322</v>
      </c>
      <c r="G92" s="16">
        <f ca="1">IFERROR(__xludf.DUMMYFUNCTION("""COMPUTED_VALUE"""),139000000)</f>
        <v>139000000</v>
      </c>
      <c r="H92" s="16" t="str">
        <f ca="1">IFERROR(__xludf.DUMMYFUNCTION("""COMPUTED_VALUE""")," Con Giro por Anticipo ")</f>
        <v xml:space="preserve"> Con Giro por Anticipo </v>
      </c>
      <c r="I92" s="16">
        <f ca="1">IFERROR(__xludf.DUMMYFUNCTION("""COMPUTED_VALUE"""),138761195)</f>
        <v>138761195</v>
      </c>
      <c r="J92" s="83" t="s">
        <v>48</v>
      </c>
      <c r="K92" s="16">
        <f ca="1">IFERROR(__xludf.DUMMYFUNCTION("""COMPUTED_VALUE"""),69380598)</f>
        <v>69380598</v>
      </c>
      <c r="L92" s="16"/>
      <c r="M92" s="16"/>
      <c r="N92" s="21">
        <f ca="1">IFERROR(__xludf.DUMMYFUNCTION("""COMPUTED_VALUE"""),69380597)</f>
        <v>69380597</v>
      </c>
      <c r="O92" s="19"/>
      <c r="P92" s="19"/>
      <c r="Q92" s="19"/>
      <c r="R92" s="19"/>
      <c r="S92" s="19"/>
      <c r="T92" s="19"/>
      <c r="U92" s="19"/>
      <c r="V92" s="19"/>
      <c r="W92" s="20">
        <f ca="1">IFERROR(__xludf.DUMMYFUNCTION("""COMPUTED_VALUE"""),138761195)</f>
        <v>138761195</v>
      </c>
      <c r="X92" s="20" t="str">
        <f ca="1">IFERROR(__xludf.DUMMYFUNCTION("""COMPUTED_VALUE""")," MUNICIPALIDAD DE LOTA ")</f>
        <v xml:space="preserve"> MUNICIPALIDAD DE LOTA </v>
      </c>
    </row>
    <row r="93" spans="1:24" ht="15.75" customHeight="1" x14ac:dyDescent="0.25">
      <c r="A93" s="16" t="str">
        <f ca="1">IFERROR(__xludf.DUMMYFUNCTION("""COMPUTED_VALUE""")," REGIÓN DEL BIOBÍO ")</f>
        <v xml:space="preserve"> REGIÓN DEL BIOBÍO </v>
      </c>
      <c r="B93" s="16" t="str">
        <f t="shared" ca="1" si="0"/>
        <v xml:space="preserve"> LOTA </v>
      </c>
      <c r="C93" s="16" t="str">
        <f ca="1">IFERROR(__xludf.DUMMYFUNCTION("""COMPUTED_VALUE""")," RECONSTRUCCIÓN Y CONSTRUCCIÓN DE RESALTOS REDUCTORES DE VELOCIDAD EN: CALLE ACCESO AL ROBLE ALTO, LOTA. ")</f>
        <v xml:space="preserve"> RECONSTRUCCIÓN Y CONSTRUCCIÓN DE RESALTOS REDUCTORES DE VELOCIDAD EN: CALLE ACCESO AL ROBLE ALTO, LOTA. </v>
      </c>
      <c r="D93" s="16" t="str">
        <f ca="1">IFERROR(__xludf.DUMMYFUNCTION("""COMPUTED_VALUE""")," 1-K-2023-224 ")</f>
        <v xml:space="preserve"> 1-K-2023-224 </v>
      </c>
      <c r="E93" s="16" t="str">
        <f ca="1">IFERROR(__xludf.DUMMYFUNCTION("""COMPUTED_VALUE""")," Con Giro por Anticipo ")</f>
        <v xml:space="preserve"> Con Giro por Anticipo </v>
      </c>
      <c r="F93" s="17">
        <f ca="1">IFERROR(__xludf.DUMMYFUNCTION("""COMPUTED_VALUE"""),45322)</f>
        <v>45322</v>
      </c>
      <c r="G93" s="16">
        <f ca="1">IFERROR(__xludf.DUMMYFUNCTION("""COMPUTED_VALUE"""),143000000)</f>
        <v>143000000</v>
      </c>
      <c r="H93" s="16" t="str">
        <f ca="1">IFERROR(__xludf.DUMMYFUNCTION("""COMPUTED_VALUE""")," Con Giro por Anticipo ")</f>
        <v xml:space="preserve"> Con Giro por Anticipo </v>
      </c>
      <c r="I93" s="16">
        <f ca="1">IFERROR(__xludf.DUMMYFUNCTION("""COMPUTED_VALUE"""),136984537)</f>
        <v>136984537</v>
      </c>
      <c r="J93" s="83" t="s">
        <v>48</v>
      </c>
      <c r="K93" s="16">
        <f ca="1">IFERROR(__xludf.DUMMYFUNCTION("""COMPUTED_VALUE"""),71611976)</f>
        <v>71611976</v>
      </c>
      <c r="L93" s="16"/>
      <c r="M93" s="16"/>
      <c r="N93" s="21">
        <f ca="1">IFERROR(__xludf.DUMMYFUNCTION("""COMPUTED_VALUE"""),65372561)</f>
        <v>65372561</v>
      </c>
      <c r="O93" s="19"/>
      <c r="P93" s="19"/>
      <c r="Q93" s="19"/>
      <c r="R93" s="19"/>
      <c r="S93" s="19"/>
      <c r="T93" s="19"/>
      <c r="U93" s="19"/>
      <c r="V93" s="19"/>
      <c r="W93" s="20">
        <f ca="1">IFERROR(__xludf.DUMMYFUNCTION("""COMPUTED_VALUE"""),136984537)</f>
        <v>136984537</v>
      </c>
      <c r="X93" s="20" t="str">
        <f ca="1">IFERROR(__xludf.DUMMYFUNCTION("""COMPUTED_VALUE""")," MUNICIPALIDAD DE LOTA ")</f>
        <v xml:space="preserve"> MUNICIPALIDAD DE LOTA </v>
      </c>
    </row>
    <row r="94" spans="1:24" ht="15.75" customHeight="1" x14ac:dyDescent="0.25">
      <c r="A94" s="16" t="str">
        <f ca="1">IFERROR(__xludf.DUMMYFUNCTION("""COMPUTED_VALUE""")," REGIÓN DEL BIOBÍO ")</f>
        <v xml:space="preserve"> REGIÓN DEL BIOBÍO </v>
      </c>
      <c r="B94" s="16" t="str">
        <f t="shared" ca="1" si="0"/>
        <v xml:space="preserve"> LOTA </v>
      </c>
      <c r="C94" s="16" t="str">
        <f ca="1">IFERROR(__xludf.DUMMYFUNCTION("""COMPUTED_VALUE""")," MEJORAMIENTO MULTICANCHA SECTOR CAMILO ESCALONA, LOTA ")</f>
        <v xml:space="preserve"> MEJORAMIENTO MULTICANCHA SECTOR CAMILO ESCALONA, LOTA </v>
      </c>
      <c r="D94" s="16" t="str">
        <f ca="1">IFERROR(__xludf.DUMMYFUNCTION("""COMPUTED_VALUE""")," 1-K-2023-225 ")</f>
        <v xml:space="preserve"> 1-K-2023-225 </v>
      </c>
      <c r="E94" s="16" t="str">
        <f ca="1">IFERROR(__xludf.DUMMYFUNCTION("""COMPUTED_VALUE""")," Con Giro por Anticipo ")</f>
        <v xml:space="preserve"> Con Giro por Anticipo </v>
      </c>
      <c r="F94" s="17">
        <f ca="1">IFERROR(__xludf.DUMMYFUNCTION("""COMPUTED_VALUE"""),45321)</f>
        <v>45321</v>
      </c>
      <c r="G94" s="16">
        <f ca="1">IFERROR(__xludf.DUMMYFUNCTION("""COMPUTED_VALUE"""),147000000)</f>
        <v>147000000</v>
      </c>
      <c r="H94" s="16" t="str">
        <f ca="1">IFERROR(__xludf.DUMMYFUNCTION("""COMPUTED_VALUE""")," Con Giro por Anticipo ")</f>
        <v xml:space="preserve"> Con Giro por Anticipo </v>
      </c>
      <c r="I94" s="16">
        <f ca="1">IFERROR(__xludf.DUMMYFUNCTION("""COMPUTED_VALUE"""),147005787)</f>
        <v>147005787</v>
      </c>
      <c r="J94" s="83" t="s">
        <v>48</v>
      </c>
      <c r="K94" s="16">
        <f ca="1">IFERROR(__xludf.DUMMYFUNCTION("""COMPUTED_VALUE"""),73502894)</f>
        <v>73502894</v>
      </c>
      <c r="L94" s="16"/>
      <c r="M94" s="16"/>
      <c r="N94" s="21">
        <f ca="1">IFERROR(__xludf.DUMMYFUNCTION("""COMPUTED_VALUE"""),73502893)</f>
        <v>73502893</v>
      </c>
      <c r="O94" s="19"/>
      <c r="P94" s="19"/>
      <c r="Q94" s="19"/>
      <c r="R94" s="19"/>
      <c r="S94" s="19"/>
      <c r="T94" s="19"/>
      <c r="U94" s="19"/>
      <c r="V94" s="19"/>
      <c r="W94" s="20">
        <f ca="1">IFERROR(__xludf.DUMMYFUNCTION("""COMPUTED_VALUE"""),147005787)</f>
        <v>147005787</v>
      </c>
      <c r="X94" s="20" t="str">
        <f ca="1">IFERROR(__xludf.DUMMYFUNCTION("""COMPUTED_VALUE""")," MUNICIPALIDAD DE LOTA ")</f>
        <v xml:space="preserve"> MUNICIPALIDAD DE LOTA </v>
      </c>
    </row>
    <row r="95" spans="1:24" ht="15.75" customHeight="1" x14ac:dyDescent="0.25">
      <c r="A95" s="16" t="str">
        <f ca="1">IFERROR(__xludf.DUMMYFUNCTION("""COMPUTED_VALUE""")," REGIÓN DEL BIOBÍO ")</f>
        <v xml:space="preserve"> REGIÓN DEL BIOBÍO </v>
      </c>
      <c r="B95" s="16" t="str">
        <f t="shared" ca="1" si="0"/>
        <v xml:space="preserve"> LOTA </v>
      </c>
      <c r="C95" s="16" t="str">
        <f ca="1">IFERROR(__xludf.DUMMYFUNCTION("""COMPUTED_VALUE""")," MEJORAMIENTO MIRADOR MONTE SINAÍ SECTOR CAMILO ESCALONA, LOTA. ")</f>
        <v xml:space="preserve"> MEJORAMIENTO MIRADOR MONTE SINAÍ SECTOR CAMILO ESCALONA, LOTA. </v>
      </c>
      <c r="D95" s="16" t="str">
        <f ca="1">IFERROR(__xludf.DUMMYFUNCTION("""COMPUTED_VALUE""")," 1-K-2023-226 ")</f>
        <v xml:space="preserve"> 1-K-2023-226 </v>
      </c>
      <c r="E95" s="16" t="str">
        <f ca="1">IFERROR(__xludf.DUMMYFUNCTION("""COMPUTED_VALUE""")," Con Giro por Anticipo ")</f>
        <v xml:space="preserve"> Con Giro por Anticipo </v>
      </c>
      <c r="F95" s="17">
        <f ca="1">IFERROR(__xludf.DUMMYFUNCTION("""COMPUTED_VALUE"""),45322)</f>
        <v>45322</v>
      </c>
      <c r="G95" s="16">
        <f ca="1">IFERROR(__xludf.DUMMYFUNCTION("""COMPUTED_VALUE"""),141000000)</f>
        <v>141000000</v>
      </c>
      <c r="H95" s="16" t="str">
        <f ca="1">IFERROR(__xludf.DUMMYFUNCTION("""COMPUTED_VALUE""")," Con Giro por Anticipo ")</f>
        <v xml:space="preserve"> Con Giro por Anticipo </v>
      </c>
      <c r="I95" s="16">
        <f ca="1">IFERROR(__xludf.DUMMYFUNCTION("""COMPUTED_VALUE"""),138171371)</f>
        <v>138171371</v>
      </c>
      <c r="J95" s="83" t="s">
        <v>48</v>
      </c>
      <c r="K95" s="16">
        <f ca="1">IFERROR(__xludf.DUMMYFUNCTION("""COMPUTED_VALUE"""),70645539)</f>
        <v>70645539</v>
      </c>
      <c r="L95" s="16"/>
      <c r="M95" s="16"/>
      <c r="N95" s="21">
        <f ca="1">IFERROR(__xludf.DUMMYFUNCTION("""COMPUTED_VALUE"""),67525832)</f>
        <v>67525832</v>
      </c>
      <c r="O95" s="19"/>
      <c r="P95" s="19"/>
      <c r="Q95" s="19"/>
      <c r="R95" s="19"/>
      <c r="S95" s="19"/>
      <c r="T95" s="19"/>
      <c r="U95" s="19"/>
      <c r="V95" s="19"/>
      <c r="W95" s="20">
        <f ca="1">IFERROR(__xludf.DUMMYFUNCTION("""COMPUTED_VALUE"""),138171371)</f>
        <v>138171371</v>
      </c>
      <c r="X95" s="20" t="str">
        <f ca="1">IFERROR(__xludf.DUMMYFUNCTION("""COMPUTED_VALUE""")," MUNICIPALIDAD DE LOTA ")</f>
        <v xml:space="preserve"> MUNICIPALIDAD DE LOTA </v>
      </c>
    </row>
    <row r="96" spans="1:24" ht="15.75" customHeight="1" x14ac:dyDescent="0.25">
      <c r="A96" s="16" t="str">
        <f ca="1">IFERROR(__xludf.DUMMYFUNCTION("""COMPUTED_VALUE""")," REGIÓN DEL BIOBÍO ")</f>
        <v xml:space="preserve"> REGIÓN DEL BIOBÍO </v>
      </c>
      <c r="B96" s="16" t="str">
        <f t="shared" ca="1" si="0"/>
        <v xml:space="preserve"> LOTA </v>
      </c>
      <c r="C96" s="16" t="str">
        <f ca="1">IFERROR(__xludf.DUMMYFUNCTION("""COMPUTED_VALUE""")," CONSTRUCCIÓN MURO DE CONTENCIÓN Y MEJORAMIENTO CALLE LAS GOLONDRINAS SECTOR CANTERA, LOTA. ")</f>
        <v xml:space="preserve"> CONSTRUCCIÓN MURO DE CONTENCIÓN Y MEJORAMIENTO CALLE LAS GOLONDRINAS SECTOR CANTERA, LOTA. </v>
      </c>
      <c r="D96" s="16" t="str">
        <f ca="1">IFERROR(__xludf.DUMMYFUNCTION("""COMPUTED_VALUE""")," 1-K-2023-227 ")</f>
        <v xml:space="preserve"> 1-K-2023-227 </v>
      </c>
      <c r="E96" s="16" t="str">
        <f ca="1">IFERROR(__xludf.DUMMYFUNCTION("""COMPUTED_VALUE""")," Con Giro por Anticipo ")</f>
        <v xml:space="preserve"> Con Giro por Anticipo </v>
      </c>
      <c r="F96" s="17">
        <f ca="1">IFERROR(__xludf.DUMMYFUNCTION("""COMPUTED_VALUE"""),45322)</f>
        <v>45322</v>
      </c>
      <c r="G96" s="16">
        <f ca="1">IFERROR(__xludf.DUMMYFUNCTION("""COMPUTED_VALUE"""),140000000)</f>
        <v>140000000</v>
      </c>
      <c r="H96" s="16" t="str">
        <f ca="1">IFERROR(__xludf.DUMMYFUNCTION("""COMPUTED_VALUE""")," Con Giro por Anticipo ")</f>
        <v xml:space="preserve"> Con Giro por Anticipo </v>
      </c>
      <c r="I96" s="16">
        <f ca="1">IFERROR(__xludf.DUMMYFUNCTION("""COMPUTED_VALUE"""),133522787)</f>
        <v>133522787</v>
      </c>
      <c r="J96" s="83" t="s">
        <v>48</v>
      </c>
      <c r="K96" s="16">
        <f ca="1">IFERROR(__xludf.DUMMYFUNCTION("""COMPUTED_VALUE"""),69881101)</f>
        <v>69881101</v>
      </c>
      <c r="L96" s="16"/>
      <c r="M96" s="16"/>
      <c r="N96" s="21">
        <f ca="1">IFERROR(__xludf.DUMMYFUNCTION("""COMPUTED_VALUE"""),63641686)</f>
        <v>63641686</v>
      </c>
      <c r="O96" s="19"/>
      <c r="P96" s="19"/>
      <c r="Q96" s="19"/>
      <c r="R96" s="19"/>
      <c r="S96" s="19"/>
      <c r="T96" s="19"/>
      <c r="U96" s="19"/>
      <c r="V96" s="19"/>
      <c r="W96" s="20">
        <f ca="1">IFERROR(__xludf.DUMMYFUNCTION("""COMPUTED_VALUE"""),133522787)</f>
        <v>133522787</v>
      </c>
      <c r="X96" s="20" t="str">
        <f ca="1">IFERROR(__xludf.DUMMYFUNCTION("""COMPUTED_VALUE""")," MUNICIPALIDAD DE LOTA ")</f>
        <v xml:space="preserve"> MUNICIPALIDAD DE LOTA </v>
      </c>
    </row>
    <row r="97" spans="1:24" ht="15.75" customHeight="1" x14ac:dyDescent="0.25">
      <c r="A97" s="16" t="str">
        <f ca="1">IFERROR(__xludf.DUMMYFUNCTION("""COMPUTED_VALUE""")," REGIÓN DEL BIOBÍO ")</f>
        <v xml:space="preserve"> REGIÓN DEL BIOBÍO </v>
      </c>
      <c r="B97" s="16" t="str">
        <f t="shared" ca="1" si="0"/>
        <v xml:space="preserve"> LOTA </v>
      </c>
      <c r="C97" s="16" t="str">
        <f ca="1">IFERROR(__xludf.DUMMYFUNCTION("""COMPUTED_VALUE""")," MEJORAMIENTO ILUMINACIÓN PEATONAL CALLE FERNANDO MAIRA, ENTRE POLVORÍN Y MIRAMAR, LOTA ")</f>
        <v xml:space="preserve"> MEJORAMIENTO ILUMINACIÓN PEATONAL CALLE FERNANDO MAIRA, ENTRE POLVORÍN Y MIRAMAR, LOTA </v>
      </c>
      <c r="D97" s="16" t="str">
        <f ca="1">IFERROR(__xludf.DUMMYFUNCTION("""COMPUTED_VALUE""")," 1-K-2023-230 ")</f>
        <v xml:space="preserve"> 1-K-2023-230 </v>
      </c>
      <c r="E97" s="16" t="str">
        <f ca="1">IFERROR(__xludf.DUMMYFUNCTION("""COMPUTED_VALUE""")," Con Giro por Anticipo ")</f>
        <v xml:space="preserve"> Con Giro por Anticipo </v>
      </c>
      <c r="F97" s="17">
        <f ca="1">IFERROR(__xludf.DUMMYFUNCTION("""COMPUTED_VALUE"""),45322)</f>
        <v>45322</v>
      </c>
      <c r="G97" s="16">
        <f ca="1">IFERROR(__xludf.DUMMYFUNCTION("""COMPUTED_VALUE"""),151000000)</f>
        <v>151000000</v>
      </c>
      <c r="H97" s="16" t="str">
        <f ca="1">IFERROR(__xludf.DUMMYFUNCTION("""COMPUTED_VALUE""")," Con Giro por Anticipo ")</f>
        <v xml:space="preserve"> Con Giro por Anticipo </v>
      </c>
      <c r="I97" s="16">
        <f ca="1">IFERROR(__xludf.DUMMYFUNCTION("""COMPUTED_VALUE"""),147939042)</f>
        <v>147939042</v>
      </c>
      <c r="J97" s="83" t="s">
        <v>48</v>
      </c>
      <c r="K97" s="16">
        <f ca="1">IFERROR(__xludf.DUMMYFUNCTION("""COMPUTED_VALUE"""),75529375)</f>
        <v>75529375</v>
      </c>
      <c r="L97" s="16"/>
      <c r="M97" s="16"/>
      <c r="N97" s="21">
        <f ca="1">IFERROR(__xludf.DUMMYFUNCTION("""COMPUTED_VALUE"""),72409667)</f>
        <v>72409667</v>
      </c>
      <c r="O97" s="19"/>
      <c r="P97" s="19"/>
      <c r="Q97" s="19"/>
      <c r="R97" s="19"/>
      <c r="S97" s="19"/>
      <c r="T97" s="19"/>
      <c r="U97" s="19"/>
      <c r="V97" s="19"/>
      <c r="W97" s="20">
        <f ca="1">IFERROR(__xludf.DUMMYFUNCTION("""COMPUTED_VALUE"""),147939042)</f>
        <v>147939042</v>
      </c>
      <c r="X97" s="20" t="str">
        <f ca="1">IFERROR(__xludf.DUMMYFUNCTION("""COMPUTED_VALUE""")," MUNICIPALIDAD DE LOTA ")</f>
        <v xml:space="preserve"> MUNICIPALIDAD DE LOTA </v>
      </c>
    </row>
    <row r="98" spans="1:24" ht="15.75" customHeight="1" x14ac:dyDescent="0.25">
      <c r="A98" s="16" t="str">
        <f ca="1">IFERROR(__xludf.DUMMYFUNCTION("""COMPUTED_VALUE""")," REGIÓN DEL BIOBÍO ")</f>
        <v xml:space="preserve"> REGIÓN DEL BIOBÍO </v>
      </c>
      <c r="B98" s="16" t="str">
        <f t="shared" ca="1" si="0"/>
        <v xml:space="preserve"> LOTA </v>
      </c>
      <c r="C98" s="16" t="str">
        <f ca="1">IFERROR(__xludf.DUMMYFUNCTION("""COMPUTED_VALUE""")," MEJORAMIENTO ILUMINACIÓN PEATONAL CALLE 1, VILLA SAN PATRICIO, LOTA ")</f>
        <v xml:space="preserve"> MEJORAMIENTO ILUMINACIÓN PEATONAL CALLE 1, VILLA SAN PATRICIO, LOTA </v>
      </c>
      <c r="D98" s="16" t="str">
        <f ca="1">IFERROR(__xludf.DUMMYFUNCTION("""COMPUTED_VALUE""")," 1-K-2023-231 ")</f>
        <v xml:space="preserve"> 1-K-2023-231 </v>
      </c>
      <c r="E98" s="16" t="str">
        <f ca="1">IFERROR(__xludf.DUMMYFUNCTION("""COMPUTED_VALUE""")," Con Giro por Anticipo ")</f>
        <v xml:space="preserve"> Con Giro por Anticipo </v>
      </c>
      <c r="F98" s="17">
        <f ca="1">IFERROR(__xludf.DUMMYFUNCTION("""COMPUTED_VALUE"""),45322)</f>
        <v>45322</v>
      </c>
      <c r="G98" s="16">
        <f ca="1">IFERROR(__xludf.DUMMYFUNCTION("""COMPUTED_VALUE"""),143000000)</f>
        <v>143000000</v>
      </c>
      <c r="H98" s="16" t="str">
        <f ca="1">IFERROR(__xludf.DUMMYFUNCTION("""COMPUTED_VALUE""")," Con Giro por Anticipo ")</f>
        <v xml:space="preserve"> Con Giro por Anticipo </v>
      </c>
      <c r="I98" s="16">
        <f ca="1">IFERROR(__xludf.DUMMYFUNCTION("""COMPUTED_VALUE"""),136310548)</f>
        <v>136310548</v>
      </c>
      <c r="J98" s="83" t="s">
        <v>48</v>
      </c>
      <c r="K98" s="16">
        <f ca="1">IFERROR(__xludf.DUMMYFUNCTION("""COMPUTED_VALUE"""),71274981)</f>
        <v>71274981</v>
      </c>
      <c r="L98" s="16"/>
      <c r="M98" s="16"/>
      <c r="N98" s="21">
        <f ca="1">IFERROR(__xludf.DUMMYFUNCTION("""COMPUTED_VALUE"""),65035567)</f>
        <v>65035567</v>
      </c>
      <c r="O98" s="19"/>
      <c r="P98" s="19"/>
      <c r="Q98" s="19"/>
      <c r="R98" s="19"/>
      <c r="S98" s="19"/>
      <c r="T98" s="19"/>
      <c r="U98" s="19"/>
      <c r="V98" s="19"/>
      <c r="W98" s="20">
        <f ca="1">IFERROR(__xludf.DUMMYFUNCTION("""COMPUTED_VALUE"""),136310548)</f>
        <v>136310548</v>
      </c>
      <c r="X98" s="20" t="str">
        <f ca="1">IFERROR(__xludf.DUMMYFUNCTION("""COMPUTED_VALUE""")," MUNICIPALIDAD DE LOTA ")</f>
        <v xml:space="preserve"> MUNICIPALIDAD DE LOTA </v>
      </c>
    </row>
    <row r="99" spans="1:24" ht="15.75" customHeight="1" x14ac:dyDescent="0.25">
      <c r="A99" s="16" t="str">
        <f ca="1">IFERROR(__xludf.DUMMYFUNCTION("""COMPUTED_VALUE""")," REGIÓN DEL BIOBÍO ")</f>
        <v xml:space="preserve"> REGIÓN DEL BIOBÍO </v>
      </c>
      <c r="B99" s="16" t="str">
        <f t="shared" ca="1" si="0"/>
        <v xml:space="preserve"> LEBU </v>
      </c>
      <c r="C99" s="16" t="str">
        <f ca="1">IFERROR(__xludf.DUMMYFUNCTION("""COMPUTED_VALUE""")," MEJORAMIENTO DE ALUMBRADO PÚBLICO PLAZA LOS PEHUENCHES, SANTA ROSA, LEBU ")</f>
        <v xml:space="preserve"> MEJORAMIENTO DE ALUMBRADO PÚBLICO PLAZA LOS PEHUENCHES, SANTA ROSA, LEBU </v>
      </c>
      <c r="D99" s="16" t="str">
        <f ca="1">IFERROR(__xludf.DUMMYFUNCTION("""COMPUTED_VALUE""")," 1-K-2023-258 ")</f>
        <v xml:space="preserve"> 1-K-2023-258 </v>
      </c>
      <c r="E99" s="16" t="str">
        <f ca="1">IFERROR(__xludf.DUMMYFUNCTION("""COMPUTED_VALUE""")," Con Giro por Anticipo ")</f>
        <v xml:space="preserve"> Con Giro por Anticipo </v>
      </c>
      <c r="F99" s="17">
        <f ca="1">IFERROR(__xludf.DUMMYFUNCTION("""COMPUTED_VALUE"""),45322)</f>
        <v>45322</v>
      </c>
      <c r="G99" s="16">
        <f ca="1">IFERROR(__xludf.DUMMYFUNCTION("""COMPUTED_VALUE"""),72432652)</f>
        <v>72432652</v>
      </c>
      <c r="H99" s="16" t="str">
        <f ca="1">IFERROR(__xludf.DUMMYFUNCTION("""COMPUTED_VALUE""")," Con Giro por Anticipo ")</f>
        <v xml:space="preserve"> Con Giro por Anticipo </v>
      </c>
      <c r="I99" s="16">
        <f ca="1">IFERROR(__xludf.DUMMYFUNCTION("""COMPUTED_VALUE"""),72432652)</f>
        <v>72432652</v>
      </c>
      <c r="J99" s="83" t="s">
        <v>48</v>
      </c>
      <c r="K99" s="16">
        <f ca="1">IFERROR(__xludf.DUMMYFUNCTION("""COMPUTED_VALUE"""),36216326)</f>
        <v>36216326</v>
      </c>
      <c r="L99" s="16"/>
      <c r="M99" s="16"/>
      <c r="N99" s="21">
        <f ca="1">IFERROR(__xludf.DUMMYFUNCTION("""COMPUTED_VALUE"""),36216326)</f>
        <v>36216326</v>
      </c>
      <c r="O99" s="19"/>
      <c r="P99" s="19"/>
      <c r="Q99" s="19"/>
      <c r="R99" s="19"/>
      <c r="S99" s="19"/>
      <c r="T99" s="19"/>
      <c r="U99" s="19"/>
      <c r="V99" s="19"/>
      <c r="W99" s="20">
        <f ca="1">IFERROR(__xludf.DUMMYFUNCTION("""COMPUTED_VALUE"""),72432652)</f>
        <v>72432652</v>
      </c>
      <c r="X99" s="20" t="str">
        <f ca="1">IFERROR(__xludf.DUMMYFUNCTION("""COMPUTED_VALUE""")," MUNICIPALIDAD DE LEBU ")</f>
        <v xml:space="preserve"> MUNICIPALIDAD DE LEBU </v>
      </c>
    </row>
    <row r="100" spans="1:24" ht="15.75" customHeight="1" x14ac:dyDescent="0.25">
      <c r="A100" s="16" t="str">
        <f ca="1">IFERROR(__xludf.DUMMYFUNCTION("""COMPUTED_VALUE""")," REGIÓN DEL BIOBÍO ")</f>
        <v xml:space="preserve"> REGIÓN DEL BIOBÍO </v>
      </c>
      <c r="B100" s="16" t="str">
        <f t="shared" ca="1" si="0"/>
        <v xml:space="preserve"> LOS ÁLAMOS </v>
      </c>
      <c r="C100" s="16" t="str">
        <f ca="1">IFERROR(__xludf.DUMMYFUNCTION("""COMPUTED_VALUE""")," INSTALACION DE JUEGOS AREA VERDE N°7 VILLA EL BOSQUE CERRO ALTO, LOS ALAMOS ")</f>
        <v xml:space="preserve"> INSTALACION DE JUEGOS AREA VERDE N°7 VILLA EL BOSQUE CERRO ALTO, LOS ALAMOS </v>
      </c>
      <c r="D100" s="16" t="str">
        <f ca="1">IFERROR(__xludf.DUMMYFUNCTION("""COMPUTED_VALUE""")," 1-K-2023-259 ")</f>
        <v xml:space="preserve"> 1-K-2023-259 </v>
      </c>
      <c r="E100" s="16" t="str">
        <f ca="1">IFERROR(__xludf.DUMMYFUNCTION("""COMPUTED_VALUE""")," Con Giro por Anticipo ")</f>
        <v xml:space="preserve"> Con Giro por Anticipo </v>
      </c>
      <c r="F100" s="17">
        <f ca="1">IFERROR(__xludf.DUMMYFUNCTION("""COMPUTED_VALUE"""),45322)</f>
        <v>45322</v>
      </c>
      <c r="G100" s="16">
        <f ca="1">IFERROR(__xludf.DUMMYFUNCTION("""COMPUTED_VALUE"""),103000000)</f>
        <v>103000000</v>
      </c>
      <c r="H100" s="16" t="str">
        <f ca="1">IFERROR(__xludf.DUMMYFUNCTION("""COMPUTED_VALUE""")," Con Giro por Anticipo ")</f>
        <v xml:space="preserve"> Con Giro por Anticipo </v>
      </c>
      <c r="I100" s="16">
        <f ca="1">IFERROR(__xludf.DUMMYFUNCTION("""COMPUTED_VALUE"""),102773334)</f>
        <v>102773334</v>
      </c>
      <c r="J100" s="83" t="s">
        <v>48</v>
      </c>
      <c r="K100" s="16">
        <f ca="1">IFERROR(__xludf.DUMMYFUNCTION("""COMPUTED_VALUE"""),51386667)</f>
        <v>51386667</v>
      </c>
      <c r="L100" s="16"/>
      <c r="M100" s="16"/>
      <c r="N100" s="21">
        <f ca="1">IFERROR(__xludf.DUMMYFUNCTION("""COMPUTED_VALUE"""),51386667)</f>
        <v>51386667</v>
      </c>
      <c r="O100" s="19"/>
      <c r="P100" s="19"/>
      <c r="Q100" s="19"/>
      <c r="R100" s="19"/>
      <c r="S100" s="19"/>
      <c r="T100" s="19"/>
      <c r="U100" s="19"/>
      <c r="V100" s="19"/>
      <c r="W100" s="20">
        <f ca="1">IFERROR(__xludf.DUMMYFUNCTION("""COMPUTED_VALUE"""),102773334)</f>
        <v>102773334</v>
      </c>
      <c r="X100" s="20" t="str">
        <f ca="1">IFERROR(__xludf.DUMMYFUNCTION("""COMPUTED_VALUE""")," MUNICIPALIDAD DE LOS ÁLAMOS ")</f>
        <v xml:space="preserve"> MUNICIPALIDAD DE LOS ÁLAMOS </v>
      </c>
    </row>
    <row r="101" spans="1:24" ht="15.75" customHeight="1" x14ac:dyDescent="0.25">
      <c r="A101" s="16" t="str">
        <f ca="1">IFERROR(__xludf.DUMMYFUNCTION("""COMPUTED_VALUE""")," REGIÓN DEL BIOBÍO ")</f>
        <v xml:space="preserve"> REGIÓN DEL BIOBÍO </v>
      </c>
      <c r="B101" s="16" t="str">
        <f t="shared" ca="1" si="0"/>
        <v xml:space="preserve"> LOS ÁLAMOS </v>
      </c>
      <c r="C101" s="16" t="str">
        <f ca="1">IFERROR(__xludf.DUMMYFUNCTION("""COMPUTED_VALUE""")," MEJORAMIENTO AREA VERDE POBLACION SILVIA CHACON, LOS ALAMOS ")</f>
        <v xml:space="preserve"> MEJORAMIENTO AREA VERDE POBLACION SILVIA CHACON, LOS ALAMOS </v>
      </c>
      <c r="D101" s="16" t="str">
        <f ca="1">IFERROR(__xludf.DUMMYFUNCTION("""COMPUTED_VALUE""")," 1-K-2023-260 ")</f>
        <v xml:space="preserve"> 1-K-2023-260 </v>
      </c>
      <c r="E101" s="16" t="str">
        <f ca="1">IFERROR(__xludf.DUMMYFUNCTION("""COMPUTED_VALUE""")," Con Giro por Anticipo ")</f>
        <v xml:space="preserve"> Con Giro por Anticipo </v>
      </c>
      <c r="F101" s="17">
        <f ca="1">IFERROR(__xludf.DUMMYFUNCTION("""COMPUTED_VALUE"""),45322)</f>
        <v>45322</v>
      </c>
      <c r="G101" s="16">
        <f ca="1">IFERROR(__xludf.DUMMYFUNCTION("""COMPUTED_VALUE"""),102000000)</f>
        <v>102000000</v>
      </c>
      <c r="H101" s="16" t="str">
        <f ca="1">IFERROR(__xludf.DUMMYFUNCTION("""COMPUTED_VALUE""")," Con Giro por Anticipo ")</f>
        <v xml:space="preserve"> Con Giro por Anticipo </v>
      </c>
      <c r="I101" s="16">
        <f ca="1">IFERROR(__xludf.DUMMYFUNCTION("""COMPUTED_VALUE"""),102141617)</f>
        <v>102141617</v>
      </c>
      <c r="J101" s="83" t="s">
        <v>48</v>
      </c>
      <c r="K101" s="16">
        <f ca="1">IFERROR(__xludf.DUMMYFUNCTION("""COMPUTED_VALUE"""),51070809)</f>
        <v>51070809</v>
      </c>
      <c r="L101" s="16"/>
      <c r="M101" s="16"/>
      <c r="N101" s="21">
        <f ca="1">IFERROR(__xludf.DUMMYFUNCTION("""COMPUTED_VALUE"""),51070808)</f>
        <v>51070808</v>
      </c>
      <c r="O101" s="19"/>
      <c r="P101" s="19"/>
      <c r="Q101" s="19"/>
      <c r="R101" s="19"/>
      <c r="S101" s="19"/>
      <c r="T101" s="19"/>
      <c r="U101" s="19"/>
      <c r="V101" s="19"/>
      <c r="W101" s="20">
        <f ca="1">IFERROR(__xludf.DUMMYFUNCTION("""COMPUTED_VALUE"""),102141617)</f>
        <v>102141617</v>
      </c>
      <c r="X101" s="20" t="str">
        <f ca="1">IFERROR(__xludf.DUMMYFUNCTION("""COMPUTED_VALUE""")," MUNICIPALIDAD DE LOS ÁLAMOS ")</f>
        <v xml:space="preserve"> MUNICIPALIDAD DE LOS ÁLAMOS </v>
      </c>
    </row>
    <row r="102" spans="1:24" ht="15.75" customHeight="1" x14ac:dyDescent="0.25">
      <c r="A102" s="16" t="str">
        <f ca="1">IFERROR(__xludf.DUMMYFUNCTION("""COMPUTED_VALUE""")," REGIÓN DEL BIOBÍO ")</f>
        <v xml:space="preserve"> REGIÓN DEL BIOBÍO </v>
      </c>
      <c r="B102" s="16" t="str">
        <f t="shared" ca="1" si="0"/>
        <v xml:space="preserve"> LOS ÁLAMOS </v>
      </c>
      <c r="C102" s="16" t="str">
        <f ca="1">IFERROR(__xludf.DUMMYFUNCTION("""COMPUTED_VALUE""")," MEJORAMIENTO E INSTALACION DE JUEGOS AREA VERDE SKATEPARK, LOS ALAMOS ")</f>
        <v xml:space="preserve"> MEJORAMIENTO E INSTALACION DE JUEGOS AREA VERDE SKATEPARK, LOS ALAMOS </v>
      </c>
      <c r="D102" s="16" t="str">
        <f ca="1">IFERROR(__xludf.DUMMYFUNCTION("""COMPUTED_VALUE""")," 1-K-2023-261 ")</f>
        <v xml:space="preserve"> 1-K-2023-261 </v>
      </c>
      <c r="E102" s="16" t="str">
        <f ca="1">IFERROR(__xludf.DUMMYFUNCTION("""COMPUTED_VALUE""")," Con Giro por Anticipo ")</f>
        <v xml:space="preserve"> Con Giro por Anticipo </v>
      </c>
      <c r="F102" s="17">
        <f ca="1">IFERROR(__xludf.DUMMYFUNCTION("""COMPUTED_VALUE"""),45322)</f>
        <v>45322</v>
      </c>
      <c r="G102" s="16">
        <f ca="1">IFERROR(__xludf.DUMMYFUNCTION("""COMPUTED_VALUE"""),103000000)</f>
        <v>103000000</v>
      </c>
      <c r="H102" s="16" t="str">
        <f ca="1">IFERROR(__xludf.DUMMYFUNCTION("""COMPUTED_VALUE""")," Con Giro por Anticipo ")</f>
        <v xml:space="preserve"> Con Giro por Anticipo </v>
      </c>
      <c r="I102" s="16">
        <f ca="1">IFERROR(__xludf.DUMMYFUNCTION("""COMPUTED_VALUE"""),102549081)</f>
        <v>102549081</v>
      </c>
      <c r="J102" s="83" t="s">
        <v>48</v>
      </c>
      <c r="K102" s="16">
        <f ca="1">IFERROR(__xludf.DUMMYFUNCTION("""COMPUTED_VALUE"""),51274541)</f>
        <v>51274541</v>
      </c>
      <c r="L102" s="16"/>
      <c r="M102" s="16"/>
      <c r="N102" s="21">
        <f ca="1">IFERROR(__xludf.DUMMYFUNCTION("""COMPUTED_VALUE"""),51274540)</f>
        <v>51274540</v>
      </c>
      <c r="O102" s="19"/>
      <c r="P102" s="19"/>
      <c r="Q102" s="19"/>
      <c r="R102" s="19"/>
      <c r="S102" s="19"/>
      <c r="T102" s="19"/>
      <c r="U102" s="19"/>
      <c r="V102" s="19"/>
      <c r="W102" s="20">
        <f ca="1">IFERROR(__xludf.DUMMYFUNCTION("""COMPUTED_VALUE"""),102549081)</f>
        <v>102549081</v>
      </c>
      <c r="X102" s="20" t="str">
        <f ca="1">IFERROR(__xludf.DUMMYFUNCTION("""COMPUTED_VALUE""")," MUNICIPALIDAD DE LOS ÁLAMOS ")</f>
        <v xml:space="preserve"> MUNICIPALIDAD DE LOS ÁLAMOS </v>
      </c>
    </row>
    <row r="103" spans="1:24" ht="15.75" customHeight="1" x14ac:dyDescent="0.25">
      <c r="A103" s="16" t="str">
        <f ca="1">IFERROR(__xludf.DUMMYFUNCTION("""COMPUTED_VALUE""")," REGIÓN DEL BIOBÍO ")</f>
        <v xml:space="preserve"> REGIÓN DEL BIOBÍO </v>
      </c>
      <c r="B103" s="16" t="str">
        <f t="shared" ca="1" si="0"/>
        <v xml:space="preserve"> LOS ÁLAMOS </v>
      </c>
      <c r="C103" s="16" t="str">
        <f ca="1">IFERROR(__xludf.DUMMYFUNCTION("""COMPUTED_VALUE""")," MEJORAMIENTO E INSTALACION DE JUEGOS BANDEJON J. M. CARRERA, LOS ALAMOS ")</f>
        <v xml:space="preserve"> MEJORAMIENTO E INSTALACION DE JUEGOS BANDEJON J. M. CARRERA, LOS ALAMOS </v>
      </c>
      <c r="D103" s="16" t="str">
        <f ca="1">IFERROR(__xludf.DUMMYFUNCTION("""COMPUTED_VALUE""")," 1-K-2023-262 ")</f>
        <v xml:space="preserve"> 1-K-2023-262 </v>
      </c>
      <c r="E103" s="16" t="str">
        <f ca="1">IFERROR(__xludf.DUMMYFUNCTION("""COMPUTED_VALUE""")," Con Giro por Anticipo ")</f>
        <v xml:space="preserve"> Con Giro por Anticipo </v>
      </c>
      <c r="F103" s="17">
        <f ca="1">IFERROR(__xludf.DUMMYFUNCTION("""COMPUTED_VALUE"""),45322)</f>
        <v>45322</v>
      </c>
      <c r="G103" s="16">
        <f ca="1">IFERROR(__xludf.DUMMYFUNCTION("""COMPUTED_VALUE"""),103000000)</f>
        <v>103000000</v>
      </c>
      <c r="H103" s="16" t="str">
        <f ca="1">IFERROR(__xludf.DUMMYFUNCTION("""COMPUTED_VALUE""")," Con Giro por Anticipo ")</f>
        <v xml:space="preserve"> Con Giro por Anticipo </v>
      </c>
      <c r="I103" s="16">
        <f ca="1">IFERROR(__xludf.DUMMYFUNCTION("""COMPUTED_VALUE"""),102812984)</f>
        <v>102812984</v>
      </c>
      <c r="J103" s="83" t="s">
        <v>48</v>
      </c>
      <c r="K103" s="16">
        <f ca="1">IFERROR(__xludf.DUMMYFUNCTION("""COMPUTED_VALUE"""),51406492)</f>
        <v>51406492</v>
      </c>
      <c r="L103" s="16"/>
      <c r="M103" s="16"/>
      <c r="N103" s="21">
        <f ca="1">IFERROR(__xludf.DUMMYFUNCTION("""COMPUTED_VALUE"""),51406492)</f>
        <v>51406492</v>
      </c>
      <c r="O103" s="19"/>
      <c r="P103" s="19"/>
      <c r="Q103" s="19"/>
      <c r="R103" s="19"/>
      <c r="S103" s="19"/>
      <c r="T103" s="19"/>
      <c r="U103" s="19"/>
      <c r="V103" s="19"/>
      <c r="W103" s="20">
        <f ca="1">IFERROR(__xludf.DUMMYFUNCTION("""COMPUTED_VALUE"""),102812984)</f>
        <v>102812984</v>
      </c>
      <c r="X103" s="20" t="str">
        <f ca="1">IFERROR(__xludf.DUMMYFUNCTION("""COMPUTED_VALUE""")," MUNICIPALIDAD DE LOS ÁLAMOS ")</f>
        <v xml:space="preserve"> MUNICIPALIDAD DE LOS ÁLAMOS </v>
      </c>
    </row>
    <row r="104" spans="1:24" ht="15.75" customHeight="1" x14ac:dyDescent="0.25">
      <c r="A104" s="16" t="str">
        <f ca="1">IFERROR(__xludf.DUMMYFUNCTION("""COMPUTED_VALUE""")," REGIÓN DEL BIOBÍO ")</f>
        <v xml:space="preserve"> REGIÓN DEL BIOBÍO </v>
      </c>
      <c r="B104" s="16" t="str">
        <f t="shared" ca="1" si="0"/>
        <v xml:space="preserve"> LOS ÁLAMOS </v>
      </c>
      <c r="C104" s="16" t="str">
        <f ca="1">IFERROR(__xludf.DUMMYFUNCTION("""COMPUTED_VALUE""")," REPOSICION VEREDA AVDA. DIEGO PORTALES SECTOR ESCUELA EL TRENCITO CERRO ALTO, LOS ALAMOS ")</f>
        <v xml:space="preserve"> REPOSICION VEREDA AVDA. DIEGO PORTALES SECTOR ESCUELA EL TRENCITO CERRO ALTO, LOS ALAMOS </v>
      </c>
      <c r="D104" s="16" t="str">
        <f ca="1">IFERROR(__xludf.DUMMYFUNCTION("""COMPUTED_VALUE""")," 1-K-2023-263 ")</f>
        <v xml:space="preserve"> 1-K-2023-263 </v>
      </c>
      <c r="E104" s="16" t="str">
        <f ca="1">IFERROR(__xludf.DUMMYFUNCTION("""COMPUTED_VALUE""")," Con Giro por Anticipo ")</f>
        <v xml:space="preserve"> Con Giro por Anticipo </v>
      </c>
      <c r="F104" s="17">
        <f ca="1">IFERROR(__xludf.DUMMYFUNCTION("""COMPUTED_VALUE"""),45322)</f>
        <v>45322</v>
      </c>
      <c r="G104" s="16">
        <f ca="1">IFERROR(__xludf.DUMMYFUNCTION("""COMPUTED_VALUE"""),103000000)</f>
        <v>103000000</v>
      </c>
      <c r="H104" s="16" t="str">
        <f ca="1">IFERROR(__xludf.DUMMYFUNCTION("""COMPUTED_VALUE""")," Con Giro por Anticipo ")</f>
        <v xml:space="preserve"> Con Giro por Anticipo </v>
      </c>
      <c r="I104" s="16">
        <f ca="1">IFERROR(__xludf.DUMMYFUNCTION("""COMPUTED_VALUE"""),102746131)</f>
        <v>102746131</v>
      </c>
      <c r="J104" s="83" t="s">
        <v>48</v>
      </c>
      <c r="K104" s="16">
        <f ca="1">IFERROR(__xludf.DUMMYFUNCTION("""COMPUTED_VALUE"""),51373066)</f>
        <v>51373066</v>
      </c>
      <c r="L104" s="16"/>
      <c r="M104" s="16"/>
      <c r="N104" s="21">
        <f ca="1">IFERROR(__xludf.DUMMYFUNCTION("""COMPUTED_VALUE"""),51373065)</f>
        <v>51373065</v>
      </c>
      <c r="O104" s="19"/>
      <c r="P104" s="19"/>
      <c r="Q104" s="19"/>
      <c r="R104" s="19"/>
      <c r="S104" s="19"/>
      <c r="T104" s="19"/>
      <c r="U104" s="19"/>
      <c r="V104" s="19"/>
      <c r="W104" s="20">
        <f ca="1">IFERROR(__xludf.DUMMYFUNCTION("""COMPUTED_VALUE"""),102746131)</f>
        <v>102746131</v>
      </c>
      <c r="X104" s="20" t="str">
        <f ca="1">IFERROR(__xludf.DUMMYFUNCTION("""COMPUTED_VALUE""")," MUNICIPALIDAD DE LOS ÁLAMOS ")</f>
        <v xml:space="preserve"> MUNICIPALIDAD DE LOS ÁLAMOS </v>
      </c>
    </row>
    <row r="105" spans="1:24" ht="15.75" customHeight="1" x14ac:dyDescent="0.25">
      <c r="A105" s="16" t="str">
        <f ca="1">IFERROR(__xludf.DUMMYFUNCTION("""COMPUTED_VALUE""")," REGIÓN DEL BIOBÍO ")</f>
        <v xml:space="preserve"> REGIÓN DEL BIOBÍO </v>
      </c>
      <c r="B105" s="16" t="str">
        <f t="shared" ca="1" si="0"/>
        <v xml:space="preserve"> LOS ÁLAMOS </v>
      </c>
      <c r="C105" s="16" t="str">
        <f ca="1">IFERROR(__xludf.DUMMYFUNCTION("""COMPUTED_VALUE""")," REPOSICION VEREDA CALLE ARTURO PRAT LADO ESTE ANTIHUALA, LOS ALAMOS ")</f>
        <v xml:space="preserve"> REPOSICION VEREDA CALLE ARTURO PRAT LADO ESTE ANTIHUALA, LOS ALAMOS </v>
      </c>
      <c r="D105" s="16" t="str">
        <f ca="1">IFERROR(__xludf.DUMMYFUNCTION("""COMPUTED_VALUE""")," 1-K-2023-264 ")</f>
        <v xml:space="preserve"> 1-K-2023-264 </v>
      </c>
      <c r="E105" s="16" t="str">
        <f ca="1">IFERROR(__xludf.DUMMYFUNCTION("""COMPUTED_VALUE""")," Con Giro por Anticipo ")</f>
        <v xml:space="preserve"> Con Giro por Anticipo </v>
      </c>
      <c r="F105" s="17">
        <f ca="1">IFERROR(__xludf.DUMMYFUNCTION("""COMPUTED_VALUE"""),45322)</f>
        <v>45322</v>
      </c>
      <c r="G105" s="16">
        <f ca="1">IFERROR(__xludf.DUMMYFUNCTION("""COMPUTED_VALUE"""),103000000)</f>
        <v>103000000</v>
      </c>
      <c r="H105" s="16" t="str">
        <f ca="1">IFERROR(__xludf.DUMMYFUNCTION("""COMPUTED_VALUE""")," Con Giro por Anticipo ")</f>
        <v xml:space="preserve"> Con Giro por Anticipo </v>
      </c>
      <c r="I105" s="16">
        <f ca="1">IFERROR(__xludf.DUMMYFUNCTION("""COMPUTED_VALUE"""),99693367)</f>
        <v>99693367</v>
      </c>
      <c r="J105" s="83" t="s">
        <v>48</v>
      </c>
      <c r="K105" s="16">
        <f ca="1">IFERROR(__xludf.DUMMYFUNCTION("""COMPUTED_VALUE"""),51406537)</f>
        <v>51406537</v>
      </c>
      <c r="L105" s="16"/>
      <c r="M105" s="16"/>
      <c r="N105" s="21">
        <f ca="1">IFERROR(__xludf.DUMMYFUNCTION("""COMPUTED_VALUE"""),48286830)</f>
        <v>48286830</v>
      </c>
      <c r="O105" s="19"/>
      <c r="P105" s="19"/>
      <c r="Q105" s="19"/>
      <c r="R105" s="19"/>
      <c r="S105" s="19"/>
      <c r="T105" s="19"/>
      <c r="U105" s="19"/>
      <c r="V105" s="19"/>
      <c r="W105" s="20">
        <f ca="1">IFERROR(__xludf.DUMMYFUNCTION("""COMPUTED_VALUE"""),99693367)</f>
        <v>99693367</v>
      </c>
      <c r="X105" s="20" t="str">
        <f ca="1">IFERROR(__xludf.DUMMYFUNCTION("""COMPUTED_VALUE""")," MUNICIPALIDAD DE LOS ÁLAMOS ")</f>
        <v xml:space="preserve"> MUNICIPALIDAD DE LOS ÁLAMOS </v>
      </c>
    </row>
    <row r="106" spans="1:24" ht="15.75" customHeight="1" x14ac:dyDescent="0.25">
      <c r="A106" s="16" t="str">
        <f ca="1">IFERROR(__xludf.DUMMYFUNCTION("""COMPUTED_VALUE""")," REGIÓN DEL BIOBÍO ")</f>
        <v xml:space="preserve"> REGIÓN DEL BIOBÍO </v>
      </c>
      <c r="B106" s="16" t="str">
        <f t="shared" ca="1" si="0"/>
        <v xml:space="preserve"> LOS ÁLAMOS </v>
      </c>
      <c r="C106" s="16" t="str">
        <f ca="1">IFERROR(__xludf.DUMMYFUNCTION("""COMPUTED_VALUE""")," REPOSICION VEREDA CALLE ARTURO PRAT LADO ESTE CERRO ALTO, LOS ALAMOS ")</f>
        <v xml:space="preserve"> REPOSICION VEREDA CALLE ARTURO PRAT LADO ESTE CERRO ALTO, LOS ALAMOS </v>
      </c>
      <c r="D106" s="16" t="str">
        <f ca="1">IFERROR(__xludf.DUMMYFUNCTION("""COMPUTED_VALUE""")," 1-K-2023-265 ")</f>
        <v xml:space="preserve"> 1-K-2023-265 </v>
      </c>
      <c r="E106" s="16" t="str">
        <f ca="1">IFERROR(__xludf.DUMMYFUNCTION("""COMPUTED_VALUE""")," Con Giro por Anticipo ")</f>
        <v xml:space="preserve"> Con Giro por Anticipo </v>
      </c>
      <c r="F106" s="17">
        <f ca="1">IFERROR(__xludf.DUMMYFUNCTION("""COMPUTED_VALUE"""),45322)</f>
        <v>45322</v>
      </c>
      <c r="G106" s="16">
        <f ca="1">IFERROR(__xludf.DUMMYFUNCTION("""COMPUTED_VALUE"""),103000000)</f>
        <v>103000000</v>
      </c>
      <c r="H106" s="16" t="str">
        <f ca="1">IFERROR(__xludf.DUMMYFUNCTION("""COMPUTED_VALUE""")," Con Giro por Anticipo ")</f>
        <v xml:space="preserve"> Con Giro por Anticipo </v>
      </c>
      <c r="I106" s="16">
        <f ca="1">IFERROR(__xludf.DUMMYFUNCTION("""COMPUTED_VALUE"""),102955605)</f>
        <v>102955605</v>
      </c>
      <c r="J106" s="83" t="s">
        <v>48</v>
      </c>
      <c r="K106" s="16">
        <f ca="1">IFERROR(__xludf.DUMMYFUNCTION("""COMPUTED_VALUE"""),51477803)</f>
        <v>51477803</v>
      </c>
      <c r="L106" s="16"/>
      <c r="M106" s="16"/>
      <c r="N106" s="21">
        <f ca="1">IFERROR(__xludf.DUMMYFUNCTION("""COMPUTED_VALUE"""),51477802)</f>
        <v>51477802</v>
      </c>
      <c r="O106" s="19"/>
      <c r="P106" s="19"/>
      <c r="Q106" s="19"/>
      <c r="R106" s="19"/>
      <c r="S106" s="19"/>
      <c r="T106" s="19"/>
      <c r="U106" s="19"/>
      <c r="V106" s="19"/>
      <c r="W106" s="20">
        <f ca="1">IFERROR(__xludf.DUMMYFUNCTION("""COMPUTED_VALUE"""),102955605)</f>
        <v>102955605</v>
      </c>
      <c r="X106" s="20" t="str">
        <f ca="1">IFERROR(__xludf.DUMMYFUNCTION("""COMPUTED_VALUE""")," MUNICIPALIDAD DE LOS ÁLAMOS ")</f>
        <v xml:space="preserve"> MUNICIPALIDAD DE LOS ÁLAMOS </v>
      </c>
    </row>
    <row r="107" spans="1:24" ht="15.75" customHeight="1" x14ac:dyDescent="0.25">
      <c r="A107" s="16" t="str">
        <f ca="1">IFERROR(__xludf.DUMMYFUNCTION("""COMPUTED_VALUE""")," REGIÓN DEL BIOBÍO ")</f>
        <v xml:space="preserve"> REGIÓN DEL BIOBÍO </v>
      </c>
      <c r="B107" s="16" t="str">
        <f t="shared" ca="1" si="0"/>
        <v xml:space="preserve"> LOS ÁLAMOS </v>
      </c>
      <c r="C107" s="16" t="str">
        <f ca="1">IFERROR(__xludf.DUMMYFUNCTION("""COMPUTED_VALUE""")," REPOSICION VEREDA CALLE CEMENTERIO LADO OESTE, LOS ALAMOS ")</f>
        <v xml:space="preserve"> REPOSICION VEREDA CALLE CEMENTERIO LADO OESTE, LOS ALAMOS </v>
      </c>
      <c r="D107" s="16" t="str">
        <f ca="1">IFERROR(__xludf.DUMMYFUNCTION("""COMPUTED_VALUE""")," 1-K-2023-266 ")</f>
        <v xml:space="preserve"> 1-K-2023-266 </v>
      </c>
      <c r="E107" s="16" t="str">
        <f ca="1">IFERROR(__xludf.DUMMYFUNCTION("""COMPUTED_VALUE""")," Con Giro por Anticipo ")</f>
        <v xml:space="preserve"> Con Giro por Anticipo </v>
      </c>
      <c r="F107" s="17">
        <f ca="1">IFERROR(__xludf.DUMMYFUNCTION("""COMPUTED_VALUE"""),45322)</f>
        <v>45322</v>
      </c>
      <c r="G107" s="16">
        <f ca="1">IFERROR(__xludf.DUMMYFUNCTION("""COMPUTED_VALUE"""),103000000)</f>
        <v>103000000</v>
      </c>
      <c r="H107" s="16" t="str">
        <f ca="1">IFERROR(__xludf.DUMMYFUNCTION("""COMPUTED_VALUE""")," Con Giro por Anticipo ")</f>
        <v xml:space="preserve"> Con Giro por Anticipo </v>
      </c>
      <c r="I107" s="16">
        <f ca="1">IFERROR(__xludf.DUMMYFUNCTION("""COMPUTED_VALUE"""),102747064)</f>
        <v>102747064</v>
      </c>
      <c r="J107" s="83" t="s">
        <v>48</v>
      </c>
      <c r="K107" s="16">
        <f ca="1">IFERROR(__xludf.DUMMYFUNCTION("""COMPUTED_VALUE"""),51373532)</f>
        <v>51373532</v>
      </c>
      <c r="L107" s="16"/>
      <c r="M107" s="16"/>
      <c r="N107" s="21">
        <f ca="1">IFERROR(__xludf.DUMMYFUNCTION("""COMPUTED_VALUE"""),51373532)</f>
        <v>51373532</v>
      </c>
      <c r="O107" s="19"/>
      <c r="P107" s="19"/>
      <c r="Q107" s="19"/>
      <c r="R107" s="19"/>
      <c r="S107" s="19"/>
      <c r="T107" s="19"/>
      <c r="U107" s="19"/>
      <c r="V107" s="19"/>
      <c r="W107" s="20">
        <f ca="1">IFERROR(__xludf.DUMMYFUNCTION("""COMPUTED_VALUE"""),102747064)</f>
        <v>102747064</v>
      </c>
      <c r="X107" s="20" t="str">
        <f ca="1">IFERROR(__xludf.DUMMYFUNCTION("""COMPUTED_VALUE""")," MUNICIPALIDAD DE LOS ÁLAMOS ")</f>
        <v xml:space="preserve"> MUNICIPALIDAD DE LOS ÁLAMOS </v>
      </c>
    </row>
    <row r="108" spans="1:24" ht="15.75" customHeight="1" x14ac:dyDescent="0.25">
      <c r="A108" s="16" t="str">
        <f ca="1">IFERROR(__xludf.DUMMYFUNCTION("""COMPUTED_VALUE""")," REGIÓN DEL BIOBÍO ")</f>
        <v xml:space="preserve"> REGIÓN DEL BIOBÍO </v>
      </c>
      <c r="B108" s="16" t="str">
        <f t="shared" ca="1" si="0"/>
        <v xml:space="preserve"> LOS ÁLAMOS </v>
      </c>
      <c r="C108" s="16" t="str">
        <f ca="1">IFERROR(__xludf.DUMMYFUNCTION("""COMPUTED_VALUE""")," REPOSICION VEREDA CALLE INDEPENDENCIA LADO ESTE, LOS ALAMOS ")</f>
        <v xml:space="preserve"> REPOSICION VEREDA CALLE INDEPENDENCIA LADO ESTE, LOS ALAMOS </v>
      </c>
      <c r="D108" s="16" t="str">
        <f ca="1">IFERROR(__xludf.DUMMYFUNCTION("""COMPUTED_VALUE""")," 1-K-2023-267 ")</f>
        <v xml:space="preserve"> 1-K-2023-267 </v>
      </c>
      <c r="E108" s="16" t="str">
        <f ca="1">IFERROR(__xludf.DUMMYFUNCTION("""COMPUTED_VALUE""")," Con Giro por Anticipo ")</f>
        <v xml:space="preserve"> Con Giro por Anticipo </v>
      </c>
      <c r="F108" s="17">
        <f ca="1">IFERROR(__xludf.DUMMYFUNCTION("""COMPUTED_VALUE"""),45322)</f>
        <v>45322</v>
      </c>
      <c r="G108" s="16">
        <f ca="1">IFERROR(__xludf.DUMMYFUNCTION("""COMPUTED_VALUE"""),103000000)</f>
        <v>103000000</v>
      </c>
      <c r="H108" s="16" t="str">
        <f ca="1">IFERROR(__xludf.DUMMYFUNCTION("""COMPUTED_VALUE""")," Con Giro por Anticipo ")</f>
        <v xml:space="preserve"> Con Giro por Anticipo </v>
      </c>
      <c r="I108" s="16">
        <f ca="1">IFERROR(__xludf.DUMMYFUNCTION("""COMPUTED_VALUE"""),99619363)</f>
        <v>99619363</v>
      </c>
      <c r="J108" s="83" t="s">
        <v>48</v>
      </c>
      <c r="K108" s="16">
        <f ca="1">IFERROR(__xludf.DUMMYFUNCTION("""COMPUTED_VALUE"""),51369535)</f>
        <v>51369535</v>
      </c>
      <c r="L108" s="16"/>
      <c r="M108" s="16"/>
      <c r="N108" s="21">
        <f ca="1">IFERROR(__xludf.DUMMYFUNCTION("""COMPUTED_VALUE"""),48249828)</f>
        <v>48249828</v>
      </c>
      <c r="O108" s="19"/>
      <c r="P108" s="19"/>
      <c r="Q108" s="19"/>
      <c r="R108" s="19"/>
      <c r="S108" s="19"/>
      <c r="T108" s="19"/>
      <c r="U108" s="19"/>
      <c r="V108" s="19"/>
      <c r="W108" s="20">
        <f ca="1">IFERROR(__xludf.DUMMYFUNCTION("""COMPUTED_VALUE"""),99619363)</f>
        <v>99619363</v>
      </c>
      <c r="X108" s="20" t="str">
        <f ca="1">IFERROR(__xludf.DUMMYFUNCTION("""COMPUTED_VALUE""")," MUNICIPALIDAD DE LOS ÁLAMOS ")</f>
        <v xml:space="preserve"> MUNICIPALIDAD DE LOS ÁLAMOS </v>
      </c>
    </row>
    <row r="109" spans="1:24" ht="15.75" customHeight="1" x14ac:dyDescent="0.25">
      <c r="A109" s="16" t="str">
        <f ca="1">IFERROR(__xludf.DUMMYFUNCTION("""COMPUTED_VALUE""")," REGIÓN DEL BIOBÍO ")</f>
        <v xml:space="preserve"> REGIÓN DEL BIOBÍO </v>
      </c>
      <c r="B109" s="16" t="str">
        <f t="shared" ca="1" si="0"/>
        <v xml:space="preserve"> LOS ÁLAMOS </v>
      </c>
      <c r="C109" s="16" t="str">
        <f ca="1">IFERROR(__xludf.DUMMYFUNCTION("""COMPUTED_VALUE""")," REPOSICION VEREDA CALLE INDEPENDENCIA LADO NORTE, LOS ALAMOS ")</f>
        <v xml:space="preserve"> REPOSICION VEREDA CALLE INDEPENDENCIA LADO NORTE, LOS ALAMOS </v>
      </c>
      <c r="D109" s="16" t="str">
        <f ca="1">IFERROR(__xludf.DUMMYFUNCTION("""COMPUTED_VALUE""")," 1-K-2023-268 ")</f>
        <v xml:space="preserve"> 1-K-2023-268 </v>
      </c>
      <c r="E109" s="16" t="str">
        <f ca="1">IFERROR(__xludf.DUMMYFUNCTION("""COMPUTED_VALUE""")," Con Giro por Anticipo ")</f>
        <v xml:space="preserve"> Con Giro por Anticipo </v>
      </c>
      <c r="F109" s="17">
        <f ca="1">IFERROR(__xludf.DUMMYFUNCTION("""COMPUTED_VALUE"""),45322)</f>
        <v>45322</v>
      </c>
      <c r="G109" s="16">
        <f ca="1">IFERROR(__xludf.DUMMYFUNCTION("""COMPUTED_VALUE"""),106000000)</f>
        <v>106000000</v>
      </c>
      <c r="H109" s="16" t="str">
        <f ca="1">IFERROR(__xludf.DUMMYFUNCTION("""COMPUTED_VALUE""")," Con Giro por Anticipo ")</f>
        <v xml:space="preserve"> Con Giro por Anticipo </v>
      </c>
      <c r="I109" s="16">
        <f ca="1">IFERROR(__xludf.DUMMYFUNCTION("""COMPUTED_VALUE"""),103056138)</f>
        <v>103056138</v>
      </c>
      <c r="J109" s="83" t="s">
        <v>48</v>
      </c>
      <c r="K109" s="16">
        <f ca="1">IFERROR(__xludf.DUMMYFUNCTION("""COMPUTED_VALUE"""),53087923)</f>
        <v>53087923</v>
      </c>
      <c r="L109" s="16"/>
      <c r="M109" s="16"/>
      <c r="N109" s="21">
        <f ca="1">IFERROR(__xludf.DUMMYFUNCTION("""COMPUTED_VALUE"""),49968215)</f>
        <v>49968215</v>
      </c>
      <c r="O109" s="19"/>
      <c r="P109" s="19"/>
      <c r="Q109" s="19"/>
      <c r="R109" s="19"/>
      <c r="S109" s="19"/>
      <c r="T109" s="19"/>
      <c r="U109" s="19"/>
      <c r="V109" s="19"/>
      <c r="W109" s="20">
        <f ca="1">IFERROR(__xludf.DUMMYFUNCTION("""COMPUTED_VALUE"""),103056138)</f>
        <v>103056138</v>
      </c>
      <c r="X109" s="20" t="str">
        <f ca="1">IFERROR(__xludf.DUMMYFUNCTION("""COMPUTED_VALUE""")," MUNICIPALIDAD DE LOS ÁLAMOS ")</f>
        <v xml:space="preserve"> MUNICIPALIDAD DE LOS ÁLAMOS </v>
      </c>
    </row>
    <row r="110" spans="1:24" ht="15.75" customHeight="1" x14ac:dyDescent="0.25">
      <c r="A110" s="16" t="str">
        <f ca="1">IFERROR(__xludf.DUMMYFUNCTION("""COMPUTED_VALUE""")," REGIÓN DEL BIOBÍO ")</f>
        <v xml:space="preserve"> REGIÓN DEL BIOBÍO </v>
      </c>
      <c r="B110" s="16" t="str">
        <f t="shared" ca="1" si="0"/>
        <v xml:space="preserve"> LOS ÁLAMOS </v>
      </c>
      <c r="C110" s="16" t="str">
        <f ca="1">IFERROR(__xludf.DUMMYFUNCTION("""COMPUTED_VALUE""")," REPOSICION VEREDA CALLE LIBERTAD LADO OESTE, LOS ALAMOS ")</f>
        <v xml:space="preserve"> REPOSICION VEREDA CALLE LIBERTAD LADO OESTE, LOS ALAMOS </v>
      </c>
      <c r="D110" s="16" t="str">
        <f ca="1">IFERROR(__xludf.DUMMYFUNCTION("""COMPUTED_VALUE""")," 1-K-2023-269 ")</f>
        <v xml:space="preserve"> 1-K-2023-269 </v>
      </c>
      <c r="E110" s="16" t="str">
        <f ca="1">IFERROR(__xludf.DUMMYFUNCTION("""COMPUTED_VALUE""")," Con Giro por Anticipo ")</f>
        <v xml:space="preserve"> Con Giro por Anticipo </v>
      </c>
      <c r="F110" s="17">
        <f ca="1">IFERROR(__xludf.DUMMYFUNCTION("""COMPUTED_VALUE"""),45322)</f>
        <v>45322</v>
      </c>
      <c r="G110" s="16">
        <f ca="1">IFERROR(__xludf.DUMMYFUNCTION("""COMPUTED_VALUE"""),106000000)</f>
        <v>106000000</v>
      </c>
      <c r="H110" s="16" t="str">
        <f ca="1">IFERROR(__xludf.DUMMYFUNCTION("""COMPUTED_VALUE""")," Con Giro por Anticipo ")</f>
        <v xml:space="preserve"> Con Giro por Anticipo </v>
      </c>
      <c r="I110" s="16">
        <f ca="1">IFERROR(__xludf.DUMMYFUNCTION("""COMPUTED_VALUE"""),102891684)</f>
        <v>102891684</v>
      </c>
      <c r="J110" s="83" t="s">
        <v>48</v>
      </c>
      <c r="K110" s="16">
        <f ca="1">IFERROR(__xludf.DUMMYFUNCTION("""COMPUTED_VALUE"""),53005696)</f>
        <v>53005696</v>
      </c>
      <c r="L110" s="16"/>
      <c r="M110" s="16"/>
      <c r="N110" s="21">
        <f ca="1">IFERROR(__xludf.DUMMYFUNCTION("""COMPUTED_VALUE"""),49885988)</f>
        <v>49885988</v>
      </c>
      <c r="O110" s="19"/>
      <c r="P110" s="19"/>
      <c r="Q110" s="19"/>
      <c r="R110" s="19"/>
      <c r="S110" s="19"/>
      <c r="T110" s="19"/>
      <c r="U110" s="19"/>
      <c r="V110" s="19"/>
      <c r="W110" s="20">
        <f ca="1">IFERROR(__xludf.DUMMYFUNCTION("""COMPUTED_VALUE"""),102891684)</f>
        <v>102891684</v>
      </c>
      <c r="X110" s="20" t="str">
        <f ca="1">IFERROR(__xludf.DUMMYFUNCTION("""COMPUTED_VALUE""")," MUNICIPALIDAD DE LOS ÁLAMOS ")</f>
        <v xml:space="preserve"> MUNICIPALIDAD DE LOS ÁLAMOS </v>
      </c>
    </row>
    <row r="111" spans="1:24" ht="15.75" customHeight="1" x14ac:dyDescent="0.25">
      <c r="A111" s="16" t="str">
        <f ca="1">IFERROR(__xludf.DUMMYFUNCTION("""COMPUTED_VALUE""")," REGIÓN DEL BIOBÍO ")</f>
        <v xml:space="preserve"> REGIÓN DEL BIOBÍO </v>
      </c>
      <c r="B111" s="16" t="str">
        <f t="shared" ca="1" si="0"/>
        <v xml:space="preserve"> LOS ÁLAMOS </v>
      </c>
      <c r="C111" s="16" t="str">
        <f ca="1">IFERROR(__xludf.DUMMYFUNCTION("""COMPUTED_VALUE""")," REPOSICION VEREDA CALLE LOS PEUMOS LADO ESTE CERRO ALTO, LOS ALAMOS ")</f>
        <v xml:space="preserve"> REPOSICION VEREDA CALLE LOS PEUMOS LADO ESTE CERRO ALTO, LOS ALAMOS </v>
      </c>
      <c r="D111" s="16" t="str">
        <f ca="1">IFERROR(__xludf.DUMMYFUNCTION("""COMPUTED_VALUE""")," 1-K-2023-270 ")</f>
        <v xml:space="preserve"> 1-K-2023-270 </v>
      </c>
      <c r="E111" s="16" t="str">
        <f ca="1">IFERROR(__xludf.DUMMYFUNCTION("""COMPUTED_VALUE""")," Con Giro por Anticipo ")</f>
        <v xml:space="preserve"> Con Giro por Anticipo </v>
      </c>
      <c r="F111" s="17">
        <f ca="1">IFERROR(__xludf.DUMMYFUNCTION("""COMPUTED_VALUE"""),45322)</f>
        <v>45322</v>
      </c>
      <c r="G111" s="16">
        <f ca="1">IFERROR(__xludf.DUMMYFUNCTION("""COMPUTED_VALUE"""),106000000)</f>
        <v>106000000</v>
      </c>
      <c r="H111" s="16" t="str">
        <f ca="1">IFERROR(__xludf.DUMMYFUNCTION("""COMPUTED_VALUE""")," Con Giro por Anticipo ")</f>
        <v xml:space="preserve"> Con Giro por Anticipo </v>
      </c>
      <c r="I111" s="16">
        <f ca="1">IFERROR(__xludf.DUMMYFUNCTION("""COMPUTED_VALUE"""),102891684)</f>
        <v>102891684</v>
      </c>
      <c r="J111" s="83" t="s">
        <v>48</v>
      </c>
      <c r="K111" s="16">
        <f ca="1">IFERROR(__xludf.DUMMYFUNCTION("""COMPUTED_VALUE"""),53005696)</f>
        <v>53005696</v>
      </c>
      <c r="L111" s="16"/>
      <c r="M111" s="16"/>
      <c r="N111" s="21">
        <f ca="1">IFERROR(__xludf.DUMMYFUNCTION("""COMPUTED_VALUE"""),49885988)</f>
        <v>49885988</v>
      </c>
      <c r="O111" s="19"/>
      <c r="P111" s="19"/>
      <c r="Q111" s="19"/>
      <c r="R111" s="19"/>
      <c r="S111" s="19"/>
      <c r="T111" s="19"/>
      <c r="U111" s="19"/>
      <c r="V111" s="19"/>
      <c r="W111" s="20">
        <f ca="1">IFERROR(__xludf.DUMMYFUNCTION("""COMPUTED_VALUE"""),102891684)</f>
        <v>102891684</v>
      </c>
      <c r="X111" s="20" t="str">
        <f ca="1">IFERROR(__xludf.DUMMYFUNCTION("""COMPUTED_VALUE""")," MUNICIPALIDAD DE LOS ÁLAMOS ")</f>
        <v xml:space="preserve"> MUNICIPALIDAD DE LOS ÁLAMOS </v>
      </c>
    </row>
    <row r="112" spans="1:24" ht="15.75" customHeight="1" x14ac:dyDescent="0.25">
      <c r="A112" s="16" t="str">
        <f ca="1">IFERROR(__xludf.DUMMYFUNCTION("""COMPUTED_VALUE""")," REGIÓN DEL BIOBÍO ")</f>
        <v xml:space="preserve"> REGIÓN DEL BIOBÍO </v>
      </c>
      <c r="B112" s="16" t="str">
        <f t="shared" ca="1" si="0"/>
        <v xml:space="preserve"> LOS ÁLAMOS </v>
      </c>
      <c r="C112" s="16" t="str">
        <f ca="1">IFERROR(__xludf.DUMMYFUNCTION("""COMPUTED_VALUE""")," REPOSICION VEREDA CALLE O'HIGGINS LADO NORTE, LOS ALAMOS ")</f>
        <v xml:space="preserve"> REPOSICION VEREDA CALLE O'HIGGINS LADO NORTE, LOS ALAMOS </v>
      </c>
      <c r="D112" s="16" t="str">
        <f ca="1">IFERROR(__xludf.DUMMYFUNCTION("""COMPUTED_VALUE""")," 1-K-2023-271 ")</f>
        <v xml:space="preserve"> 1-K-2023-271 </v>
      </c>
      <c r="E112" s="16" t="str">
        <f ca="1">IFERROR(__xludf.DUMMYFUNCTION("""COMPUTED_VALUE""")," Con Giro por Anticipo ")</f>
        <v xml:space="preserve"> Con Giro por Anticipo </v>
      </c>
      <c r="F112" s="17">
        <f ca="1">IFERROR(__xludf.DUMMYFUNCTION("""COMPUTED_VALUE"""),45322)</f>
        <v>45322</v>
      </c>
      <c r="G112" s="16">
        <f ca="1">IFERROR(__xludf.DUMMYFUNCTION("""COMPUTED_VALUE"""),106000000)</f>
        <v>106000000</v>
      </c>
      <c r="H112" s="16" t="str">
        <f ca="1">IFERROR(__xludf.DUMMYFUNCTION("""COMPUTED_VALUE""")," Con Giro por Anticipo ")</f>
        <v xml:space="preserve"> Con Giro por Anticipo </v>
      </c>
      <c r="I112" s="16">
        <f ca="1">IFERROR(__xludf.DUMMYFUNCTION("""COMPUTED_VALUE"""),102854682)</f>
        <v>102854682</v>
      </c>
      <c r="J112" s="83" t="s">
        <v>48</v>
      </c>
      <c r="K112" s="16">
        <f ca="1">IFERROR(__xludf.DUMMYFUNCTION("""COMPUTED_VALUE"""),52987195)</f>
        <v>52987195</v>
      </c>
      <c r="L112" s="16"/>
      <c r="M112" s="16"/>
      <c r="N112" s="21">
        <f ca="1">IFERROR(__xludf.DUMMYFUNCTION("""COMPUTED_VALUE"""),49867487)</f>
        <v>49867487</v>
      </c>
      <c r="O112" s="19"/>
      <c r="P112" s="19"/>
      <c r="Q112" s="19"/>
      <c r="R112" s="19"/>
      <c r="S112" s="19"/>
      <c r="T112" s="19"/>
      <c r="U112" s="19"/>
      <c r="V112" s="19"/>
      <c r="W112" s="20">
        <f ca="1">IFERROR(__xludf.DUMMYFUNCTION("""COMPUTED_VALUE"""),102854682)</f>
        <v>102854682</v>
      </c>
      <c r="X112" s="20" t="str">
        <f ca="1">IFERROR(__xludf.DUMMYFUNCTION("""COMPUTED_VALUE""")," MUNICIPALIDAD DE LOS ÁLAMOS ")</f>
        <v xml:space="preserve"> MUNICIPALIDAD DE LOS ÁLAMOS </v>
      </c>
    </row>
    <row r="113" spans="1:24" ht="15.75" customHeight="1" x14ac:dyDescent="0.25">
      <c r="A113" s="16" t="str">
        <f ca="1">IFERROR(__xludf.DUMMYFUNCTION("""COMPUTED_VALUE""")," REGIÓN DEL BIOBÍO ")</f>
        <v xml:space="preserve"> REGIÓN DEL BIOBÍO </v>
      </c>
      <c r="B113" s="16" t="str">
        <f t="shared" ca="1" si="0"/>
        <v xml:space="preserve"> LOS ÁLAMOS </v>
      </c>
      <c r="C113" s="16" t="str">
        <f ca="1">IFERROR(__xludf.DUMMYFUNCTION("""COMPUTED_VALUE""")," REPOSICION VEREDA CALLE TENIENTE MERINO LADO ESTE, LOS ALAMOS ")</f>
        <v xml:space="preserve"> REPOSICION VEREDA CALLE TENIENTE MERINO LADO ESTE, LOS ALAMOS </v>
      </c>
      <c r="D113" s="16" t="str">
        <f ca="1">IFERROR(__xludf.DUMMYFUNCTION("""COMPUTED_VALUE""")," 1-K-2023-272 ")</f>
        <v xml:space="preserve"> 1-K-2023-272 </v>
      </c>
      <c r="E113" s="16" t="str">
        <f ca="1">IFERROR(__xludf.DUMMYFUNCTION("""COMPUTED_VALUE""")," Con Giro por Anticipo ")</f>
        <v xml:space="preserve"> Con Giro por Anticipo </v>
      </c>
      <c r="F113" s="17">
        <f ca="1">IFERROR(__xludf.DUMMYFUNCTION("""COMPUTED_VALUE"""),45322)</f>
        <v>45322</v>
      </c>
      <c r="G113" s="16">
        <f ca="1">IFERROR(__xludf.DUMMYFUNCTION("""COMPUTED_VALUE"""),106000000)</f>
        <v>106000000</v>
      </c>
      <c r="H113" s="16" t="str">
        <f ca="1">IFERROR(__xludf.DUMMYFUNCTION("""COMPUTED_VALUE""")," Con Giro por Anticipo ")</f>
        <v xml:space="preserve"> Con Giro por Anticipo </v>
      </c>
      <c r="I113" s="16">
        <f ca="1">IFERROR(__xludf.DUMMYFUNCTION("""COMPUTED_VALUE"""),102854682)</f>
        <v>102854682</v>
      </c>
      <c r="J113" s="83" t="s">
        <v>48</v>
      </c>
      <c r="K113" s="16">
        <f ca="1">IFERROR(__xludf.DUMMYFUNCTION("""COMPUTED_VALUE"""),52987195)</f>
        <v>52987195</v>
      </c>
      <c r="L113" s="16"/>
      <c r="M113" s="16"/>
      <c r="N113" s="21">
        <f ca="1">IFERROR(__xludf.DUMMYFUNCTION("""COMPUTED_VALUE"""),49867487)</f>
        <v>49867487</v>
      </c>
      <c r="O113" s="19"/>
      <c r="P113" s="19"/>
      <c r="Q113" s="19"/>
      <c r="R113" s="19"/>
      <c r="S113" s="19"/>
      <c r="T113" s="19"/>
      <c r="U113" s="19"/>
      <c r="V113" s="19"/>
      <c r="W113" s="20">
        <f ca="1">IFERROR(__xludf.DUMMYFUNCTION("""COMPUTED_VALUE"""),102854682)</f>
        <v>102854682</v>
      </c>
      <c r="X113" s="20" t="str">
        <f ca="1">IFERROR(__xludf.DUMMYFUNCTION("""COMPUTED_VALUE""")," MUNICIPALIDAD DE LOS ÁLAMOS ")</f>
        <v xml:space="preserve"> MUNICIPALIDAD DE LOS ÁLAMOS </v>
      </c>
    </row>
    <row r="114" spans="1:24" ht="15.75" customHeight="1" x14ac:dyDescent="0.25">
      <c r="A114" s="16" t="str">
        <f ca="1">IFERROR(__xludf.DUMMYFUNCTION("""COMPUTED_VALUE""")," REGIÓN DEL BIOBÍO ")</f>
        <v xml:space="preserve"> REGIÓN DEL BIOBÍO </v>
      </c>
      <c r="B114" s="16" t="str">
        <f t="shared" ca="1" si="0"/>
        <v xml:space="preserve"> LOS ÁLAMOS </v>
      </c>
      <c r="C114" s="16" t="str">
        <f ca="1">IFERROR(__xludf.DUMMYFUNCTION("""COMPUTED_VALUE""")," REPOSICION VEREDA CALLE TRIHUECO SECTOR LICEO CRISTO REDENTOR, LOS ALAMOS ")</f>
        <v xml:space="preserve"> REPOSICION VEREDA CALLE TRIHUECO SECTOR LICEO CRISTO REDENTOR, LOS ALAMOS </v>
      </c>
      <c r="D114" s="16" t="str">
        <f ca="1">IFERROR(__xludf.DUMMYFUNCTION("""COMPUTED_VALUE""")," 1-K-2023-273 ")</f>
        <v xml:space="preserve"> 1-K-2023-273 </v>
      </c>
      <c r="E114" s="16" t="str">
        <f ca="1">IFERROR(__xludf.DUMMYFUNCTION("""COMPUTED_VALUE""")," Con Giro por Anticipo ")</f>
        <v xml:space="preserve"> Con Giro por Anticipo </v>
      </c>
      <c r="F114" s="17">
        <f ca="1">IFERROR(__xludf.DUMMYFUNCTION("""COMPUTED_VALUE"""),45322)</f>
        <v>45322</v>
      </c>
      <c r="G114" s="16">
        <f ca="1">IFERROR(__xludf.DUMMYFUNCTION("""COMPUTED_VALUE"""),106000000)</f>
        <v>106000000</v>
      </c>
      <c r="H114" s="16" t="str">
        <f ca="1">IFERROR(__xludf.DUMMYFUNCTION("""COMPUTED_VALUE""")," Con Giro por Anticipo ")</f>
        <v xml:space="preserve"> Con Giro por Anticipo </v>
      </c>
      <c r="I114" s="16">
        <f ca="1">IFERROR(__xludf.DUMMYFUNCTION("""COMPUTED_VALUE"""),102844980)</f>
        <v>102844980</v>
      </c>
      <c r="J114" s="83" t="s">
        <v>48</v>
      </c>
      <c r="K114" s="16">
        <f ca="1">IFERROR(__xludf.DUMMYFUNCTION("""COMPUTED_VALUE"""),52982344)</f>
        <v>52982344</v>
      </c>
      <c r="L114" s="16"/>
      <c r="M114" s="16"/>
      <c r="N114" s="21">
        <f ca="1">IFERROR(__xludf.DUMMYFUNCTION("""COMPUTED_VALUE"""),49862636)</f>
        <v>49862636</v>
      </c>
      <c r="O114" s="19"/>
      <c r="P114" s="19"/>
      <c r="Q114" s="19"/>
      <c r="R114" s="19"/>
      <c r="S114" s="19"/>
      <c r="T114" s="19"/>
      <c r="U114" s="19"/>
      <c r="V114" s="19"/>
      <c r="W114" s="20">
        <f ca="1">IFERROR(__xludf.DUMMYFUNCTION("""COMPUTED_VALUE"""),102844980)</f>
        <v>102844980</v>
      </c>
      <c r="X114" s="20" t="str">
        <f ca="1">IFERROR(__xludf.DUMMYFUNCTION("""COMPUTED_VALUE""")," MUNICIPALIDAD DE LOS ÁLAMOS ")</f>
        <v xml:space="preserve"> MUNICIPALIDAD DE LOS ÁLAMOS </v>
      </c>
    </row>
    <row r="115" spans="1:24" ht="15.75" customHeight="1" x14ac:dyDescent="0.25">
      <c r="A115" s="16" t="str">
        <f ca="1">IFERROR(__xludf.DUMMYFUNCTION("""COMPUTED_VALUE""")," REGIÓN DEL BIOBÍO ")</f>
        <v xml:space="preserve"> REGIÓN DEL BIOBÍO </v>
      </c>
      <c r="B115" s="16" t="str">
        <f t="shared" ca="1" si="0"/>
        <v xml:space="preserve"> LEBU </v>
      </c>
      <c r="C115" s="16" t="str">
        <f ca="1">IFERROR(__xludf.DUMMYFUNCTION("""COMPUTED_VALUE""")," REPOSICION BARANDAS SECTOR LA LAGUNA SANTA ROSA, LEBU ")</f>
        <v xml:space="preserve"> REPOSICION BARANDAS SECTOR LA LAGUNA SANTA ROSA, LEBU </v>
      </c>
      <c r="D115" s="16" t="str">
        <f ca="1">IFERROR(__xludf.DUMMYFUNCTION("""COMPUTED_VALUE""")," 1-K-2023-274 ")</f>
        <v xml:space="preserve"> 1-K-2023-274 </v>
      </c>
      <c r="E115" s="16" t="str">
        <f ca="1">IFERROR(__xludf.DUMMYFUNCTION("""COMPUTED_VALUE""")," Con Giro por Anticipo ")</f>
        <v xml:space="preserve"> Con Giro por Anticipo </v>
      </c>
      <c r="F115" s="17">
        <f ca="1">IFERROR(__xludf.DUMMYFUNCTION("""COMPUTED_VALUE"""),45322)</f>
        <v>45322</v>
      </c>
      <c r="G115" s="16">
        <f ca="1">IFERROR(__xludf.DUMMYFUNCTION("""COMPUTED_VALUE"""),129000000)</f>
        <v>129000000</v>
      </c>
      <c r="H115" s="16" t="str">
        <f ca="1">IFERROR(__xludf.DUMMYFUNCTION("""COMPUTED_VALUE""")," Con Giro por Anticipo ")</f>
        <v xml:space="preserve"> Con Giro por Anticipo </v>
      </c>
      <c r="I115" s="16">
        <f ca="1">IFERROR(__xludf.DUMMYFUNCTION("""COMPUTED_VALUE"""),129230625)</f>
        <v>129230625</v>
      </c>
      <c r="J115" s="83" t="s">
        <v>48</v>
      </c>
      <c r="K115" s="16">
        <f ca="1">IFERROR(__xludf.DUMMYFUNCTION("""COMPUTED_VALUE"""),64615313)</f>
        <v>64615313</v>
      </c>
      <c r="L115" s="16"/>
      <c r="M115" s="16"/>
      <c r="N115" s="21">
        <f ca="1">IFERROR(__xludf.DUMMYFUNCTION("""COMPUTED_VALUE"""),64615312)</f>
        <v>64615312</v>
      </c>
      <c r="O115" s="19"/>
      <c r="P115" s="19"/>
      <c r="Q115" s="19"/>
      <c r="R115" s="19"/>
      <c r="S115" s="19"/>
      <c r="T115" s="19"/>
      <c r="U115" s="19"/>
      <c r="V115" s="19"/>
      <c r="W115" s="20">
        <f ca="1">IFERROR(__xludf.DUMMYFUNCTION("""COMPUTED_VALUE"""),129230625)</f>
        <v>129230625</v>
      </c>
      <c r="X115" s="20" t="str">
        <f ca="1">IFERROR(__xludf.DUMMYFUNCTION("""COMPUTED_VALUE""")," MUNICIPALIDAD DE LEBU ")</f>
        <v xml:space="preserve"> MUNICIPALIDAD DE LEBU </v>
      </c>
    </row>
    <row r="116" spans="1:24" ht="15.75" customHeight="1" x14ac:dyDescent="0.25">
      <c r="A116" s="16" t="str">
        <f ca="1">IFERROR(__xludf.DUMMYFUNCTION("""COMPUTED_VALUE""")," REGIÓN DEL BIOBÍO ")</f>
        <v xml:space="preserve"> REGIÓN DEL BIOBÍO </v>
      </c>
      <c r="B116" s="16" t="str">
        <f t="shared" ca="1" si="0"/>
        <v xml:space="preserve"> LEBU </v>
      </c>
      <c r="C116" s="16" t="str">
        <f ca="1">IFERROR(__xludf.DUMMYFUNCTION("""COMPUTED_VALUE""")," CONSTRUCCIÓN DE ALUMBRADO PÚBLICO CALLE LOS PEHUENCHES, SANTA ROSA, LEBU ")</f>
        <v xml:space="preserve"> CONSTRUCCIÓN DE ALUMBRADO PÚBLICO CALLE LOS PEHUENCHES, SANTA ROSA, LEBU </v>
      </c>
      <c r="D116" s="16" t="str">
        <f ca="1">IFERROR(__xludf.DUMMYFUNCTION("""COMPUTED_VALUE""")," 1-K-2023-275 ")</f>
        <v xml:space="preserve"> 1-K-2023-275 </v>
      </c>
      <c r="E116" s="16" t="str">
        <f ca="1">IFERROR(__xludf.DUMMYFUNCTION("""COMPUTED_VALUE""")," Con Giro por Anticipo ")</f>
        <v xml:space="preserve"> Con Giro por Anticipo </v>
      </c>
      <c r="F116" s="17">
        <f ca="1">IFERROR(__xludf.DUMMYFUNCTION("""COMPUTED_VALUE"""),45322)</f>
        <v>45322</v>
      </c>
      <c r="G116" s="16">
        <f ca="1">IFERROR(__xludf.DUMMYFUNCTION("""COMPUTED_VALUE"""),72443362)</f>
        <v>72443362</v>
      </c>
      <c r="H116" s="16" t="str">
        <f ca="1">IFERROR(__xludf.DUMMYFUNCTION("""COMPUTED_VALUE""")," Con Giro por Anticipo ")</f>
        <v xml:space="preserve"> Con Giro por Anticipo </v>
      </c>
      <c r="I116" s="16">
        <f ca="1">IFERROR(__xludf.DUMMYFUNCTION("""COMPUTED_VALUE"""),72443362)</f>
        <v>72443362</v>
      </c>
      <c r="J116" s="83" t="s">
        <v>48</v>
      </c>
      <c r="K116" s="16">
        <f ca="1">IFERROR(__xludf.DUMMYFUNCTION("""COMPUTED_VALUE"""),36221681)</f>
        <v>36221681</v>
      </c>
      <c r="L116" s="16"/>
      <c r="M116" s="16"/>
      <c r="N116" s="21">
        <f ca="1">IFERROR(__xludf.DUMMYFUNCTION("""COMPUTED_VALUE"""),36221681)</f>
        <v>36221681</v>
      </c>
      <c r="O116" s="19"/>
      <c r="P116" s="19"/>
      <c r="Q116" s="19"/>
      <c r="R116" s="19"/>
      <c r="S116" s="19"/>
      <c r="T116" s="19"/>
      <c r="U116" s="19"/>
      <c r="V116" s="19"/>
      <c r="W116" s="20">
        <f ca="1">IFERROR(__xludf.DUMMYFUNCTION("""COMPUTED_VALUE"""),72443362)</f>
        <v>72443362</v>
      </c>
      <c r="X116" s="20" t="str">
        <f ca="1">IFERROR(__xludf.DUMMYFUNCTION("""COMPUTED_VALUE""")," MUNICIPALIDAD DE LEBU ")</f>
        <v xml:space="preserve"> MUNICIPALIDAD DE LEBU </v>
      </c>
    </row>
    <row r="117" spans="1:24" ht="15.75" customHeight="1" x14ac:dyDescent="0.25">
      <c r="A117" s="16" t="str">
        <f ca="1">IFERROR(__xludf.DUMMYFUNCTION("""COMPUTED_VALUE""")," REGIÓN METROPOLITANA ")</f>
        <v xml:space="preserve"> REGIÓN METROPOLITANA </v>
      </c>
      <c r="B117" s="16" t="str">
        <f t="shared" ca="1" si="0"/>
        <v xml:space="preserve"> MELIPILLA </v>
      </c>
      <c r="C117" s="16" t="str">
        <f ca="1">IFERROR(__xludf.DUMMYFUNCTION("""COMPUTED_VALUE""")," CSV CONSTRUCCION ILUMINACION PEATONAL ZONA PONIENTE,COMUNA DE MELIPILLA ")</f>
        <v xml:space="preserve"> CSV CONSTRUCCION ILUMINACION PEATONAL ZONA PONIENTE,COMUNA DE MELIPILLA </v>
      </c>
      <c r="D117" s="16" t="str">
        <f ca="1">IFERROR(__xludf.DUMMYFUNCTION("""COMPUTED_VALUE""")," 1-C-2023-2520 ")</f>
        <v xml:space="preserve"> 1-C-2023-2520 </v>
      </c>
      <c r="E117" s="16" t="str">
        <f ca="1">IFERROR(__xludf.DUMMYFUNCTION("""COMPUTED_VALUE""")," 100% Girado ")</f>
        <v xml:space="preserve"> 100% Girado </v>
      </c>
      <c r="F117" s="17">
        <f ca="1">IFERROR(__xludf.DUMMYFUNCTION("""COMPUTED_VALUE"""),45315)</f>
        <v>45315</v>
      </c>
      <c r="G117" s="16">
        <f ca="1">IFERROR(__xludf.DUMMYFUNCTION("""COMPUTED_VALUE"""),116000000)</f>
        <v>116000000</v>
      </c>
      <c r="H117" s="16" t="str">
        <f ca="1">IFERROR(__xludf.DUMMYFUNCTION("""COMPUTED_VALUE""")," 100% Girado ")</f>
        <v xml:space="preserve"> 100% Girado </v>
      </c>
      <c r="I117" s="16">
        <f ca="1">IFERROR(__xludf.DUMMYFUNCTION("""COMPUTED_VALUE"""),116468460)</f>
        <v>116468460</v>
      </c>
      <c r="J117" s="83" t="s">
        <v>48</v>
      </c>
      <c r="K117" s="16">
        <f ca="1">IFERROR(__xludf.DUMMYFUNCTION("""COMPUTED_VALUE"""),116468460)</f>
        <v>116468460</v>
      </c>
      <c r="L117" s="16"/>
      <c r="M117" s="16"/>
      <c r="N117" s="21">
        <f ca="1">IFERROR(__xludf.DUMMYFUNCTION("""COMPUTED_VALUE"""),0)</f>
        <v>0</v>
      </c>
      <c r="O117" s="19"/>
      <c r="P117" s="19"/>
      <c r="Q117" s="19"/>
      <c r="R117" s="19"/>
      <c r="S117" s="19"/>
      <c r="T117" s="19"/>
      <c r="U117" s="19"/>
      <c r="V117" s="19"/>
      <c r="W117" s="20">
        <f ca="1">IFERROR(__xludf.DUMMYFUNCTION("""COMPUTED_VALUE"""),116468460)</f>
        <v>116468460</v>
      </c>
      <c r="X117" s="20" t="str">
        <f ca="1">IFERROR(__xludf.DUMMYFUNCTION("""COMPUTED_VALUE""")," MUNICIPALIDAD DE MELIPILLA ")</f>
        <v xml:space="preserve"> MUNICIPALIDAD DE MELIPILLA </v>
      </c>
    </row>
    <row r="118" spans="1:24" ht="15.75" customHeight="1" x14ac:dyDescent="0.25">
      <c r="A118" s="16" t="str">
        <f ca="1">IFERROR(__xludf.DUMMYFUNCTION("""COMPUTED_VALUE""")," REGIÓN METROPOLITANA ")</f>
        <v xml:space="preserve"> REGIÓN METROPOLITANA </v>
      </c>
      <c r="B118" s="16" t="str">
        <f t="shared" ca="1" si="0"/>
        <v xml:space="preserve"> MELIPILLA </v>
      </c>
      <c r="C118" s="16" t="str">
        <f ca="1">IFERROR(__xludf.DUMMYFUNCTION("""COMPUTED_VALUE""")," CSV CONSTRUCCION ILUMINACION PEATONAL ZONA SUR,COMUNA DE MELIPILLA ")</f>
        <v xml:space="preserve"> CSV CONSTRUCCION ILUMINACION PEATONAL ZONA SUR,COMUNA DE MELIPILLA </v>
      </c>
      <c r="D118" s="16" t="str">
        <f ca="1">IFERROR(__xludf.DUMMYFUNCTION("""COMPUTED_VALUE""")," 1-C-2023-2521 ")</f>
        <v xml:space="preserve"> 1-C-2023-2521 </v>
      </c>
      <c r="E118" s="16" t="str">
        <f ca="1">IFERROR(__xludf.DUMMYFUNCTION("""COMPUTED_VALUE""")," 100% Girado ")</f>
        <v xml:space="preserve"> 100% Girado </v>
      </c>
      <c r="F118" s="17">
        <f ca="1">IFERROR(__xludf.DUMMYFUNCTION("""COMPUTED_VALUE"""),45315)</f>
        <v>45315</v>
      </c>
      <c r="G118" s="16">
        <f ca="1">IFERROR(__xludf.DUMMYFUNCTION("""COMPUTED_VALUE"""),121000000)</f>
        <v>121000000</v>
      </c>
      <c r="H118" s="16" t="str">
        <f ca="1">IFERROR(__xludf.DUMMYFUNCTION("""COMPUTED_VALUE""")," 100% Girado ")</f>
        <v xml:space="preserve"> 100% Girado </v>
      </c>
      <c r="I118" s="16">
        <f ca="1">IFERROR(__xludf.DUMMYFUNCTION("""COMPUTED_VALUE"""),120911562)</f>
        <v>120911562</v>
      </c>
      <c r="J118" s="83" t="s">
        <v>48</v>
      </c>
      <c r="K118" s="16">
        <f ca="1">IFERROR(__xludf.DUMMYFUNCTION("""COMPUTED_VALUE"""),120911562)</f>
        <v>120911562</v>
      </c>
      <c r="L118" s="16"/>
      <c r="M118" s="16"/>
      <c r="N118" s="21">
        <f ca="1">IFERROR(__xludf.DUMMYFUNCTION("""COMPUTED_VALUE"""),0)</f>
        <v>0</v>
      </c>
      <c r="O118" s="19"/>
      <c r="P118" s="19"/>
      <c r="Q118" s="19"/>
      <c r="R118" s="19"/>
      <c r="S118" s="19"/>
      <c r="T118" s="19"/>
      <c r="U118" s="19"/>
      <c r="V118" s="19"/>
      <c r="W118" s="20">
        <f ca="1">IFERROR(__xludf.DUMMYFUNCTION("""COMPUTED_VALUE"""),120911562)</f>
        <v>120911562</v>
      </c>
      <c r="X118" s="20" t="str">
        <f ca="1">IFERROR(__xludf.DUMMYFUNCTION("""COMPUTED_VALUE""")," MUNICIPALIDAD DE MELIPILLA ")</f>
        <v xml:space="preserve"> MUNICIPALIDAD DE MELIPILLA </v>
      </c>
    </row>
    <row r="119" spans="1:24" ht="15.75" customHeight="1" x14ac:dyDescent="0.25">
      <c r="A119" s="16" t="str">
        <f ca="1">IFERROR(__xludf.DUMMYFUNCTION("""COMPUTED_VALUE""")," REGIÓN METROPOLITANA ")</f>
        <v xml:space="preserve"> REGIÓN METROPOLITANA </v>
      </c>
      <c r="B119" s="16" t="str">
        <f t="shared" ca="1" si="0"/>
        <v xml:space="preserve"> MELIPILLA </v>
      </c>
      <c r="C119" s="16" t="str">
        <f ca="1">IFERROR(__xludf.DUMMYFUNCTION("""COMPUTED_VALUE""")," CSV CONSTRUCCION ILUMINACION PEATONAL ZONA CENTRO,COMUNA DE MELIPILLA ")</f>
        <v xml:space="preserve"> CSV CONSTRUCCION ILUMINACION PEATONAL ZONA CENTRO,COMUNA DE MELIPILLA </v>
      </c>
      <c r="D119" s="16" t="str">
        <f ca="1">IFERROR(__xludf.DUMMYFUNCTION("""COMPUTED_VALUE""")," 1-C-2023-2523 ")</f>
        <v xml:space="preserve"> 1-C-2023-2523 </v>
      </c>
      <c r="E119" s="16" t="str">
        <f ca="1">IFERROR(__xludf.DUMMYFUNCTION("""COMPUTED_VALUE""")," 100% Girado ")</f>
        <v xml:space="preserve"> 100% Girado </v>
      </c>
      <c r="F119" s="17">
        <f ca="1">IFERROR(__xludf.DUMMYFUNCTION("""COMPUTED_VALUE"""),45315)</f>
        <v>45315</v>
      </c>
      <c r="G119" s="16">
        <f ca="1">IFERROR(__xludf.DUMMYFUNCTION("""COMPUTED_VALUE"""),119000000)</f>
        <v>119000000</v>
      </c>
      <c r="H119" s="16" t="str">
        <f ca="1">IFERROR(__xludf.DUMMYFUNCTION("""COMPUTED_VALUE""")," 100% Girado ")</f>
        <v xml:space="preserve"> 100% Girado </v>
      </c>
      <c r="I119" s="16">
        <f ca="1">IFERROR(__xludf.DUMMYFUNCTION("""COMPUTED_VALUE"""),119021749)</f>
        <v>119021749</v>
      </c>
      <c r="J119" s="83" t="s">
        <v>48</v>
      </c>
      <c r="K119" s="16">
        <f ca="1">IFERROR(__xludf.DUMMYFUNCTION("""COMPUTED_VALUE"""),119021749)</f>
        <v>119021749</v>
      </c>
      <c r="L119" s="16"/>
      <c r="M119" s="16"/>
      <c r="N119" s="21">
        <f ca="1">IFERROR(__xludf.DUMMYFUNCTION("""COMPUTED_VALUE"""),0)</f>
        <v>0</v>
      </c>
      <c r="O119" s="19"/>
      <c r="P119" s="19"/>
      <c r="Q119" s="19"/>
      <c r="R119" s="19"/>
      <c r="S119" s="19"/>
      <c r="T119" s="19"/>
      <c r="U119" s="19"/>
      <c r="V119" s="19"/>
      <c r="W119" s="20">
        <f ca="1">IFERROR(__xludf.DUMMYFUNCTION("""COMPUTED_VALUE"""),119021749)</f>
        <v>119021749</v>
      </c>
      <c r="X119" s="20" t="str">
        <f ca="1">IFERROR(__xludf.DUMMYFUNCTION("""COMPUTED_VALUE""")," MUNICIPALIDAD DE MELIPILLA ")</f>
        <v xml:space="preserve"> MUNICIPALIDAD DE MELIPILLA </v>
      </c>
    </row>
    <row r="120" spans="1:24" ht="15.75" customHeight="1" x14ac:dyDescent="0.25">
      <c r="A120" s="16" t="str">
        <f ca="1">IFERROR(__xludf.DUMMYFUNCTION("""COMPUTED_VALUE""")," REGIÓN METROPOLITANA ")</f>
        <v xml:space="preserve"> REGIÓN METROPOLITANA </v>
      </c>
      <c r="B120" s="16" t="str">
        <f t="shared" ca="1" si="0"/>
        <v xml:space="preserve"> SAN MIGUEL </v>
      </c>
      <c r="C120" s="16" t="str">
        <f ca="1">IFERROR(__xludf.DUMMYFUNCTION("""COMPUTED_VALUE""")," MEJORAMIENTO ESPACIO PÚBLICO ENTORNO CENTRO PENITENCIARIO FEMENINO, SAN MIGUEL ")</f>
        <v xml:space="preserve"> MEJORAMIENTO ESPACIO PÚBLICO ENTORNO CENTRO PENITENCIARIO FEMENINO, SAN MIGUEL </v>
      </c>
      <c r="D120" s="16" t="str">
        <f ca="1">IFERROR(__xludf.DUMMYFUNCTION("""COMPUTED_VALUE""")," 1-C-2023-2580 ")</f>
        <v xml:space="preserve"> 1-C-2023-2580 </v>
      </c>
      <c r="E120" s="16" t="str">
        <f ca="1">IFERROR(__xludf.DUMMYFUNCTION("""COMPUTED_VALUE""")," 100% Girado ")</f>
        <v xml:space="preserve"> 100% Girado </v>
      </c>
      <c r="F120" s="17">
        <f ca="1">IFERROR(__xludf.DUMMYFUNCTION("""COMPUTED_VALUE"""),45320)</f>
        <v>45320</v>
      </c>
      <c r="G120" s="16">
        <f ca="1">IFERROR(__xludf.DUMMYFUNCTION("""COMPUTED_VALUE"""),144000000)</f>
        <v>144000000</v>
      </c>
      <c r="H120" s="16" t="str">
        <f ca="1">IFERROR(__xludf.DUMMYFUNCTION("""COMPUTED_VALUE""")," 100% Girado ")</f>
        <v xml:space="preserve"> 100% Girado </v>
      </c>
      <c r="I120" s="16">
        <f ca="1">IFERROR(__xludf.DUMMYFUNCTION("""COMPUTED_VALUE"""),143600000)</f>
        <v>143600000</v>
      </c>
      <c r="J120" s="83" t="s">
        <v>48</v>
      </c>
      <c r="K120" s="16">
        <f ca="1">IFERROR(__xludf.DUMMYFUNCTION("""COMPUTED_VALUE"""),143600000)</f>
        <v>143600000</v>
      </c>
      <c r="L120" s="16"/>
      <c r="M120" s="16"/>
      <c r="N120" s="21">
        <f ca="1">IFERROR(__xludf.DUMMYFUNCTION("""COMPUTED_VALUE"""),0)</f>
        <v>0</v>
      </c>
      <c r="O120" s="19"/>
      <c r="P120" s="19"/>
      <c r="Q120" s="19"/>
      <c r="R120" s="19"/>
      <c r="S120" s="19"/>
      <c r="T120" s="19"/>
      <c r="U120" s="19"/>
      <c r="V120" s="19"/>
      <c r="W120" s="20">
        <f ca="1">IFERROR(__xludf.DUMMYFUNCTION("""COMPUTED_VALUE"""),143600000)</f>
        <v>143600000</v>
      </c>
      <c r="X120" s="20" t="str">
        <f ca="1">IFERROR(__xludf.DUMMYFUNCTION("""COMPUTED_VALUE""")," MUNICIPALIDAD DE SAN MIGUEL ")</f>
        <v xml:space="preserve"> MUNICIPALIDAD DE SAN MIGUEL </v>
      </c>
    </row>
    <row r="121" spans="1:24" ht="15.75" customHeight="1" x14ac:dyDescent="0.25">
      <c r="A121" s="16" t="str">
        <f ca="1">IFERROR(__xludf.DUMMYFUNCTION("""COMPUTED_VALUE""")," REGIÓN METROPOLITANA ")</f>
        <v xml:space="preserve"> REGIÓN METROPOLITANA </v>
      </c>
      <c r="B121" s="16" t="str">
        <f t="shared" ca="1" si="0"/>
        <v xml:space="preserve"> SAN MIGUEL </v>
      </c>
      <c r="C121" s="16" t="str">
        <f ca="1">IFERROR(__xludf.DUMMYFUNCTION("""COMPUTED_VALUE""")," MEJORAMIENTO DE ESPACIO PÚBLICO LO OVALLE NORTE, SAN MIGUEL ")</f>
        <v xml:space="preserve"> MEJORAMIENTO DE ESPACIO PÚBLICO LO OVALLE NORTE, SAN MIGUEL </v>
      </c>
      <c r="D121" s="16" t="str">
        <f ca="1">IFERROR(__xludf.DUMMYFUNCTION("""COMPUTED_VALUE""")," 1-C-2023-2581 ")</f>
        <v xml:space="preserve"> 1-C-2023-2581 </v>
      </c>
      <c r="E121" s="16" t="str">
        <f ca="1">IFERROR(__xludf.DUMMYFUNCTION("""COMPUTED_VALUE""")," 100% Girado ")</f>
        <v xml:space="preserve"> 100% Girado </v>
      </c>
      <c r="F121" s="17">
        <f ca="1">IFERROR(__xludf.DUMMYFUNCTION("""COMPUTED_VALUE"""),45320)</f>
        <v>45320</v>
      </c>
      <c r="G121" s="16">
        <f ca="1">IFERROR(__xludf.DUMMYFUNCTION("""COMPUTED_VALUE"""),108000000)</f>
        <v>108000000</v>
      </c>
      <c r="H121" s="16" t="str">
        <f ca="1">IFERROR(__xludf.DUMMYFUNCTION("""COMPUTED_VALUE""")," 100% Girado ")</f>
        <v xml:space="preserve"> 100% Girado </v>
      </c>
      <c r="I121" s="16">
        <f ca="1">IFERROR(__xludf.DUMMYFUNCTION("""COMPUTED_VALUE"""),108428590)</f>
        <v>108428590</v>
      </c>
      <c r="J121" s="83" t="s">
        <v>48</v>
      </c>
      <c r="K121" s="16">
        <f ca="1">IFERROR(__xludf.DUMMYFUNCTION("""COMPUTED_VALUE"""),108428590)</f>
        <v>108428590</v>
      </c>
      <c r="L121" s="16"/>
      <c r="M121" s="16"/>
      <c r="N121" s="21">
        <f ca="1">IFERROR(__xludf.DUMMYFUNCTION("""COMPUTED_VALUE"""),0)</f>
        <v>0</v>
      </c>
      <c r="O121" s="19"/>
      <c r="P121" s="19"/>
      <c r="Q121" s="19"/>
      <c r="R121" s="19"/>
      <c r="S121" s="19"/>
      <c r="T121" s="19"/>
      <c r="U121" s="19"/>
      <c r="V121" s="19"/>
      <c r="W121" s="20">
        <f ca="1">IFERROR(__xludf.DUMMYFUNCTION("""COMPUTED_VALUE"""),108428590)</f>
        <v>108428590</v>
      </c>
      <c r="X121" s="20" t="str">
        <f ca="1">IFERROR(__xludf.DUMMYFUNCTION("""COMPUTED_VALUE""")," MUNICIPALIDAD DE SAN MIGUEL ")</f>
        <v xml:space="preserve"> MUNICIPALIDAD DE SAN MIGUEL </v>
      </c>
    </row>
    <row r="122" spans="1:24" ht="15.75" customHeight="1" x14ac:dyDescent="0.25">
      <c r="A122" s="16" t="str">
        <f ca="1">IFERROR(__xludf.DUMMYFUNCTION("""COMPUTED_VALUE""")," REGIÓN DE ARICA Y PARINACOTA ")</f>
        <v xml:space="preserve"> REGIÓN DE ARICA Y PARINACOTA </v>
      </c>
      <c r="B122" s="16" t="str">
        <f t="shared" ca="1" si="0"/>
        <v xml:space="preserve"> ARICA </v>
      </c>
      <c r="C122" s="16" t="str">
        <f ca="1">IFERROR(__xludf.DUMMYFUNCTION("""COMPUTED_VALUE""")," INSTALACIÓN DE ALUMBRADO PÚBLICO PLAYA ARENILLAS NEGRAS, ARICA ")</f>
        <v xml:space="preserve"> INSTALACIÓN DE ALUMBRADO PÚBLICO PLAYA ARENILLAS NEGRAS, ARICA </v>
      </c>
      <c r="D122" s="16" t="str">
        <f ca="1">IFERROR(__xludf.DUMMYFUNCTION("""COMPUTED_VALUE""")," 1-C-2023-2584 ")</f>
        <v xml:space="preserve"> 1-C-2023-2584 </v>
      </c>
      <c r="E122" s="16" t="str">
        <f ca="1">IFERROR(__xludf.DUMMYFUNCTION("""COMPUTED_VALUE""")," 100% Girado ")</f>
        <v xml:space="preserve"> 100% Girado </v>
      </c>
      <c r="F122" s="17">
        <f ca="1">IFERROR(__xludf.DUMMYFUNCTION("""COMPUTED_VALUE"""),45315)</f>
        <v>45315</v>
      </c>
      <c r="G122" s="16">
        <f ca="1">IFERROR(__xludf.DUMMYFUNCTION("""COMPUTED_VALUE"""),154000000)</f>
        <v>154000000</v>
      </c>
      <c r="H122" s="16" t="str">
        <f ca="1">IFERROR(__xludf.DUMMYFUNCTION("""COMPUTED_VALUE""")," 100% Girado ")</f>
        <v xml:space="preserve"> 100% Girado </v>
      </c>
      <c r="I122" s="16">
        <f ca="1">IFERROR(__xludf.DUMMYFUNCTION("""COMPUTED_VALUE"""),153897946)</f>
        <v>153897946</v>
      </c>
      <c r="J122" s="83" t="s">
        <v>48</v>
      </c>
      <c r="K122" s="16">
        <f ca="1">IFERROR(__xludf.DUMMYFUNCTION("""COMPUTED_VALUE"""),153897946)</f>
        <v>153897946</v>
      </c>
      <c r="L122" s="16"/>
      <c r="M122" s="16"/>
      <c r="N122" s="21">
        <f ca="1">IFERROR(__xludf.DUMMYFUNCTION("""COMPUTED_VALUE"""),0)</f>
        <v>0</v>
      </c>
      <c r="O122" s="19"/>
      <c r="P122" s="19"/>
      <c r="Q122" s="19"/>
      <c r="R122" s="19"/>
      <c r="S122" s="19"/>
      <c r="T122" s="19"/>
      <c r="U122" s="19"/>
      <c r="V122" s="19"/>
      <c r="W122" s="20">
        <f ca="1">IFERROR(__xludf.DUMMYFUNCTION("""COMPUTED_VALUE"""),153897946)</f>
        <v>153897946</v>
      </c>
      <c r="X122" s="20" t="str">
        <f ca="1">IFERROR(__xludf.DUMMYFUNCTION("""COMPUTED_VALUE""")," MUNICIPALIDAD DE ARICA ")</f>
        <v xml:space="preserve"> MUNICIPALIDAD DE ARICA </v>
      </c>
    </row>
    <row r="123" spans="1:24" ht="15.75" customHeight="1" x14ac:dyDescent="0.25">
      <c r="A123" s="16" t="str">
        <f ca="1">IFERROR(__xludf.DUMMYFUNCTION("""COMPUTED_VALUE""")," REGIÓN DE ARICA Y PARINACOTA ")</f>
        <v xml:space="preserve"> REGIÓN DE ARICA Y PARINACOTA </v>
      </c>
      <c r="B123" s="16" t="str">
        <f t="shared" ca="1" si="0"/>
        <v xml:space="preserve"> ARICA </v>
      </c>
      <c r="C123" s="16" t="str">
        <f ca="1">IFERROR(__xludf.DUMMYFUNCTION("""COMPUTED_VALUE""")," MEJORAMIENTO DE ESPACIO URBANO PARQUE DIEGO PORTALES, COMUNA DE ARICA ")</f>
        <v xml:space="preserve"> MEJORAMIENTO DE ESPACIO URBANO PARQUE DIEGO PORTALES, COMUNA DE ARICA </v>
      </c>
      <c r="D123" s="16" t="str">
        <f ca="1">IFERROR(__xludf.DUMMYFUNCTION("""COMPUTED_VALUE""")," 1-C-2023-2585 ")</f>
        <v xml:space="preserve"> 1-C-2023-2585 </v>
      </c>
      <c r="E123" s="16" t="str">
        <f ca="1">IFERROR(__xludf.DUMMYFUNCTION("""COMPUTED_VALUE""")," 100% Girado ")</f>
        <v xml:space="preserve"> 100% Girado </v>
      </c>
      <c r="F123" s="17">
        <f ca="1">IFERROR(__xludf.DUMMYFUNCTION("""COMPUTED_VALUE"""),45315)</f>
        <v>45315</v>
      </c>
      <c r="G123" s="16">
        <f ca="1">IFERROR(__xludf.DUMMYFUNCTION("""COMPUTED_VALUE"""),154000000)</f>
        <v>154000000</v>
      </c>
      <c r="H123" s="16" t="str">
        <f ca="1">IFERROR(__xludf.DUMMYFUNCTION("""COMPUTED_VALUE""")," 100% Girado ")</f>
        <v xml:space="preserve"> 100% Girado </v>
      </c>
      <c r="I123" s="16">
        <f ca="1">IFERROR(__xludf.DUMMYFUNCTION("""COMPUTED_VALUE"""),153999786)</f>
        <v>153999786</v>
      </c>
      <c r="J123" s="83" t="s">
        <v>48</v>
      </c>
      <c r="K123" s="16">
        <f ca="1">IFERROR(__xludf.DUMMYFUNCTION("""COMPUTED_VALUE"""),153999786)</f>
        <v>153999786</v>
      </c>
      <c r="L123" s="16"/>
      <c r="M123" s="16"/>
      <c r="N123" s="21">
        <f ca="1">IFERROR(__xludf.DUMMYFUNCTION("""COMPUTED_VALUE"""),0)</f>
        <v>0</v>
      </c>
      <c r="O123" s="19"/>
      <c r="P123" s="19"/>
      <c r="Q123" s="19"/>
      <c r="R123" s="19"/>
      <c r="S123" s="19"/>
      <c r="T123" s="19"/>
      <c r="U123" s="19"/>
      <c r="V123" s="19"/>
      <c r="W123" s="20">
        <f ca="1">IFERROR(__xludf.DUMMYFUNCTION("""COMPUTED_VALUE"""),153999786)</f>
        <v>153999786</v>
      </c>
      <c r="X123" s="20" t="str">
        <f ca="1">IFERROR(__xludf.DUMMYFUNCTION("""COMPUTED_VALUE""")," MUNICIPALIDAD DE ARICA ")</f>
        <v xml:space="preserve"> MUNICIPALIDAD DE ARICA </v>
      </c>
    </row>
    <row r="124" spans="1:24" ht="15.75" customHeight="1" x14ac:dyDescent="0.25">
      <c r="A124" s="16" t="str">
        <f ca="1">IFERROR(__xludf.DUMMYFUNCTION("""COMPUTED_VALUE""")," REGIÓN DE ARICA Y PARINACOTA ")</f>
        <v xml:space="preserve"> REGIÓN DE ARICA Y PARINACOTA </v>
      </c>
      <c r="B124" s="16" t="str">
        <f t="shared" ca="1" si="0"/>
        <v xml:space="preserve"> ARICA </v>
      </c>
      <c r="C124" s="16" t="str">
        <f ca="1">IFERROR(__xludf.DUMMYFUNCTION("""COMPUTED_VALUE""")," MEJORAMIENTO ESPACIO PUBLICO TERMINAL AGROPECUARIO, COMUNA DE ARICA ")</f>
        <v xml:space="preserve"> MEJORAMIENTO ESPACIO PUBLICO TERMINAL AGROPECUARIO, COMUNA DE ARICA </v>
      </c>
      <c r="D124" s="16" t="str">
        <f ca="1">IFERROR(__xludf.DUMMYFUNCTION("""COMPUTED_VALUE""")," 1-C-2023-2587 ")</f>
        <v xml:space="preserve"> 1-C-2023-2587 </v>
      </c>
      <c r="E124" s="16" t="str">
        <f ca="1">IFERROR(__xludf.DUMMYFUNCTION("""COMPUTED_VALUE""")," 100% Girado ")</f>
        <v xml:space="preserve"> 100% Girado </v>
      </c>
      <c r="F124" s="17">
        <f ca="1">IFERROR(__xludf.DUMMYFUNCTION("""COMPUTED_VALUE"""),45315)</f>
        <v>45315</v>
      </c>
      <c r="G124" s="16">
        <f ca="1">IFERROR(__xludf.DUMMYFUNCTION("""COMPUTED_VALUE"""),154000000)</f>
        <v>154000000</v>
      </c>
      <c r="H124" s="16" t="str">
        <f ca="1">IFERROR(__xludf.DUMMYFUNCTION("""COMPUTED_VALUE""")," 100% Girado ")</f>
        <v xml:space="preserve"> 100% Girado </v>
      </c>
      <c r="I124" s="16">
        <f ca="1">IFERROR(__xludf.DUMMYFUNCTION("""COMPUTED_VALUE"""),153983705)</f>
        <v>153983705</v>
      </c>
      <c r="J124" s="83" t="s">
        <v>48</v>
      </c>
      <c r="K124" s="16">
        <f ca="1">IFERROR(__xludf.DUMMYFUNCTION("""COMPUTED_VALUE"""),153983705)</f>
        <v>153983705</v>
      </c>
      <c r="L124" s="16"/>
      <c r="M124" s="16"/>
      <c r="N124" s="21">
        <f ca="1">IFERROR(__xludf.DUMMYFUNCTION("""COMPUTED_VALUE"""),0)</f>
        <v>0</v>
      </c>
      <c r="O124" s="19"/>
      <c r="P124" s="19"/>
      <c r="Q124" s="19"/>
      <c r="R124" s="19"/>
      <c r="S124" s="19"/>
      <c r="T124" s="19"/>
      <c r="U124" s="19"/>
      <c r="V124" s="19"/>
      <c r="W124" s="20">
        <f ca="1">IFERROR(__xludf.DUMMYFUNCTION("""COMPUTED_VALUE"""),153983705)</f>
        <v>153983705</v>
      </c>
      <c r="X124" s="20" t="str">
        <f ca="1">IFERROR(__xludf.DUMMYFUNCTION("""COMPUTED_VALUE""")," MUNICIPALIDAD DE ARICA ")</f>
        <v xml:space="preserve"> MUNICIPALIDAD DE ARICA </v>
      </c>
    </row>
    <row r="125" spans="1:24" ht="15.75" customHeight="1" x14ac:dyDescent="0.25">
      <c r="A125" s="16" t="str">
        <f ca="1">IFERROR(__xludf.DUMMYFUNCTION("""COMPUTED_VALUE""")," REGIÓN DE ARICA Y PARINACOTA ")</f>
        <v xml:space="preserve"> REGIÓN DE ARICA Y PARINACOTA </v>
      </c>
      <c r="B125" s="16" t="str">
        <f t="shared" ca="1" si="0"/>
        <v xml:space="preserve"> ARICA </v>
      </c>
      <c r="C125" s="16" t="str">
        <f ca="1">IFERROR(__xludf.DUMMYFUNCTION("""COMPUTED_VALUE""")," MEJORAMIENTO PLAZOLETA CONSISTORIAL ")</f>
        <v xml:space="preserve"> MEJORAMIENTO PLAZOLETA CONSISTORIAL </v>
      </c>
      <c r="D125" s="16" t="str">
        <f ca="1">IFERROR(__xludf.DUMMYFUNCTION("""COMPUTED_VALUE""")," 1-C-2023-2588 ")</f>
        <v xml:space="preserve"> 1-C-2023-2588 </v>
      </c>
      <c r="E125" s="16" t="str">
        <f ca="1">IFERROR(__xludf.DUMMYFUNCTION("""COMPUTED_VALUE""")," 100% Girado ")</f>
        <v xml:space="preserve"> 100% Girado </v>
      </c>
      <c r="F125" s="17">
        <f ca="1">IFERROR(__xludf.DUMMYFUNCTION("""COMPUTED_VALUE"""),45315)</f>
        <v>45315</v>
      </c>
      <c r="G125" s="16">
        <f ca="1">IFERROR(__xludf.DUMMYFUNCTION("""COMPUTED_VALUE"""),38118563)</f>
        <v>38118563</v>
      </c>
      <c r="H125" s="16" t="str">
        <f ca="1">IFERROR(__xludf.DUMMYFUNCTION("""COMPUTED_VALUE""")," 100% Girado ")</f>
        <v xml:space="preserve"> 100% Girado </v>
      </c>
      <c r="I125" s="16">
        <f ca="1">IFERROR(__xludf.DUMMYFUNCTION("""COMPUTED_VALUE"""),38118563)</f>
        <v>38118563</v>
      </c>
      <c r="J125" s="83" t="s">
        <v>48</v>
      </c>
      <c r="K125" s="16">
        <f ca="1">IFERROR(__xludf.DUMMYFUNCTION("""COMPUTED_VALUE"""),38118563)</f>
        <v>38118563</v>
      </c>
      <c r="L125" s="16"/>
      <c r="M125" s="16"/>
      <c r="N125" s="21">
        <f ca="1">IFERROR(__xludf.DUMMYFUNCTION("""COMPUTED_VALUE"""),0)</f>
        <v>0</v>
      </c>
      <c r="O125" s="19"/>
      <c r="P125" s="19"/>
      <c r="Q125" s="19"/>
      <c r="R125" s="19"/>
      <c r="S125" s="19"/>
      <c r="T125" s="19"/>
      <c r="U125" s="19"/>
      <c r="V125" s="19"/>
      <c r="W125" s="20">
        <f ca="1">IFERROR(__xludf.DUMMYFUNCTION("""COMPUTED_VALUE"""),38118563)</f>
        <v>38118563</v>
      </c>
      <c r="X125" s="20" t="str">
        <f ca="1">IFERROR(__xludf.DUMMYFUNCTION("""COMPUTED_VALUE""")," MUNICIPALIDAD DE ARICA ")</f>
        <v xml:space="preserve"> MUNICIPALIDAD DE ARICA </v>
      </c>
    </row>
    <row r="126" spans="1:24" ht="15.75" customHeight="1" x14ac:dyDescent="0.25">
      <c r="A126" s="16" t="str">
        <f ca="1">IFERROR(__xludf.DUMMYFUNCTION("""COMPUTED_VALUE""")," REGIÓN DE TARAPACÁ ")</f>
        <v xml:space="preserve"> REGIÓN DE TARAPACÁ </v>
      </c>
      <c r="B126" s="16" t="str">
        <f t="shared" ca="1" si="0"/>
        <v xml:space="preserve"> HUARA </v>
      </c>
      <c r="C126" s="16" t="str">
        <f ca="1">IFERROR(__xludf.DUMMYFUNCTION("""COMPUTED_VALUE""")," MEJORAMIENTO DE INFRAESTRUCTURA Y AREAS COMUNES DE DEPENDENCIAS MUNICIPALES ")</f>
        <v xml:space="preserve"> MEJORAMIENTO DE INFRAESTRUCTURA Y AREAS COMUNES DE DEPENDENCIAS MUNICIPALES </v>
      </c>
      <c r="D126" s="16" t="str">
        <f ca="1">IFERROR(__xludf.DUMMYFUNCTION("""COMPUTED_VALUE""")," 1-C-2022-42 [CHA] ")</f>
        <v xml:space="preserve"> 1-C-2022-42 [CHA] </v>
      </c>
      <c r="E126" s="16" t="str">
        <f ca="1">IFERROR(__xludf.DUMMYFUNCTION("""COMPUTED_VALUE""")," En Ejecución ")</f>
        <v xml:space="preserve"> En Ejecución </v>
      </c>
      <c r="F126" s="17">
        <f ca="1">IFERROR(__xludf.DUMMYFUNCTION("""COMPUTED_VALUE"""),44784)</f>
        <v>44784</v>
      </c>
      <c r="G126" s="16">
        <f ca="1">IFERROR(__xludf.DUMMYFUNCTION("""COMPUTED_VALUE"""),97406816)</f>
        <v>97406816</v>
      </c>
      <c r="H126" s="16" t="str">
        <f ca="1">IFERROR(__xludf.DUMMYFUNCTION("""COMPUTED_VALUE""")," En Ejecución ")</f>
        <v xml:space="preserve"> En Ejecución </v>
      </c>
      <c r="I126" s="16">
        <f ca="1">IFERROR(__xludf.DUMMYFUNCTION("""COMPUTED_VALUE"""),22084174)</f>
        <v>22084174</v>
      </c>
      <c r="J126" s="83" t="s">
        <v>48</v>
      </c>
      <c r="K126" s="16"/>
      <c r="L126" s="16">
        <f ca="1">IFERROR(__xludf.DUMMYFUNCTION("""COMPUTED_VALUE"""),22084174)</f>
        <v>22084174</v>
      </c>
      <c r="M126" s="16"/>
      <c r="N126" s="21">
        <f ca="1">IFERROR(__xludf.DUMMYFUNCTION("""COMPUTED_VALUE"""),0)</f>
        <v>0</v>
      </c>
      <c r="O126" s="19"/>
      <c r="P126" s="19"/>
      <c r="Q126" s="19"/>
      <c r="R126" s="19"/>
      <c r="S126" s="19"/>
      <c r="T126" s="19"/>
      <c r="U126" s="19"/>
      <c r="V126" s="19"/>
      <c r="W126" s="20">
        <f ca="1">IFERROR(__xludf.DUMMYFUNCTION("""COMPUTED_VALUE"""),22084174)</f>
        <v>22084174</v>
      </c>
      <c r="X126" s="20" t="str">
        <f ca="1">IFERROR(__xludf.DUMMYFUNCTION("""COMPUTED_VALUE""")," MUNICIPALIDAD DE HUARA ")</f>
        <v xml:space="preserve"> MUNICIPALIDAD DE HUARA </v>
      </c>
    </row>
    <row r="127" spans="1:24" ht="15.75" customHeight="1" x14ac:dyDescent="0.25">
      <c r="A127" s="16" t="str">
        <f ca="1">IFERROR(__xludf.DUMMYFUNCTION("""COMPUTED_VALUE""")," REGIÓN DE TARAPACÁ ")</f>
        <v xml:space="preserve"> REGIÓN DE TARAPACÁ </v>
      </c>
      <c r="B127" s="16" t="str">
        <f t="shared" ca="1" si="0"/>
        <v xml:space="preserve"> COLCHANE </v>
      </c>
      <c r="C127" s="16" t="str">
        <f ca="1">IFERROR(__xludf.DUMMYFUNCTION("""COMPUTED_VALUE""")," CONSTRUCCION CALZADA CALLE 1, LOCALIDAD DE ESCAPIÑA ")</f>
        <v xml:space="preserve"> CONSTRUCCION CALZADA CALLE 1, LOCALIDAD DE ESCAPIÑA </v>
      </c>
      <c r="D127" s="16" t="str">
        <f ca="1">IFERROR(__xludf.DUMMYFUNCTION("""COMPUTED_VALUE""")," 1-C-2023-804 ")</f>
        <v xml:space="preserve"> 1-C-2023-804 </v>
      </c>
      <c r="E127" s="16" t="str">
        <f ca="1">IFERROR(__xludf.DUMMYFUNCTION("""COMPUTED_VALUE""")," 100% Girado ")</f>
        <v xml:space="preserve"> 100% Girado </v>
      </c>
      <c r="F127" s="17">
        <f ca="1">IFERROR(__xludf.DUMMYFUNCTION("""COMPUTED_VALUE"""),45331)</f>
        <v>45331</v>
      </c>
      <c r="G127" s="16">
        <f ca="1">IFERROR(__xludf.DUMMYFUNCTION("""COMPUTED_VALUE"""),87573713)</f>
        <v>87573713</v>
      </c>
      <c r="H127" s="16" t="str">
        <f ca="1">IFERROR(__xludf.DUMMYFUNCTION("""COMPUTED_VALUE""")," 100% Girado ")</f>
        <v xml:space="preserve"> 100% Girado </v>
      </c>
      <c r="I127" s="16">
        <f ca="1">IFERROR(__xludf.DUMMYFUNCTION("""COMPUTED_VALUE"""),87573713)</f>
        <v>87573713</v>
      </c>
      <c r="J127" s="83" t="s">
        <v>48</v>
      </c>
      <c r="K127" s="16"/>
      <c r="L127" s="16">
        <f ca="1">IFERROR(__xludf.DUMMYFUNCTION("""COMPUTED_VALUE"""),87573713)</f>
        <v>87573713</v>
      </c>
      <c r="M127" s="16"/>
      <c r="N127" s="21">
        <f ca="1">IFERROR(__xludf.DUMMYFUNCTION("""COMPUTED_VALUE"""),0)</f>
        <v>0</v>
      </c>
      <c r="O127" s="19"/>
      <c r="P127" s="19"/>
      <c r="Q127" s="19"/>
      <c r="R127" s="19"/>
      <c r="S127" s="19"/>
      <c r="T127" s="19"/>
      <c r="U127" s="19"/>
      <c r="V127" s="19"/>
      <c r="W127" s="20">
        <f ca="1">IFERROR(__xludf.DUMMYFUNCTION("""COMPUTED_VALUE"""),87573713)</f>
        <v>87573713</v>
      </c>
      <c r="X127" s="20" t="str">
        <f ca="1">IFERROR(__xludf.DUMMYFUNCTION("""COMPUTED_VALUE""")," MUNICIPALIDAD DE COLCHANE ")</f>
        <v xml:space="preserve"> MUNICIPALIDAD DE COLCHANE </v>
      </c>
    </row>
    <row r="128" spans="1:24" ht="15.75" customHeight="1" x14ac:dyDescent="0.25">
      <c r="A128" s="16" t="str">
        <f ca="1">IFERROR(__xludf.DUMMYFUNCTION("""COMPUTED_VALUE""")," REGIÓN DE TARAPACÁ ")</f>
        <v xml:space="preserve"> REGIÓN DE TARAPACÁ </v>
      </c>
      <c r="B128" s="16" t="str">
        <f t="shared" ca="1" si="0"/>
        <v xml:space="preserve"> COLCHANE </v>
      </c>
      <c r="C128" s="16" t="str">
        <f ca="1">IFERROR(__xludf.DUMMYFUNCTION("""COMPUTED_VALUE""")," CONSTRUCCION CALZADA CALLE 3, LOCALIDAD DE COLCHANE ")</f>
        <v xml:space="preserve"> CONSTRUCCION CALZADA CALLE 3, LOCALIDAD DE COLCHANE </v>
      </c>
      <c r="D128" s="16" t="str">
        <f ca="1">IFERROR(__xludf.DUMMYFUNCTION("""COMPUTED_VALUE""")," 1-C-2023-811 ")</f>
        <v xml:space="preserve"> 1-C-2023-811 </v>
      </c>
      <c r="E128" s="16" t="str">
        <f ca="1">IFERROR(__xludf.DUMMYFUNCTION("""COMPUTED_VALUE""")," 100% Girado ")</f>
        <v xml:space="preserve"> 100% Girado </v>
      </c>
      <c r="F128" s="17">
        <f ca="1">IFERROR(__xludf.DUMMYFUNCTION("""COMPUTED_VALUE"""),45331)</f>
        <v>45331</v>
      </c>
      <c r="G128" s="16">
        <f ca="1">IFERROR(__xludf.DUMMYFUNCTION("""COMPUTED_VALUE"""),89831171)</f>
        <v>89831171</v>
      </c>
      <c r="H128" s="16" t="str">
        <f ca="1">IFERROR(__xludf.DUMMYFUNCTION("""COMPUTED_VALUE""")," 100% Girado ")</f>
        <v xml:space="preserve"> 100% Girado </v>
      </c>
      <c r="I128" s="16">
        <f ca="1">IFERROR(__xludf.DUMMYFUNCTION("""COMPUTED_VALUE"""),89831171)</f>
        <v>89831171</v>
      </c>
      <c r="J128" s="83" t="s">
        <v>48</v>
      </c>
      <c r="K128" s="16"/>
      <c r="L128" s="16">
        <f ca="1">IFERROR(__xludf.DUMMYFUNCTION("""COMPUTED_VALUE"""),89831171)</f>
        <v>89831171</v>
      </c>
      <c r="M128" s="16"/>
      <c r="N128" s="21">
        <f ca="1">IFERROR(__xludf.DUMMYFUNCTION("""COMPUTED_VALUE"""),0)</f>
        <v>0</v>
      </c>
      <c r="O128" s="19"/>
      <c r="P128" s="19"/>
      <c r="Q128" s="19"/>
      <c r="R128" s="19"/>
      <c r="S128" s="19"/>
      <c r="T128" s="19"/>
      <c r="U128" s="19"/>
      <c r="V128" s="19"/>
      <c r="W128" s="20">
        <f ca="1">IFERROR(__xludf.DUMMYFUNCTION("""COMPUTED_VALUE"""),89831171)</f>
        <v>89831171</v>
      </c>
      <c r="X128" s="20" t="str">
        <f ca="1">IFERROR(__xludf.DUMMYFUNCTION("""COMPUTED_VALUE""")," MUNICIPALIDAD DE COLCHANE ")</f>
        <v xml:space="preserve"> MUNICIPALIDAD DE COLCHANE </v>
      </c>
    </row>
    <row r="129" spans="1:24" ht="15.75" customHeight="1" x14ac:dyDescent="0.25">
      <c r="A129" s="16" t="str">
        <f ca="1">IFERROR(__xludf.DUMMYFUNCTION("""COMPUTED_VALUE""")," REGIÓN DE TARAPACÁ ")</f>
        <v xml:space="preserve"> REGIÓN DE TARAPACÁ </v>
      </c>
      <c r="B129" s="16" t="str">
        <f t="shared" ca="1" si="0"/>
        <v xml:space="preserve"> PICA </v>
      </c>
      <c r="C129" s="16" t="str">
        <f ca="1">IFERROR(__xludf.DUMMYFUNCTION("""COMPUTED_VALUE""")," [SATE] CONSTRUCCIÓN SOMBREADEROS, CALLEJÓN PÚBLICO PLAZA DE ARMAS COMUNA DE PICA ")</f>
        <v xml:space="preserve"> [SATE] CONSTRUCCIÓN SOMBREADEROS, CALLEJÓN PÚBLICO PLAZA DE ARMAS COMUNA DE PICA </v>
      </c>
      <c r="D129" s="16" t="str">
        <f ca="1">IFERROR(__xludf.DUMMYFUNCTION("""COMPUTED_VALUE""")," 1-C-2023-889 ")</f>
        <v xml:space="preserve"> 1-C-2023-889 </v>
      </c>
      <c r="E129" s="16" t="str">
        <f ca="1">IFERROR(__xludf.DUMMYFUNCTION("""COMPUTED_VALUE""")," 100% Girado ")</f>
        <v xml:space="preserve"> 100% Girado </v>
      </c>
      <c r="F129" s="17">
        <f ca="1">IFERROR(__xludf.DUMMYFUNCTION("""COMPUTED_VALUE"""),45331)</f>
        <v>45331</v>
      </c>
      <c r="G129" s="16">
        <f ca="1">IFERROR(__xludf.DUMMYFUNCTION("""COMPUTED_VALUE"""),115216620)</f>
        <v>115216620</v>
      </c>
      <c r="H129" s="16" t="str">
        <f ca="1">IFERROR(__xludf.DUMMYFUNCTION("""COMPUTED_VALUE""")," 100% Girado ")</f>
        <v xml:space="preserve"> 100% Girado </v>
      </c>
      <c r="I129" s="16">
        <f ca="1">IFERROR(__xludf.DUMMYFUNCTION("""COMPUTED_VALUE"""),115216620)</f>
        <v>115216620</v>
      </c>
      <c r="J129" s="83" t="s">
        <v>48</v>
      </c>
      <c r="K129" s="16"/>
      <c r="L129" s="16">
        <f ca="1">IFERROR(__xludf.DUMMYFUNCTION("""COMPUTED_VALUE"""),115216620)</f>
        <v>115216620</v>
      </c>
      <c r="M129" s="16"/>
      <c r="N129" s="21">
        <f ca="1">IFERROR(__xludf.DUMMYFUNCTION("""COMPUTED_VALUE"""),0)</f>
        <v>0</v>
      </c>
      <c r="O129" s="19"/>
      <c r="P129" s="19"/>
      <c r="Q129" s="19"/>
      <c r="R129" s="19"/>
      <c r="S129" s="19"/>
      <c r="T129" s="19"/>
      <c r="U129" s="19"/>
      <c r="V129" s="19"/>
      <c r="W129" s="20">
        <f ca="1">IFERROR(__xludf.DUMMYFUNCTION("""COMPUTED_VALUE"""),115216620)</f>
        <v>115216620</v>
      </c>
      <c r="X129" s="20" t="str">
        <f ca="1">IFERROR(__xludf.DUMMYFUNCTION("""COMPUTED_VALUE""")," MUNICIPALIDAD DE PICA ")</f>
        <v xml:space="preserve"> MUNICIPALIDAD DE PICA </v>
      </c>
    </row>
    <row r="130" spans="1:24" ht="15.75" customHeight="1" x14ac:dyDescent="0.25">
      <c r="A130" s="16" t="str">
        <f ca="1">IFERROR(__xludf.DUMMYFUNCTION("""COMPUTED_VALUE""")," REGIÓN DE TARAPACÁ ")</f>
        <v xml:space="preserve"> REGIÓN DE TARAPACÁ </v>
      </c>
      <c r="B130" s="16" t="str">
        <f t="shared" ca="1" si="0"/>
        <v xml:space="preserve"> POZO ALMONTE </v>
      </c>
      <c r="C130" s="16" t="str">
        <f ca="1">IFERROR(__xludf.DUMMYFUNCTION("""COMPUTED_VALUE""")," [SATE] REPOSICIÓN CIERRE PERIMETRAL FRONTAL ELEAM, LOCALIDAD DE LA TIRANA ")</f>
        <v xml:space="preserve"> [SATE] REPOSICIÓN CIERRE PERIMETRAL FRONTAL ELEAM, LOCALIDAD DE LA TIRANA </v>
      </c>
      <c r="D130" s="16" t="str">
        <f ca="1">IFERROR(__xludf.DUMMYFUNCTION("""COMPUTED_VALUE""")," 1-C-2023-891 ")</f>
        <v xml:space="preserve"> 1-C-2023-891 </v>
      </c>
      <c r="E130" s="16" t="str">
        <f ca="1">IFERROR(__xludf.DUMMYFUNCTION("""COMPUTED_VALUE""")," 100% Girado ")</f>
        <v xml:space="preserve"> 100% Girado </v>
      </c>
      <c r="F130" s="17">
        <f ca="1">IFERROR(__xludf.DUMMYFUNCTION("""COMPUTED_VALUE"""),45334)</f>
        <v>45334</v>
      </c>
      <c r="G130" s="16">
        <f ca="1">IFERROR(__xludf.DUMMYFUNCTION("""COMPUTED_VALUE"""),154067109)</f>
        <v>154067109</v>
      </c>
      <c r="H130" s="16" t="str">
        <f ca="1">IFERROR(__xludf.DUMMYFUNCTION("""COMPUTED_VALUE""")," 100% Girado ")</f>
        <v xml:space="preserve"> 100% Girado </v>
      </c>
      <c r="I130" s="16">
        <f ca="1">IFERROR(__xludf.DUMMYFUNCTION("""COMPUTED_VALUE"""),154067109)</f>
        <v>154067109</v>
      </c>
      <c r="J130" s="83" t="s">
        <v>48</v>
      </c>
      <c r="K130" s="16"/>
      <c r="L130" s="16">
        <f ca="1">IFERROR(__xludf.DUMMYFUNCTION("""COMPUTED_VALUE"""),154067109)</f>
        <v>154067109</v>
      </c>
      <c r="M130" s="16"/>
      <c r="N130" s="21">
        <f ca="1">IFERROR(__xludf.DUMMYFUNCTION("""COMPUTED_VALUE"""),0)</f>
        <v>0</v>
      </c>
      <c r="O130" s="19"/>
      <c r="P130" s="19"/>
      <c r="Q130" s="19"/>
      <c r="R130" s="19"/>
      <c r="S130" s="19"/>
      <c r="T130" s="19"/>
      <c r="U130" s="19"/>
      <c r="V130" s="19"/>
      <c r="W130" s="20">
        <f ca="1">IFERROR(__xludf.DUMMYFUNCTION("""COMPUTED_VALUE"""),154067109)</f>
        <v>154067109</v>
      </c>
      <c r="X130" s="20" t="str">
        <f ca="1">IFERROR(__xludf.DUMMYFUNCTION("""COMPUTED_VALUE""")," MUNICIPALIDAD DE POZO ALMONTE ")</f>
        <v xml:space="preserve"> MUNICIPALIDAD DE POZO ALMONTE </v>
      </c>
    </row>
    <row r="131" spans="1:24" ht="15.75" customHeight="1" x14ac:dyDescent="0.25">
      <c r="A131" s="16" t="str">
        <f ca="1">IFERROR(__xludf.DUMMYFUNCTION("""COMPUTED_VALUE""")," REGIÓN DE TARAPACÁ ")</f>
        <v xml:space="preserve"> REGIÓN DE TARAPACÁ </v>
      </c>
      <c r="B131" s="16" t="str">
        <f t="shared" ca="1" si="0"/>
        <v xml:space="preserve"> HUARA </v>
      </c>
      <c r="C131" s="16" t="str">
        <f ca="1">IFERROR(__xludf.DUMMYFUNCTION("""COMPUTED_VALUE""")," [SATE] MEJORAMIENTO SOMBREADEROS CALLE ARTURO PRAT, COMUNA DE HUARA ")</f>
        <v xml:space="preserve"> [SATE] MEJORAMIENTO SOMBREADEROS CALLE ARTURO PRAT, COMUNA DE HUARA </v>
      </c>
      <c r="D131" s="16" t="str">
        <f ca="1">IFERROR(__xludf.DUMMYFUNCTION("""COMPUTED_VALUE""")," 1-C-2023-897 ")</f>
        <v xml:space="preserve"> 1-C-2023-897 </v>
      </c>
      <c r="E131" s="16" t="str">
        <f ca="1">IFERROR(__xludf.DUMMYFUNCTION("""COMPUTED_VALUE""")," 100% Girado ")</f>
        <v xml:space="preserve"> 100% Girado </v>
      </c>
      <c r="F131" s="17">
        <f ca="1">IFERROR(__xludf.DUMMYFUNCTION("""COMPUTED_VALUE"""),45327)</f>
        <v>45327</v>
      </c>
      <c r="G131" s="16">
        <f ca="1">IFERROR(__xludf.DUMMYFUNCTION("""COMPUTED_VALUE"""),154421999)</f>
        <v>154421999</v>
      </c>
      <c r="H131" s="16" t="str">
        <f ca="1">IFERROR(__xludf.DUMMYFUNCTION("""COMPUTED_VALUE""")," 100% Girado ")</f>
        <v xml:space="preserve"> 100% Girado </v>
      </c>
      <c r="I131" s="16">
        <f ca="1">IFERROR(__xludf.DUMMYFUNCTION("""COMPUTED_VALUE"""),154421999)</f>
        <v>154421999</v>
      </c>
      <c r="J131" s="83" t="s">
        <v>48</v>
      </c>
      <c r="K131" s="16"/>
      <c r="L131" s="16">
        <f ca="1">IFERROR(__xludf.DUMMYFUNCTION("""COMPUTED_VALUE"""),154421999)</f>
        <v>154421999</v>
      </c>
      <c r="M131" s="16"/>
      <c r="N131" s="21">
        <f ca="1">IFERROR(__xludf.DUMMYFUNCTION("""COMPUTED_VALUE"""),0)</f>
        <v>0</v>
      </c>
      <c r="O131" s="19"/>
      <c r="P131" s="19"/>
      <c r="Q131" s="19"/>
      <c r="R131" s="19"/>
      <c r="S131" s="19"/>
      <c r="T131" s="19"/>
      <c r="U131" s="19"/>
      <c r="V131" s="19"/>
      <c r="W131" s="20">
        <f ca="1">IFERROR(__xludf.DUMMYFUNCTION("""COMPUTED_VALUE"""),154421999)</f>
        <v>154421999</v>
      </c>
      <c r="X131" s="20" t="str">
        <f ca="1">IFERROR(__xludf.DUMMYFUNCTION("""COMPUTED_VALUE""")," MUNICIPALIDAD DE HUARA ")</f>
        <v xml:space="preserve"> MUNICIPALIDAD DE HUARA </v>
      </c>
    </row>
    <row r="132" spans="1:24" ht="15.75" customHeight="1" x14ac:dyDescent="0.25">
      <c r="A132" s="16" t="str">
        <f ca="1">IFERROR(__xludf.DUMMYFUNCTION("""COMPUTED_VALUE""")," REGIÓN DE TARAPACÁ ")</f>
        <v xml:space="preserve"> REGIÓN DE TARAPACÁ </v>
      </c>
      <c r="B132" s="16" t="str">
        <f t="shared" ca="1" si="0"/>
        <v xml:space="preserve"> POZO ALMONTE </v>
      </c>
      <c r="C132" s="16" t="str">
        <f ca="1">IFERROR(__xludf.DUMMYFUNCTION("""COMPUTED_VALUE""")," [SATE] REPOSICION ZONA DE SERVICIOS PISCINA MUNICIPAL DE POZO ALMONTE ")</f>
        <v xml:space="preserve"> [SATE] REPOSICION ZONA DE SERVICIOS PISCINA MUNICIPAL DE POZO ALMONTE </v>
      </c>
      <c r="D132" s="16" t="str">
        <f ca="1">IFERROR(__xludf.DUMMYFUNCTION("""COMPUTED_VALUE""")," 1-C-2023-1285 ")</f>
        <v xml:space="preserve"> 1-C-2023-1285 </v>
      </c>
      <c r="E132" s="16" t="str">
        <f ca="1">IFERROR(__xludf.DUMMYFUNCTION("""COMPUTED_VALUE""")," 100% Girado ")</f>
        <v xml:space="preserve"> 100% Girado </v>
      </c>
      <c r="F132" s="17">
        <f ca="1">IFERROR(__xludf.DUMMYFUNCTION("""COMPUTED_VALUE"""),45334)</f>
        <v>45334</v>
      </c>
      <c r="G132" s="16">
        <f ca="1">IFERROR(__xludf.DUMMYFUNCTION("""COMPUTED_VALUE"""),154201010)</f>
        <v>154201010</v>
      </c>
      <c r="H132" s="16" t="str">
        <f ca="1">IFERROR(__xludf.DUMMYFUNCTION("""COMPUTED_VALUE""")," 100% Girado ")</f>
        <v xml:space="preserve"> 100% Girado </v>
      </c>
      <c r="I132" s="16">
        <f ca="1">IFERROR(__xludf.DUMMYFUNCTION("""COMPUTED_VALUE"""),154201010)</f>
        <v>154201010</v>
      </c>
      <c r="J132" s="83" t="s">
        <v>48</v>
      </c>
      <c r="K132" s="16"/>
      <c r="L132" s="16">
        <f ca="1">IFERROR(__xludf.DUMMYFUNCTION("""COMPUTED_VALUE"""),154201010)</f>
        <v>154201010</v>
      </c>
      <c r="M132" s="16"/>
      <c r="N132" s="21">
        <f ca="1">IFERROR(__xludf.DUMMYFUNCTION("""COMPUTED_VALUE"""),0)</f>
        <v>0</v>
      </c>
      <c r="O132" s="19"/>
      <c r="P132" s="19"/>
      <c r="Q132" s="19"/>
      <c r="R132" s="19"/>
      <c r="S132" s="19"/>
      <c r="T132" s="19"/>
      <c r="U132" s="19"/>
      <c r="V132" s="19"/>
      <c r="W132" s="20">
        <f ca="1">IFERROR(__xludf.DUMMYFUNCTION("""COMPUTED_VALUE"""),154201010)</f>
        <v>154201010</v>
      </c>
      <c r="X132" s="20" t="str">
        <f ca="1">IFERROR(__xludf.DUMMYFUNCTION("""COMPUTED_VALUE""")," MUNICIPALIDAD DE POZO ALMONTE ")</f>
        <v xml:space="preserve"> MUNICIPALIDAD DE POZO ALMONTE </v>
      </c>
    </row>
    <row r="133" spans="1:24" ht="15.75" customHeight="1" x14ac:dyDescent="0.25">
      <c r="A133" s="16" t="str">
        <f ca="1">IFERROR(__xludf.DUMMYFUNCTION("""COMPUTED_VALUE""")," REGIÓN DE TARAPACÁ ")</f>
        <v xml:space="preserve"> REGIÓN DE TARAPACÁ </v>
      </c>
      <c r="B133" s="16" t="str">
        <f t="shared" ca="1" si="0"/>
        <v xml:space="preserve"> COLCHANE </v>
      </c>
      <c r="C133" s="16" t="str">
        <f ca="1">IFERROR(__xludf.DUMMYFUNCTION("""COMPUTED_VALUE""")," CONSTRUCCIÓN SERVICIOS HIGIÉNICOS PÚBLICOS Y DE CONCEJO MUNICIPAL, LOCALIDAD DE COLCHANE ")</f>
        <v xml:space="preserve"> CONSTRUCCIÓN SERVICIOS HIGIÉNICOS PÚBLICOS Y DE CONCEJO MUNICIPAL, LOCALIDAD DE COLCHANE </v>
      </c>
      <c r="D133" s="16" t="str">
        <f ca="1">IFERROR(__xludf.DUMMYFUNCTION("""COMPUTED_VALUE""")," 1-C-2023-1864 ")</f>
        <v xml:space="preserve"> 1-C-2023-1864 </v>
      </c>
      <c r="E133" s="16" t="str">
        <f ca="1">IFERROR(__xludf.DUMMYFUNCTION("""COMPUTED_VALUE""")," 100% Girado ")</f>
        <v xml:space="preserve"> 100% Girado </v>
      </c>
      <c r="F133" s="17">
        <f ca="1">IFERROR(__xludf.DUMMYFUNCTION("""COMPUTED_VALUE"""),45331)</f>
        <v>45331</v>
      </c>
      <c r="G133" s="16">
        <f ca="1">IFERROR(__xludf.DUMMYFUNCTION("""COMPUTED_VALUE"""),112717946)</f>
        <v>112717946</v>
      </c>
      <c r="H133" s="16" t="str">
        <f ca="1">IFERROR(__xludf.DUMMYFUNCTION("""COMPUTED_VALUE""")," 100% Girado ")</f>
        <v xml:space="preserve"> 100% Girado </v>
      </c>
      <c r="I133" s="16">
        <f ca="1">IFERROR(__xludf.DUMMYFUNCTION("""COMPUTED_VALUE"""),112717946)</f>
        <v>112717946</v>
      </c>
      <c r="J133" s="83" t="s">
        <v>48</v>
      </c>
      <c r="K133" s="16"/>
      <c r="L133" s="16">
        <f ca="1">IFERROR(__xludf.DUMMYFUNCTION("""COMPUTED_VALUE"""),112717946)</f>
        <v>112717946</v>
      </c>
      <c r="M133" s="16"/>
      <c r="N133" s="21">
        <f ca="1">IFERROR(__xludf.DUMMYFUNCTION("""COMPUTED_VALUE"""),0)</f>
        <v>0</v>
      </c>
      <c r="O133" s="19"/>
      <c r="P133" s="19"/>
      <c r="Q133" s="19"/>
      <c r="R133" s="19"/>
      <c r="S133" s="19"/>
      <c r="T133" s="19"/>
      <c r="U133" s="19"/>
      <c r="V133" s="19"/>
      <c r="W133" s="20">
        <f ca="1">IFERROR(__xludf.DUMMYFUNCTION("""COMPUTED_VALUE"""),112717946)</f>
        <v>112717946</v>
      </c>
      <c r="X133" s="20" t="str">
        <f ca="1">IFERROR(__xludf.DUMMYFUNCTION("""COMPUTED_VALUE""")," MUNICIPALIDAD DE COLCHANE ")</f>
        <v xml:space="preserve"> MUNICIPALIDAD DE COLCHANE </v>
      </c>
    </row>
    <row r="134" spans="1:24" ht="15.75" customHeight="1" x14ac:dyDescent="0.25">
      <c r="A134" s="16" t="str">
        <f ca="1">IFERROR(__xludf.DUMMYFUNCTION("""COMPUTED_VALUE""")," REGIÓN DE TARAPACÁ ")</f>
        <v xml:space="preserve"> REGIÓN DE TARAPACÁ </v>
      </c>
      <c r="B134" s="16" t="str">
        <f t="shared" ca="1" si="0"/>
        <v xml:space="preserve"> ALTO HOSPICIO </v>
      </c>
      <c r="C134" s="16" t="str">
        <f ca="1">IFERROR(__xludf.DUMMYFUNCTION("""COMPUTED_VALUE""")," CSV MEJORAMIENTO ILUMINACIÓN ACCESO SECTOR EL BORO, COMUNA DE ALTO HOSPICIO ")</f>
        <v xml:space="preserve"> CSV MEJORAMIENTO ILUMINACIÓN ACCESO SECTOR EL BORO, COMUNA DE ALTO HOSPICIO </v>
      </c>
      <c r="D134" s="16" t="str">
        <f ca="1">IFERROR(__xludf.DUMMYFUNCTION("""COMPUTED_VALUE""")," 1-C-2023-2550 ")</f>
        <v xml:space="preserve"> 1-C-2023-2550 </v>
      </c>
      <c r="E134" s="16" t="str">
        <f ca="1">IFERROR(__xludf.DUMMYFUNCTION("""COMPUTED_VALUE""")," 100% Girado ")</f>
        <v xml:space="preserve"> 100% Girado </v>
      </c>
      <c r="F134" s="17">
        <f ca="1">IFERROR(__xludf.DUMMYFUNCTION("""COMPUTED_VALUE"""),45331)</f>
        <v>45331</v>
      </c>
      <c r="G134" s="16">
        <f ca="1">IFERROR(__xludf.DUMMYFUNCTION("""COMPUTED_VALUE"""),137266457)</f>
        <v>137266457</v>
      </c>
      <c r="H134" s="16" t="str">
        <f ca="1">IFERROR(__xludf.DUMMYFUNCTION("""COMPUTED_VALUE""")," 100% Girado ")</f>
        <v xml:space="preserve"> 100% Girado </v>
      </c>
      <c r="I134" s="16">
        <f ca="1">IFERROR(__xludf.DUMMYFUNCTION("""COMPUTED_VALUE"""),137266457)</f>
        <v>137266457</v>
      </c>
      <c r="J134" s="83" t="s">
        <v>48</v>
      </c>
      <c r="K134" s="16"/>
      <c r="L134" s="16">
        <f ca="1">IFERROR(__xludf.DUMMYFUNCTION("""COMPUTED_VALUE"""),137266457)</f>
        <v>137266457</v>
      </c>
      <c r="M134" s="16"/>
      <c r="N134" s="21">
        <f ca="1">IFERROR(__xludf.DUMMYFUNCTION("""COMPUTED_VALUE"""),0)</f>
        <v>0</v>
      </c>
      <c r="O134" s="19"/>
      <c r="P134" s="19"/>
      <c r="Q134" s="19"/>
      <c r="R134" s="19"/>
      <c r="S134" s="19"/>
      <c r="T134" s="19"/>
      <c r="U134" s="19"/>
      <c r="V134" s="19"/>
      <c r="W134" s="20">
        <f ca="1">IFERROR(__xludf.DUMMYFUNCTION("""COMPUTED_VALUE"""),137266457)</f>
        <v>137266457</v>
      </c>
      <c r="X134" s="20" t="str">
        <f ca="1">IFERROR(__xludf.DUMMYFUNCTION("""COMPUTED_VALUE""")," MUNICIPALIDAD DE ALTO HOSPICIO ")</f>
        <v xml:space="preserve"> MUNICIPALIDAD DE ALTO HOSPICIO </v>
      </c>
    </row>
    <row r="135" spans="1:24" ht="15.75" customHeight="1" x14ac:dyDescent="0.25">
      <c r="A135" s="16" t="str">
        <f ca="1">IFERROR(__xludf.DUMMYFUNCTION("""COMPUTED_VALUE""")," REGIÓN DE TARAPACÁ ")</f>
        <v xml:space="preserve"> REGIÓN DE TARAPACÁ </v>
      </c>
      <c r="B135" s="16" t="str">
        <f t="shared" ca="1" si="0"/>
        <v xml:space="preserve"> ALTO HOSPICIO </v>
      </c>
      <c r="C135" s="16" t="str">
        <f ca="1">IFERROR(__xludf.DUMMYFUNCTION("""COMPUTED_VALUE""")," CSV MEJORAMIENTO ILUMINACIÓN AVENIDA LOS ÁLAMOS ENTRE AVENIDA LAS PARCELAS Y AVENIDA PARQUE V.T. 2, COMUNA DE ALTO HOSPICIO ")</f>
        <v xml:space="preserve"> CSV MEJORAMIENTO ILUMINACIÓN AVENIDA LOS ÁLAMOS ENTRE AVENIDA LAS PARCELAS Y AVENIDA PARQUE V.T. 2, COMUNA DE ALTO HOSPICIO </v>
      </c>
      <c r="D135" s="16" t="str">
        <f ca="1">IFERROR(__xludf.DUMMYFUNCTION("""COMPUTED_VALUE""")," 1-C-2023-2555 ")</f>
        <v xml:space="preserve"> 1-C-2023-2555 </v>
      </c>
      <c r="E135" s="16" t="str">
        <f ca="1">IFERROR(__xludf.DUMMYFUNCTION("""COMPUTED_VALUE""")," 100% Girado ")</f>
        <v xml:space="preserve"> 100% Girado </v>
      </c>
      <c r="F135" s="17">
        <f ca="1">IFERROR(__xludf.DUMMYFUNCTION("""COMPUTED_VALUE"""),45331)</f>
        <v>45331</v>
      </c>
      <c r="G135" s="16">
        <f ca="1">IFERROR(__xludf.DUMMYFUNCTION("""COMPUTED_VALUE"""),38019634)</f>
        <v>38019634</v>
      </c>
      <c r="H135" s="16" t="str">
        <f ca="1">IFERROR(__xludf.DUMMYFUNCTION("""COMPUTED_VALUE""")," 100% Girado ")</f>
        <v xml:space="preserve"> 100% Girado </v>
      </c>
      <c r="I135" s="16">
        <f ca="1">IFERROR(__xludf.DUMMYFUNCTION("""COMPUTED_VALUE"""),38019634)</f>
        <v>38019634</v>
      </c>
      <c r="J135" s="83" t="s">
        <v>48</v>
      </c>
      <c r="K135" s="16"/>
      <c r="L135" s="16">
        <f ca="1">IFERROR(__xludf.DUMMYFUNCTION("""COMPUTED_VALUE"""),38019634)</f>
        <v>38019634</v>
      </c>
      <c r="M135" s="16"/>
      <c r="N135" s="21">
        <f ca="1">IFERROR(__xludf.DUMMYFUNCTION("""COMPUTED_VALUE"""),0)</f>
        <v>0</v>
      </c>
      <c r="O135" s="19"/>
      <c r="P135" s="19"/>
      <c r="Q135" s="19"/>
      <c r="R135" s="19"/>
      <c r="S135" s="19"/>
      <c r="T135" s="19"/>
      <c r="U135" s="19"/>
      <c r="V135" s="19"/>
      <c r="W135" s="20">
        <f ca="1">IFERROR(__xludf.DUMMYFUNCTION("""COMPUTED_VALUE"""),38019634)</f>
        <v>38019634</v>
      </c>
      <c r="X135" s="20" t="str">
        <f ca="1">IFERROR(__xludf.DUMMYFUNCTION("""COMPUTED_VALUE""")," MUNICIPALIDAD DE ALTO HOSPICIO ")</f>
        <v xml:space="preserve"> MUNICIPALIDAD DE ALTO HOSPICIO </v>
      </c>
    </row>
    <row r="136" spans="1:24" ht="15.75" customHeight="1" x14ac:dyDescent="0.25">
      <c r="A136" s="16" t="str">
        <f ca="1">IFERROR(__xludf.DUMMYFUNCTION("""COMPUTED_VALUE""")," REGIÓN DE TARAPACÁ ")</f>
        <v xml:space="preserve"> REGIÓN DE TARAPACÁ </v>
      </c>
      <c r="B136" s="16" t="str">
        <f t="shared" ca="1" si="0"/>
        <v xml:space="preserve"> ALTO HOSPICIO </v>
      </c>
      <c r="C136" s="16" t="str">
        <f ca="1">IFERROR(__xludf.DUMMYFUNCTION("""COMPUTED_VALUE""")," CSV MEJORAMIENTO ILUMINACIÓN ÁREAS VERDES AV. COSTANERA ALTO MOLLE V.T. 5, SECTOR LA PAMPA, COMUNA DE ALTO HOSPICIO ")</f>
        <v xml:space="preserve"> CSV MEJORAMIENTO ILUMINACIÓN ÁREAS VERDES AV. COSTANERA ALTO MOLLE V.T. 5, SECTOR LA PAMPA, COMUNA DE ALTO HOSPICIO </v>
      </c>
      <c r="D136" s="16" t="str">
        <f ca="1">IFERROR(__xludf.DUMMYFUNCTION("""COMPUTED_VALUE""")," 1-C-2023-2557 ")</f>
        <v xml:space="preserve"> 1-C-2023-2557 </v>
      </c>
      <c r="E136" s="16" t="str">
        <f ca="1">IFERROR(__xludf.DUMMYFUNCTION("""COMPUTED_VALUE""")," 100% Girado ")</f>
        <v xml:space="preserve"> 100% Girado </v>
      </c>
      <c r="F136" s="17">
        <f ca="1">IFERROR(__xludf.DUMMYFUNCTION("""COMPUTED_VALUE"""),45331)</f>
        <v>45331</v>
      </c>
      <c r="G136" s="16">
        <f ca="1">IFERROR(__xludf.DUMMYFUNCTION("""COMPUTED_VALUE"""),43626888)</f>
        <v>43626888</v>
      </c>
      <c r="H136" s="16" t="str">
        <f ca="1">IFERROR(__xludf.DUMMYFUNCTION("""COMPUTED_VALUE""")," 100% Girado ")</f>
        <v xml:space="preserve"> 100% Girado </v>
      </c>
      <c r="I136" s="16">
        <f ca="1">IFERROR(__xludf.DUMMYFUNCTION("""COMPUTED_VALUE"""),43626888)</f>
        <v>43626888</v>
      </c>
      <c r="J136" s="83" t="s">
        <v>48</v>
      </c>
      <c r="K136" s="16"/>
      <c r="L136" s="16">
        <f ca="1">IFERROR(__xludf.DUMMYFUNCTION("""COMPUTED_VALUE"""),43626888)</f>
        <v>43626888</v>
      </c>
      <c r="M136" s="16"/>
      <c r="N136" s="21">
        <f ca="1">IFERROR(__xludf.DUMMYFUNCTION("""COMPUTED_VALUE"""),0)</f>
        <v>0</v>
      </c>
      <c r="O136" s="19"/>
      <c r="P136" s="19"/>
      <c r="Q136" s="19"/>
      <c r="R136" s="19"/>
      <c r="S136" s="19"/>
      <c r="T136" s="19"/>
      <c r="U136" s="19"/>
      <c r="V136" s="19"/>
      <c r="W136" s="20">
        <f ca="1">IFERROR(__xludf.DUMMYFUNCTION("""COMPUTED_VALUE"""),43626888)</f>
        <v>43626888</v>
      </c>
      <c r="X136" s="20" t="str">
        <f ca="1">IFERROR(__xludf.DUMMYFUNCTION("""COMPUTED_VALUE""")," MUNICIPALIDAD DE ALTO HOSPICIO ")</f>
        <v xml:space="preserve"> MUNICIPALIDAD DE ALTO HOSPICIO </v>
      </c>
    </row>
    <row r="137" spans="1:24" ht="15.75" customHeight="1" x14ac:dyDescent="0.25">
      <c r="A137" s="16" t="str">
        <f ca="1">IFERROR(__xludf.DUMMYFUNCTION("""COMPUTED_VALUE""")," REGIÓN DE TARAPACÁ ")</f>
        <v xml:space="preserve"> REGIÓN DE TARAPACÁ </v>
      </c>
      <c r="B137" s="16" t="str">
        <f t="shared" ca="1" si="0"/>
        <v xml:space="preserve"> ALTO HOSPICIO </v>
      </c>
      <c r="C137" s="16" t="str">
        <f ca="1">IFERROR(__xludf.DUMMYFUNCTION("""COMPUTED_VALUE""")," CSV MEJORAMIENTO ALUMBRADO PÚBLICO AV. COSTANERA ALTO MOLLE V.T. 5, SECTOR LA PAMPA, COMUNA DE ALTO HOSPICIO ")</f>
        <v xml:space="preserve"> CSV MEJORAMIENTO ALUMBRADO PÚBLICO AV. COSTANERA ALTO MOLLE V.T. 5, SECTOR LA PAMPA, COMUNA DE ALTO HOSPICIO </v>
      </c>
      <c r="D137" s="16" t="str">
        <f ca="1">IFERROR(__xludf.DUMMYFUNCTION("""COMPUTED_VALUE""")," 1-C-2023-2563 ")</f>
        <v xml:space="preserve"> 1-C-2023-2563 </v>
      </c>
      <c r="E137" s="16" t="str">
        <f ca="1">IFERROR(__xludf.DUMMYFUNCTION("""COMPUTED_VALUE""")," 100% Girado ")</f>
        <v xml:space="preserve"> 100% Girado </v>
      </c>
      <c r="F137" s="17">
        <f ca="1">IFERROR(__xludf.DUMMYFUNCTION("""COMPUTED_VALUE"""),45331)</f>
        <v>45331</v>
      </c>
      <c r="G137" s="16">
        <f ca="1">IFERROR(__xludf.DUMMYFUNCTION("""COMPUTED_VALUE"""),126665857)</f>
        <v>126665857</v>
      </c>
      <c r="H137" s="16" t="str">
        <f ca="1">IFERROR(__xludf.DUMMYFUNCTION("""COMPUTED_VALUE""")," 100% Girado ")</f>
        <v xml:space="preserve"> 100% Girado </v>
      </c>
      <c r="I137" s="16">
        <f ca="1">IFERROR(__xludf.DUMMYFUNCTION("""COMPUTED_VALUE"""),126665857)</f>
        <v>126665857</v>
      </c>
      <c r="J137" s="83" t="s">
        <v>48</v>
      </c>
      <c r="K137" s="16"/>
      <c r="L137" s="16">
        <f ca="1">IFERROR(__xludf.DUMMYFUNCTION("""COMPUTED_VALUE"""),126665857)</f>
        <v>126665857</v>
      </c>
      <c r="M137" s="16"/>
      <c r="N137" s="21">
        <f ca="1">IFERROR(__xludf.DUMMYFUNCTION("""COMPUTED_VALUE"""),0)</f>
        <v>0</v>
      </c>
      <c r="O137" s="19"/>
      <c r="P137" s="19"/>
      <c r="Q137" s="19"/>
      <c r="R137" s="19"/>
      <c r="S137" s="19"/>
      <c r="T137" s="19"/>
      <c r="U137" s="19"/>
      <c r="V137" s="19"/>
      <c r="W137" s="20">
        <f ca="1">IFERROR(__xludf.DUMMYFUNCTION("""COMPUTED_VALUE"""),126665857)</f>
        <v>126665857</v>
      </c>
      <c r="X137" s="20" t="str">
        <f ca="1">IFERROR(__xludf.DUMMYFUNCTION("""COMPUTED_VALUE""")," MUNICIPALIDAD DE ALTO HOSPICIO ")</f>
        <v xml:space="preserve"> MUNICIPALIDAD DE ALTO HOSPICIO </v>
      </c>
    </row>
    <row r="138" spans="1:24" ht="15.75" customHeight="1" x14ac:dyDescent="0.25">
      <c r="A138" s="16" t="str">
        <f ca="1">IFERROR(__xludf.DUMMYFUNCTION("""COMPUTED_VALUE""")," REGIÓN DE ANTOFAGASTA ")</f>
        <v xml:space="preserve"> REGIÓN DE ANTOFAGASTA </v>
      </c>
      <c r="B138" s="16" t="str">
        <f t="shared" ca="1" si="0"/>
        <v xml:space="preserve"> TALTAL </v>
      </c>
      <c r="C138" s="16" t="str">
        <f ca="1">IFERROR(__xludf.DUMMYFUNCTION("""COMPUTED_VALUE""")," [SATE] REPOSICIÓN DE CUBIERTA ESTADIO LA CALETA, COMUNA DE TALTAL. ")</f>
        <v xml:space="preserve"> [SATE] REPOSICIÓN DE CUBIERTA ESTADIO LA CALETA, COMUNA DE TALTAL. </v>
      </c>
      <c r="D138" s="16" t="str">
        <f ca="1">IFERROR(__xludf.DUMMYFUNCTION("""COMPUTED_VALUE""")," 1-C-2023-1244 ")</f>
        <v xml:space="preserve"> 1-C-2023-1244 </v>
      </c>
      <c r="E138" s="16" t="str">
        <f ca="1">IFERROR(__xludf.DUMMYFUNCTION("""COMPUTED_VALUE""")," 100% Girado ")</f>
        <v xml:space="preserve"> 100% Girado </v>
      </c>
      <c r="F138" s="17">
        <f ca="1">IFERROR(__xludf.DUMMYFUNCTION("""COMPUTED_VALUE"""),45341)</f>
        <v>45341</v>
      </c>
      <c r="G138" s="16">
        <f ca="1">IFERROR(__xludf.DUMMYFUNCTION("""COMPUTED_VALUE"""),154422367)</f>
        <v>154422367</v>
      </c>
      <c r="H138" s="16" t="str">
        <f ca="1">IFERROR(__xludf.DUMMYFUNCTION("""COMPUTED_VALUE""")," 100% Girado ")</f>
        <v xml:space="preserve"> 100% Girado </v>
      </c>
      <c r="I138" s="16">
        <f ca="1">IFERROR(__xludf.DUMMYFUNCTION("""COMPUTED_VALUE"""),154422367)</f>
        <v>154422367</v>
      </c>
      <c r="J138" s="83" t="s">
        <v>48</v>
      </c>
      <c r="K138" s="16"/>
      <c r="L138" s="16">
        <f ca="1">IFERROR(__xludf.DUMMYFUNCTION("""COMPUTED_VALUE"""),154422367)</f>
        <v>154422367</v>
      </c>
      <c r="M138" s="16"/>
      <c r="N138" s="21">
        <f ca="1">IFERROR(__xludf.DUMMYFUNCTION("""COMPUTED_VALUE"""),0)</f>
        <v>0</v>
      </c>
      <c r="O138" s="19"/>
      <c r="P138" s="19"/>
      <c r="Q138" s="19"/>
      <c r="R138" s="19"/>
      <c r="S138" s="19"/>
      <c r="T138" s="19"/>
      <c r="U138" s="19"/>
      <c r="V138" s="19"/>
      <c r="W138" s="20">
        <f ca="1">IFERROR(__xludf.DUMMYFUNCTION("""COMPUTED_VALUE"""),154422367)</f>
        <v>154422367</v>
      </c>
      <c r="X138" s="20" t="str">
        <f ca="1">IFERROR(__xludf.DUMMYFUNCTION("""COMPUTED_VALUE""")," MUNICIPALIDAD DE TALTAL ")</f>
        <v xml:space="preserve"> MUNICIPALIDAD DE TALTAL </v>
      </c>
    </row>
    <row r="139" spans="1:24" ht="15.75" customHeight="1" x14ac:dyDescent="0.25">
      <c r="A139" s="16" t="str">
        <f ca="1">IFERROR(__xludf.DUMMYFUNCTION("""COMPUTED_VALUE""")," REGIÓN DE ANTOFAGASTA ")</f>
        <v xml:space="preserve"> REGIÓN DE ANTOFAGASTA </v>
      </c>
      <c r="B139" s="16" t="str">
        <f t="shared" ca="1" si="0"/>
        <v xml:space="preserve"> CALAMA </v>
      </c>
      <c r="C139" s="16" t="str">
        <f ca="1">IFERROR(__xludf.DUMMYFUNCTION("""COMPUTED_VALUE""")," EXTENSIÓN ALUMBRADO PÚBLICO PSJE INTERIOR (CAMACHO),SECTOR AV. LA PAZ 678 ENTRE PSJE BERNA Y AV. LOS SUSPIROS PLAN CALLE SIN VIOLENCIA, COMUNA CALAMA ")</f>
        <v xml:space="preserve"> EXTENSIÓN ALUMBRADO PÚBLICO PSJE INTERIOR (CAMACHO),SECTOR AV. LA PAZ 678 ENTRE PSJE BERNA Y AV. LOS SUSPIROS PLAN CALLE SIN VIOLENCIA, COMUNA CALAMA </v>
      </c>
      <c r="D139" s="16" t="str">
        <f ca="1">IFERROR(__xludf.DUMMYFUNCTION("""COMPUTED_VALUE""")," 1-C-2023-1939 ")</f>
        <v xml:space="preserve"> 1-C-2023-1939 </v>
      </c>
      <c r="E139" s="16" t="str">
        <f ca="1">IFERROR(__xludf.DUMMYFUNCTION("""COMPUTED_VALUE""")," 100% Girado ")</f>
        <v xml:space="preserve"> 100% Girado </v>
      </c>
      <c r="F139" s="17">
        <f ca="1">IFERROR(__xludf.DUMMYFUNCTION("""COMPUTED_VALUE"""),45320)</f>
        <v>45320</v>
      </c>
      <c r="G139" s="16">
        <f ca="1">IFERROR(__xludf.DUMMYFUNCTION("""COMPUTED_VALUE"""),71459186)</f>
        <v>71459186</v>
      </c>
      <c r="H139" s="16" t="str">
        <f ca="1">IFERROR(__xludf.DUMMYFUNCTION("""COMPUTED_VALUE""")," 100% Girado ")</f>
        <v xml:space="preserve"> 100% Girado </v>
      </c>
      <c r="I139" s="16">
        <f ca="1">IFERROR(__xludf.DUMMYFUNCTION("""COMPUTED_VALUE"""),71459186)</f>
        <v>71459186</v>
      </c>
      <c r="J139" s="83" t="s">
        <v>48</v>
      </c>
      <c r="K139" s="16"/>
      <c r="L139" s="16">
        <f ca="1">IFERROR(__xludf.DUMMYFUNCTION("""COMPUTED_VALUE"""),71459186)</f>
        <v>71459186</v>
      </c>
      <c r="M139" s="16"/>
      <c r="N139" s="21">
        <f ca="1">IFERROR(__xludf.DUMMYFUNCTION("""COMPUTED_VALUE"""),0)</f>
        <v>0</v>
      </c>
      <c r="O139" s="19"/>
      <c r="P139" s="19"/>
      <c r="Q139" s="19"/>
      <c r="R139" s="19"/>
      <c r="S139" s="19"/>
      <c r="T139" s="19"/>
      <c r="U139" s="19"/>
      <c r="V139" s="19"/>
      <c r="W139" s="20">
        <f ca="1">IFERROR(__xludf.DUMMYFUNCTION("""COMPUTED_VALUE"""),71459186)</f>
        <v>71459186</v>
      </c>
      <c r="X139" s="20" t="str">
        <f ca="1">IFERROR(__xludf.DUMMYFUNCTION("""COMPUTED_VALUE""")," MUNICIPALIDAD DE CALAMA ")</f>
        <v xml:space="preserve"> MUNICIPALIDAD DE CALAMA </v>
      </c>
    </row>
    <row r="140" spans="1:24" ht="15.75" customHeight="1" x14ac:dyDescent="0.25">
      <c r="A140" s="16" t="str">
        <f ca="1">IFERROR(__xludf.DUMMYFUNCTION("""COMPUTED_VALUE""")," REGIÓN DE ANTOFAGASTA ")</f>
        <v xml:space="preserve"> REGIÓN DE ANTOFAGASTA </v>
      </c>
      <c r="B140" s="16" t="str">
        <f t="shared" ca="1" si="0"/>
        <v xml:space="preserve"> CALAMA </v>
      </c>
      <c r="C140" s="16" t="str">
        <f ca="1">IFERROR(__xludf.DUMMYFUNCTION("""COMPUTED_VALUE""")," HABILITACIÓN DEL SISTEMA DE ALUMBRADO PÚBLICO EN PLAZOLETA VILLA CASPANA PLAN CALLE SIN VIOLENCIA, COMUNA DE CALAMA ")</f>
        <v xml:space="preserve"> HABILITACIÓN DEL SISTEMA DE ALUMBRADO PÚBLICO EN PLAZOLETA VILLA CASPANA PLAN CALLE SIN VIOLENCIA, COMUNA DE CALAMA </v>
      </c>
      <c r="D140" s="16" t="str">
        <f ca="1">IFERROR(__xludf.DUMMYFUNCTION("""COMPUTED_VALUE""")," 1-C-2023-1940 ")</f>
        <v xml:space="preserve"> 1-C-2023-1940 </v>
      </c>
      <c r="E140" s="16" t="str">
        <f ca="1">IFERROR(__xludf.DUMMYFUNCTION("""COMPUTED_VALUE""")," 100% Girado ")</f>
        <v xml:space="preserve"> 100% Girado </v>
      </c>
      <c r="F140" s="17">
        <f ca="1">IFERROR(__xludf.DUMMYFUNCTION("""COMPUTED_VALUE"""),45320)</f>
        <v>45320</v>
      </c>
      <c r="G140" s="16">
        <f ca="1">IFERROR(__xludf.DUMMYFUNCTION("""COMPUTED_VALUE"""),59920110)</f>
        <v>59920110</v>
      </c>
      <c r="H140" s="16" t="str">
        <f ca="1">IFERROR(__xludf.DUMMYFUNCTION("""COMPUTED_VALUE""")," 100% Girado ")</f>
        <v xml:space="preserve"> 100% Girado </v>
      </c>
      <c r="I140" s="16">
        <f ca="1">IFERROR(__xludf.DUMMYFUNCTION("""COMPUTED_VALUE"""),59920110)</f>
        <v>59920110</v>
      </c>
      <c r="J140" s="83" t="s">
        <v>48</v>
      </c>
      <c r="K140" s="16"/>
      <c r="L140" s="16">
        <f ca="1">IFERROR(__xludf.DUMMYFUNCTION("""COMPUTED_VALUE"""),59920110)</f>
        <v>59920110</v>
      </c>
      <c r="M140" s="16"/>
      <c r="N140" s="21">
        <f ca="1">IFERROR(__xludf.DUMMYFUNCTION("""COMPUTED_VALUE"""),0)</f>
        <v>0</v>
      </c>
      <c r="O140" s="19"/>
      <c r="P140" s="19"/>
      <c r="Q140" s="19"/>
      <c r="R140" s="19"/>
      <c r="S140" s="19"/>
      <c r="T140" s="19"/>
      <c r="U140" s="19"/>
      <c r="V140" s="19"/>
      <c r="W140" s="20">
        <f ca="1">IFERROR(__xludf.DUMMYFUNCTION("""COMPUTED_VALUE"""),59920110)</f>
        <v>59920110</v>
      </c>
      <c r="X140" s="20" t="str">
        <f ca="1">IFERROR(__xludf.DUMMYFUNCTION("""COMPUTED_VALUE""")," MUNICIPALIDAD DE CALAMA ")</f>
        <v xml:space="preserve"> MUNICIPALIDAD DE CALAMA </v>
      </c>
    </row>
    <row r="141" spans="1:24" ht="15.75" customHeight="1" x14ac:dyDescent="0.25">
      <c r="A141" s="16" t="str">
        <f ca="1">IFERROR(__xludf.DUMMYFUNCTION("""COMPUTED_VALUE""")," REGIÓN DE ANTOFAGASTA ")</f>
        <v xml:space="preserve"> REGIÓN DE ANTOFAGASTA </v>
      </c>
      <c r="B141" s="16" t="str">
        <f t="shared" ca="1" si="0"/>
        <v xml:space="preserve"> CALAMA </v>
      </c>
      <c r="C141" s="16" t="str">
        <f ca="1">IFERROR(__xludf.DUMMYFUNCTION("""COMPUTED_VALUE""")," HABILITACIÓN SISTEMA ALUMBRADO PÚBLICO EN PLAZOLETA DEL PSJE SALAR LLAMARÁ ENTRE SALAR PAMPA BLANCA Y SALAR DE ASCOTÁN, PLAN CSV, COMUNA DE CALAMA ")</f>
        <v xml:space="preserve"> HABILITACIÓN SISTEMA ALUMBRADO PÚBLICO EN PLAZOLETA DEL PSJE SALAR LLAMARÁ ENTRE SALAR PAMPA BLANCA Y SALAR DE ASCOTÁN, PLAN CSV, COMUNA DE CALAMA </v>
      </c>
      <c r="D141" s="16" t="str">
        <f ca="1">IFERROR(__xludf.DUMMYFUNCTION("""COMPUTED_VALUE""")," 1-C-2023-1941 ")</f>
        <v xml:space="preserve"> 1-C-2023-1941 </v>
      </c>
      <c r="E141" s="16" t="str">
        <f ca="1">IFERROR(__xludf.DUMMYFUNCTION("""COMPUTED_VALUE""")," 100% Girado ")</f>
        <v xml:space="preserve"> 100% Girado </v>
      </c>
      <c r="F141" s="17">
        <f ca="1">IFERROR(__xludf.DUMMYFUNCTION("""COMPUTED_VALUE"""),45320)</f>
        <v>45320</v>
      </c>
      <c r="G141" s="16">
        <f ca="1">IFERROR(__xludf.DUMMYFUNCTION("""COMPUTED_VALUE"""),43751798)</f>
        <v>43751798</v>
      </c>
      <c r="H141" s="16" t="str">
        <f ca="1">IFERROR(__xludf.DUMMYFUNCTION("""COMPUTED_VALUE""")," 100% Girado ")</f>
        <v xml:space="preserve"> 100% Girado </v>
      </c>
      <c r="I141" s="16">
        <f ca="1">IFERROR(__xludf.DUMMYFUNCTION("""COMPUTED_VALUE"""),43751798)</f>
        <v>43751798</v>
      </c>
      <c r="J141" s="83" t="s">
        <v>48</v>
      </c>
      <c r="K141" s="16"/>
      <c r="L141" s="16">
        <f ca="1">IFERROR(__xludf.DUMMYFUNCTION("""COMPUTED_VALUE"""),43751798)</f>
        <v>43751798</v>
      </c>
      <c r="M141" s="16"/>
      <c r="N141" s="21">
        <f ca="1">IFERROR(__xludf.DUMMYFUNCTION("""COMPUTED_VALUE"""),0)</f>
        <v>0</v>
      </c>
      <c r="O141" s="19"/>
      <c r="P141" s="19"/>
      <c r="Q141" s="19"/>
      <c r="R141" s="19"/>
      <c r="S141" s="19"/>
      <c r="T141" s="19"/>
      <c r="U141" s="19"/>
      <c r="V141" s="19"/>
      <c r="W141" s="20">
        <f ca="1">IFERROR(__xludf.DUMMYFUNCTION("""COMPUTED_VALUE"""),43751798)</f>
        <v>43751798</v>
      </c>
      <c r="X141" s="20" t="str">
        <f ca="1">IFERROR(__xludf.DUMMYFUNCTION("""COMPUTED_VALUE""")," MUNICIPALIDAD DE CALAMA ")</f>
        <v xml:space="preserve"> MUNICIPALIDAD DE CALAMA </v>
      </c>
    </row>
    <row r="142" spans="1:24" ht="15.75" customHeight="1" x14ac:dyDescent="0.25">
      <c r="A142" s="16" t="str">
        <f ca="1">IFERROR(__xludf.DUMMYFUNCTION("""COMPUTED_VALUE""")," REGIÓN DE ATACAMA ")</f>
        <v xml:space="preserve"> REGIÓN DE ATACAMA </v>
      </c>
      <c r="B142" s="16" t="str">
        <f t="shared" ca="1" si="0"/>
        <v xml:space="preserve"> COPIAPÓ </v>
      </c>
      <c r="C142" s="16" t="str">
        <f ca="1">IFERROR(__xludf.DUMMYFUNCTION("""COMPUTED_VALUE""")," REPOSICIÓN DE ALUMBRADO PÚBLICO AVDA. HENRIQUEZ, TRAMO CALETERA SUR CON AVDA. EL PALOMAR, COPIAPÓ ")</f>
        <v xml:space="preserve"> REPOSICIÓN DE ALUMBRADO PÚBLICO AVDA. HENRIQUEZ, TRAMO CALETERA SUR CON AVDA. EL PALOMAR, COPIAPÓ </v>
      </c>
      <c r="D142" s="16" t="str">
        <f ca="1">IFERROR(__xludf.DUMMYFUNCTION("""COMPUTED_VALUE""")," 1-C-2023-3061 ")</f>
        <v xml:space="preserve"> 1-C-2023-3061 </v>
      </c>
      <c r="E142" s="16" t="str">
        <f ca="1">IFERROR(__xludf.DUMMYFUNCTION("""COMPUTED_VALUE""")," 100% Girado ")</f>
        <v xml:space="preserve"> 100% Girado </v>
      </c>
      <c r="F142" s="17">
        <f ca="1">IFERROR(__xludf.DUMMYFUNCTION("""COMPUTED_VALUE"""),45316)</f>
        <v>45316</v>
      </c>
      <c r="G142" s="16">
        <f ca="1">IFERROR(__xludf.DUMMYFUNCTION("""COMPUTED_VALUE"""),154434989)</f>
        <v>154434989</v>
      </c>
      <c r="H142" s="16" t="str">
        <f ca="1">IFERROR(__xludf.DUMMYFUNCTION("""COMPUTED_VALUE""")," 100% Girado ")</f>
        <v xml:space="preserve"> 100% Girado </v>
      </c>
      <c r="I142" s="16">
        <f ca="1">IFERROR(__xludf.DUMMYFUNCTION("""COMPUTED_VALUE"""),154434989)</f>
        <v>154434989</v>
      </c>
      <c r="J142" s="83" t="s">
        <v>48</v>
      </c>
      <c r="K142" s="16"/>
      <c r="L142" s="16">
        <f ca="1">IFERROR(__xludf.DUMMYFUNCTION("""COMPUTED_VALUE"""),154434989)</f>
        <v>154434989</v>
      </c>
      <c r="M142" s="16"/>
      <c r="N142" s="21">
        <f ca="1">IFERROR(__xludf.DUMMYFUNCTION("""COMPUTED_VALUE"""),0)</f>
        <v>0</v>
      </c>
      <c r="O142" s="19"/>
      <c r="P142" s="19"/>
      <c r="Q142" s="19"/>
      <c r="R142" s="19"/>
      <c r="S142" s="19"/>
      <c r="T142" s="19"/>
      <c r="U142" s="19"/>
      <c r="V142" s="19"/>
      <c r="W142" s="20">
        <f ca="1">IFERROR(__xludf.DUMMYFUNCTION("""COMPUTED_VALUE"""),154434989)</f>
        <v>154434989</v>
      </c>
      <c r="X142" s="20" t="str">
        <f ca="1">IFERROR(__xludf.DUMMYFUNCTION("""COMPUTED_VALUE""")," MUNICIPALIDAD DE COPIAPÓ ")</f>
        <v xml:space="preserve"> MUNICIPALIDAD DE COPIAPÓ </v>
      </c>
    </row>
    <row r="143" spans="1:24" ht="15.75" customHeight="1" x14ac:dyDescent="0.25">
      <c r="A143" s="16" t="str">
        <f ca="1">IFERROR(__xludf.DUMMYFUNCTION("""COMPUTED_VALUE""")," REGIÓN DE ATACAMA ")</f>
        <v xml:space="preserve"> REGIÓN DE ATACAMA </v>
      </c>
      <c r="B143" s="16" t="str">
        <f t="shared" ca="1" si="0"/>
        <v xml:space="preserve"> COPIAPÓ </v>
      </c>
      <c r="C143" s="16" t="str">
        <f ca="1">IFERROR(__xludf.DUMMYFUNCTION("""COMPUTED_VALUE""")," REPOSICIÓN DE ALUMBRADO PUBLICO POBLACIÓN JOTABECHE, COPIAPO ")</f>
        <v xml:space="preserve"> REPOSICIÓN DE ALUMBRADO PUBLICO POBLACIÓN JOTABECHE, COPIAPO </v>
      </c>
      <c r="D143" s="16" t="str">
        <f ca="1">IFERROR(__xludf.DUMMYFUNCTION("""COMPUTED_VALUE""")," 1-C-2023-3064 ")</f>
        <v xml:space="preserve"> 1-C-2023-3064 </v>
      </c>
      <c r="E143" s="16" t="str">
        <f ca="1">IFERROR(__xludf.DUMMYFUNCTION("""COMPUTED_VALUE""")," 100% Girado ")</f>
        <v xml:space="preserve"> 100% Girado </v>
      </c>
      <c r="F143" s="17">
        <f ca="1">IFERROR(__xludf.DUMMYFUNCTION("""COMPUTED_VALUE"""),45316)</f>
        <v>45316</v>
      </c>
      <c r="G143" s="16">
        <f ca="1">IFERROR(__xludf.DUMMYFUNCTION("""COMPUTED_VALUE"""),54423383)</f>
        <v>54423383</v>
      </c>
      <c r="H143" s="16" t="str">
        <f ca="1">IFERROR(__xludf.DUMMYFUNCTION("""COMPUTED_VALUE""")," 100% Girado ")</f>
        <v xml:space="preserve"> 100% Girado </v>
      </c>
      <c r="I143" s="16">
        <f ca="1">IFERROR(__xludf.DUMMYFUNCTION("""COMPUTED_VALUE"""),54423383)</f>
        <v>54423383</v>
      </c>
      <c r="J143" s="83" t="s">
        <v>48</v>
      </c>
      <c r="K143" s="16"/>
      <c r="L143" s="16">
        <f ca="1">IFERROR(__xludf.DUMMYFUNCTION("""COMPUTED_VALUE"""),54423383)</f>
        <v>54423383</v>
      </c>
      <c r="M143" s="16"/>
      <c r="N143" s="21">
        <f ca="1">IFERROR(__xludf.DUMMYFUNCTION("""COMPUTED_VALUE"""),0)</f>
        <v>0</v>
      </c>
      <c r="O143" s="19"/>
      <c r="P143" s="19"/>
      <c r="Q143" s="19"/>
      <c r="R143" s="19"/>
      <c r="S143" s="19"/>
      <c r="T143" s="19"/>
      <c r="U143" s="19"/>
      <c r="V143" s="19"/>
      <c r="W143" s="20">
        <f ca="1">IFERROR(__xludf.DUMMYFUNCTION("""COMPUTED_VALUE"""),54423383)</f>
        <v>54423383</v>
      </c>
      <c r="X143" s="20" t="str">
        <f ca="1">IFERROR(__xludf.DUMMYFUNCTION("""COMPUTED_VALUE""")," MUNICIPALIDAD DE COPIAPÓ ")</f>
        <v xml:space="preserve"> MUNICIPALIDAD DE COPIAPÓ </v>
      </c>
    </row>
    <row r="144" spans="1:24" ht="15.75" customHeight="1" x14ac:dyDescent="0.25">
      <c r="A144" s="16" t="str">
        <f ca="1">IFERROR(__xludf.DUMMYFUNCTION("""COMPUTED_VALUE""")," REGIÓN DE ATACAMA ")</f>
        <v xml:space="preserve"> REGIÓN DE ATACAMA </v>
      </c>
      <c r="B144" s="16" t="str">
        <f t="shared" ca="1" si="0"/>
        <v xml:space="preserve"> COPIAPÓ </v>
      </c>
      <c r="C144" s="16" t="str">
        <f ca="1">IFERROR(__xludf.DUMMYFUNCTION("""COMPUTED_VALUE""")," REPOSICIÓN DE ALUMBRADO PUBLICO VILLA ESPERANZA, COPIAPO ")</f>
        <v xml:space="preserve"> REPOSICIÓN DE ALUMBRADO PUBLICO VILLA ESPERANZA, COPIAPO </v>
      </c>
      <c r="D144" s="16" t="str">
        <f ca="1">IFERROR(__xludf.DUMMYFUNCTION("""COMPUTED_VALUE""")," 1-C-2023-3065 ")</f>
        <v xml:space="preserve"> 1-C-2023-3065 </v>
      </c>
      <c r="E144" s="16" t="str">
        <f ca="1">IFERROR(__xludf.DUMMYFUNCTION("""COMPUTED_VALUE""")," 100% Girado ")</f>
        <v xml:space="preserve"> 100% Girado </v>
      </c>
      <c r="F144" s="17">
        <f ca="1">IFERROR(__xludf.DUMMYFUNCTION("""COMPUTED_VALUE"""),45316)</f>
        <v>45316</v>
      </c>
      <c r="G144" s="16">
        <f ca="1">IFERROR(__xludf.DUMMYFUNCTION("""COMPUTED_VALUE"""),136965989)</f>
        <v>136965989</v>
      </c>
      <c r="H144" s="16" t="str">
        <f ca="1">IFERROR(__xludf.DUMMYFUNCTION("""COMPUTED_VALUE""")," 100% Girado ")</f>
        <v xml:space="preserve"> 100% Girado </v>
      </c>
      <c r="I144" s="16">
        <f ca="1">IFERROR(__xludf.DUMMYFUNCTION("""COMPUTED_VALUE"""),136965989)</f>
        <v>136965989</v>
      </c>
      <c r="J144" s="83" t="s">
        <v>48</v>
      </c>
      <c r="K144" s="16"/>
      <c r="L144" s="16">
        <f ca="1">IFERROR(__xludf.DUMMYFUNCTION("""COMPUTED_VALUE"""),136965989)</f>
        <v>136965989</v>
      </c>
      <c r="M144" s="16"/>
      <c r="N144" s="21">
        <f ca="1">IFERROR(__xludf.DUMMYFUNCTION("""COMPUTED_VALUE"""),0)</f>
        <v>0</v>
      </c>
      <c r="O144" s="19"/>
      <c r="P144" s="19"/>
      <c r="Q144" s="19"/>
      <c r="R144" s="19"/>
      <c r="S144" s="19"/>
      <c r="T144" s="19"/>
      <c r="U144" s="19"/>
      <c r="V144" s="19"/>
      <c r="W144" s="20">
        <f ca="1">IFERROR(__xludf.DUMMYFUNCTION("""COMPUTED_VALUE"""),136965989)</f>
        <v>136965989</v>
      </c>
      <c r="X144" s="20" t="str">
        <f ca="1">IFERROR(__xludf.DUMMYFUNCTION("""COMPUTED_VALUE""")," MUNICIPALIDAD DE COPIAPÓ ")</f>
        <v xml:space="preserve"> MUNICIPALIDAD DE COPIAPÓ </v>
      </c>
    </row>
    <row r="145" spans="1:24" ht="15.75" customHeight="1" x14ac:dyDescent="0.25">
      <c r="A145" s="16" t="str">
        <f ca="1">IFERROR(__xludf.DUMMYFUNCTION("""COMPUTED_VALUE""")," REGIÓN DE ATACAMA ")</f>
        <v xml:space="preserve"> REGIÓN DE ATACAMA </v>
      </c>
      <c r="B145" s="16" t="str">
        <f t="shared" ca="1" si="0"/>
        <v xml:space="preserve"> COPIAPÓ </v>
      </c>
      <c r="C145" s="16" t="str">
        <f ca="1">IFERROR(__xludf.DUMMYFUNCTION("""COMPUTED_VALUE""")," REPOSICIÓN DE ALUMBRADO PÚBLICO AVDA. COPAYAPU SUR, TRAMO MAIPÚ Y MUNDO NUEVO, COPIAPÓ ")</f>
        <v xml:space="preserve"> REPOSICIÓN DE ALUMBRADO PÚBLICO AVDA. COPAYAPU SUR, TRAMO MAIPÚ Y MUNDO NUEVO, COPIAPÓ </v>
      </c>
      <c r="D145" s="16" t="str">
        <f ca="1">IFERROR(__xludf.DUMMYFUNCTION("""COMPUTED_VALUE""")," 1-C-2023-3265 ")</f>
        <v xml:space="preserve"> 1-C-2023-3265 </v>
      </c>
      <c r="E145" s="16" t="str">
        <f ca="1">IFERROR(__xludf.DUMMYFUNCTION("""COMPUTED_VALUE""")," 100% Girado ")</f>
        <v xml:space="preserve"> 100% Girado </v>
      </c>
      <c r="F145" s="17">
        <f ca="1">IFERROR(__xludf.DUMMYFUNCTION("""COMPUTED_VALUE"""),45316)</f>
        <v>45316</v>
      </c>
      <c r="G145" s="16">
        <f ca="1">IFERROR(__xludf.DUMMYFUNCTION("""COMPUTED_VALUE"""),87536139)</f>
        <v>87536139</v>
      </c>
      <c r="H145" s="16" t="str">
        <f ca="1">IFERROR(__xludf.DUMMYFUNCTION("""COMPUTED_VALUE""")," 100% Girado ")</f>
        <v xml:space="preserve"> 100% Girado </v>
      </c>
      <c r="I145" s="16">
        <f ca="1">IFERROR(__xludf.DUMMYFUNCTION("""COMPUTED_VALUE"""),87536139)</f>
        <v>87536139</v>
      </c>
      <c r="J145" s="83" t="s">
        <v>48</v>
      </c>
      <c r="K145" s="16"/>
      <c r="L145" s="16">
        <f ca="1">IFERROR(__xludf.DUMMYFUNCTION("""COMPUTED_VALUE"""),87536139)</f>
        <v>87536139</v>
      </c>
      <c r="M145" s="16"/>
      <c r="N145" s="21">
        <f ca="1">IFERROR(__xludf.DUMMYFUNCTION("""COMPUTED_VALUE"""),0)</f>
        <v>0</v>
      </c>
      <c r="O145" s="19"/>
      <c r="P145" s="19"/>
      <c r="Q145" s="19"/>
      <c r="R145" s="19"/>
      <c r="S145" s="19"/>
      <c r="T145" s="19"/>
      <c r="U145" s="19"/>
      <c r="V145" s="19"/>
      <c r="W145" s="20">
        <f ca="1">IFERROR(__xludf.DUMMYFUNCTION("""COMPUTED_VALUE"""),87536139)</f>
        <v>87536139</v>
      </c>
      <c r="X145" s="20" t="str">
        <f ca="1">IFERROR(__xludf.DUMMYFUNCTION("""COMPUTED_VALUE""")," MUNICIPALIDAD DE COPIAPÓ ")</f>
        <v xml:space="preserve"> MUNICIPALIDAD DE COPIAPÓ </v>
      </c>
    </row>
    <row r="146" spans="1:24" ht="15.75" customHeight="1" x14ac:dyDescent="0.25">
      <c r="A146" s="16" t="str">
        <f ca="1">IFERROR(__xludf.DUMMYFUNCTION("""COMPUTED_VALUE""")," REGIÓN DE COQUIMBO ")</f>
        <v xml:space="preserve"> REGIÓN DE COQUIMBO </v>
      </c>
      <c r="B146" s="16" t="str">
        <f t="shared" ca="1" si="0"/>
        <v xml:space="preserve"> PAIGUANO </v>
      </c>
      <c r="C146" s="16" t="str">
        <f ca="1">IFERROR(__xludf.DUMMYFUNCTION("""COMPUTED_VALUE""")," SPI CONSTRUCCIÓN SALA DE PROCESOS COMUNITARIA ")</f>
        <v xml:space="preserve"> SPI CONSTRUCCIÓN SALA DE PROCESOS COMUNITARIA </v>
      </c>
      <c r="D146" s="16" t="str">
        <f ca="1">IFERROR(__xludf.DUMMYFUNCTION("""COMPUTED_VALUE""")," 1-C-2021-1745 [FET] ")</f>
        <v xml:space="preserve"> 1-C-2021-1745 [FET] </v>
      </c>
      <c r="E146" s="16" t="str">
        <f ca="1">IFERROR(__xludf.DUMMYFUNCTION("""COMPUTED_VALUE""")," 100% Girado ")</f>
        <v xml:space="preserve"> 100% Girado </v>
      </c>
      <c r="F146" s="17">
        <f ca="1">IFERROR(__xludf.DUMMYFUNCTION("""COMPUTED_VALUE"""),44691)</f>
        <v>44691</v>
      </c>
      <c r="G146" s="16">
        <f ca="1">IFERROR(__xludf.DUMMYFUNCTION("""COMPUTED_VALUE"""),97498264)</f>
        <v>97498264</v>
      </c>
      <c r="H146" s="16" t="str">
        <f ca="1">IFERROR(__xludf.DUMMYFUNCTION("""COMPUTED_VALUE""")," 100% Girado ")</f>
        <v xml:space="preserve"> 100% Girado </v>
      </c>
      <c r="I146" s="16">
        <f ca="1">IFERROR(__xludf.DUMMYFUNCTION("""COMPUTED_VALUE"""),22502517)</f>
        <v>22502517</v>
      </c>
      <c r="J146" s="83" t="s">
        <v>48</v>
      </c>
      <c r="K146" s="16"/>
      <c r="L146" s="16">
        <f ca="1">IFERROR(__xludf.DUMMYFUNCTION("""COMPUTED_VALUE"""),22502517)</f>
        <v>22502517</v>
      </c>
      <c r="M146" s="16"/>
      <c r="N146" s="21">
        <f ca="1">IFERROR(__xludf.DUMMYFUNCTION("""COMPUTED_VALUE"""),0)</f>
        <v>0</v>
      </c>
      <c r="O146" s="19"/>
      <c r="P146" s="19"/>
      <c r="Q146" s="19"/>
      <c r="R146" s="19"/>
      <c r="S146" s="19"/>
      <c r="T146" s="19"/>
      <c r="U146" s="19"/>
      <c r="V146" s="19"/>
      <c r="W146" s="20">
        <f ca="1">IFERROR(__xludf.DUMMYFUNCTION("""COMPUTED_VALUE"""),22502517)</f>
        <v>22502517</v>
      </c>
      <c r="X146" s="20" t="str">
        <f ca="1">IFERROR(__xludf.DUMMYFUNCTION("""COMPUTED_VALUE""")," MUNICIPALIDAD DE PAIGUANO ")</f>
        <v xml:space="preserve"> MUNICIPALIDAD DE PAIGUANO </v>
      </c>
    </row>
    <row r="147" spans="1:24" ht="15.75" customHeight="1" x14ac:dyDescent="0.25">
      <c r="A147" s="16" t="str">
        <f ca="1">IFERROR(__xludf.DUMMYFUNCTION("""COMPUTED_VALUE""")," REGIÓN DE COQUIMBO ")</f>
        <v xml:space="preserve"> REGIÓN DE COQUIMBO </v>
      </c>
      <c r="B147" s="16" t="str">
        <f t="shared" ca="1" si="0"/>
        <v xml:space="preserve"> LA HIGUERA </v>
      </c>
      <c r="C147" s="16" t="str">
        <f ca="1">IFERROR(__xludf.DUMMYFUNCTION("""COMPUTED_VALUE""")," [SATE] CONSTRUCCIÓN REDUCTORES DE VELOCIDAD Y SEÑALÉTICAS DE TRÁNSITO LA HIGUERA, CALETA LOS HORNOS Y EL TRAPICHE ")</f>
        <v xml:space="preserve"> [SATE] CONSTRUCCIÓN REDUCTORES DE VELOCIDAD Y SEÑALÉTICAS DE TRÁNSITO LA HIGUERA, CALETA LOS HORNOS Y EL TRAPICHE </v>
      </c>
      <c r="D147" s="16" t="str">
        <f ca="1">IFERROR(__xludf.DUMMYFUNCTION("""COMPUTED_VALUE""")," 1-C-2023-253 ")</f>
        <v xml:space="preserve"> 1-C-2023-253 </v>
      </c>
      <c r="E147" s="16" t="str">
        <f ca="1">IFERROR(__xludf.DUMMYFUNCTION("""COMPUTED_VALUE""")," 100% Girado ")</f>
        <v xml:space="preserve"> 100% Girado </v>
      </c>
      <c r="F147" s="17">
        <f ca="1">IFERROR(__xludf.DUMMYFUNCTION("""COMPUTED_VALUE"""),45331)</f>
        <v>45331</v>
      </c>
      <c r="G147" s="16">
        <f ca="1">IFERROR(__xludf.DUMMYFUNCTION("""COMPUTED_VALUE"""),137842277)</f>
        <v>137842277</v>
      </c>
      <c r="H147" s="16" t="str">
        <f ca="1">IFERROR(__xludf.DUMMYFUNCTION("""COMPUTED_VALUE""")," 100% Girado ")</f>
        <v xml:space="preserve"> 100% Girado </v>
      </c>
      <c r="I147" s="16">
        <f ca="1">IFERROR(__xludf.DUMMYFUNCTION("""COMPUTED_VALUE"""),137842277)</f>
        <v>137842277</v>
      </c>
      <c r="J147" s="83" t="s">
        <v>48</v>
      </c>
      <c r="K147" s="16"/>
      <c r="L147" s="16">
        <f ca="1">IFERROR(__xludf.DUMMYFUNCTION("""COMPUTED_VALUE"""),137842277)</f>
        <v>137842277</v>
      </c>
      <c r="M147" s="16"/>
      <c r="N147" s="21">
        <f ca="1">IFERROR(__xludf.DUMMYFUNCTION("""COMPUTED_VALUE"""),0)</f>
        <v>0</v>
      </c>
      <c r="O147" s="19"/>
      <c r="P147" s="19"/>
      <c r="Q147" s="19"/>
      <c r="R147" s="19"/>
      <c r="S147" s="19"/>
      <c r="T147" s="19"/>
      <c r="U147" s="19"/>
      <c r="V147" s="19"/>
      <c r="W147" s="20">
        <f ca="1">IFERROR(__xludf.DUMMYFUNCTION("""COMPUTED_VALUE"""),137842277)</f>
        <v>137842277</v>
      </c>
      <c r="X147" s="20" t="str">
        <f ca="1">IFERROR(__xludf.DUMMYFUNCTION("""COMPUTED_VALUE""")," MUNICIPALIDAD DE LA HIGUERA ")</f>
        <v xml:space="preserve"> MUNICIPALIDAD DE LA HIGUERA </v>
      </c>
    </row>
    <row r="148" spans="1:24" ht="15.75" customHeight="1" x14ac:dyDescent="0.25">
      <c r="A148" s="16" t="str">
        <f ca="1">IFERROR(__xludf.DUMMYFUNCTION("""COMPUTED_VALUE""")," REGIÓN DE COQUIMBO ")</f>
        <v xml:space="preserve"> REGIÓN DE COQUIMBO </v>
      </c>
      <c r="B148" s="16" t="str">
        <f t="shared" ca="1" si="0"/>
        <v xml:space="preserve"> LA SERENA </v>
      </c>
      <c r="C148" s="16" t="str">
        <f ca="1">IFERROR(__xludf.DUMMYFUNCTION("""COMPUTED_VALUE""")," AMPLIACIÓN DE ALUMBRADO PÚBLICO DESDE EL INGRESO A CALLE JUAN JOSÉ LATORRE ")</f>
        <v xml:space="preserve"> AMPLIACIÓN DE ALUMBRADO PÚBLICO DESDE EL INGRESO A CALLE JUAN JOSÉ LATORRE </v>
      </c>
      <c r="D148" s="16" t="str">
        <f ca="1">IFERROR(__xludf.DUMMYFUNCTION("""COMPUTED_VALUE""")," 1-C-2023-2710 ")</f>
        <v xml:space="preserve"> 1-C-2023-2710 </v>
      </c>
      <c r="E148" s="16" t="str">
        <f ca="1">IFERROR(__xludf.DUMMYFUNCTION("""COMPUTED_VALUE""")," 100% Girado ")</f>
        <v xml:space="preserve"> 100% Girado </v>
      </c>
      <c r="F148" s="17">
        <f ca="1">IFERROR(__xludf.DUMMYFUNCTION("""COMPUTED_VALUE"""),45331)</f>
        <v>45331</v>
      </c>
      <c r="G148" s="16">
        <f ca="1">IFERROR(__xludf.DUMMYFUNCTION("""COMPUTED_VALUE"""),42767739)</f>
        <v>42767739</v>
      </c>
      <c r="H148" s="16" t="str">
        <f ca="1">IFERROR(__xludf.DUMMYFUNCTION("""COMPUTED_VALUE""")," 100% Girado ")</f>
        <v xml:space="preserve"> 100% Girado </v>
      </c>
      <c r="I148" s="16">
        <f ca="1">IFERROR(__xludf.DUMMYFUNCTION("""COMPUTED_VALUE"""),42767739)</f>
        <v>42767739</v>
      </c>
      <c r="J148" s="83" t="s">
        <v>48</v>
      </c>
      <c r="K148" s="16"/>
      <c r="L148" s="16">
        <f ca="1">IFERROR(__xludf.DUMMYFUNCTION("""COMPUTED_VALUE"""),42767739)</f>
        <v>42767739</v>
      </c>
      <c r="M148" s="16"/>
      <c r="N148" s="21">
        <f ca="1">IFERROR(__xludf.DUMMYFUNCTION("""COMPUTED_VALUE"""),0)</f>
        <v>0</v>
      </c>
      <c r="O148" s="19"/>
      <c r="P148" s="19"/>
      <c r="Q148" s="19"/>
      <c r="R148" s="19"/>
      <c r="S148" s="19"/>
      <c r="T148" s="19"/>
      <c r="U148" s="19"/>
      <c r="V148" s="19"/>
      <c r="W148" s="20">
        <f ca="1">IFERROR(__xludf.DUMMYFUNCTION("""COMPUTED_VALUE"""),42767739)</f>
        <v>42767739</v>
      </c>
      <c r="X148" s="20" t="str">
        <f ca="1">IFERROR(__xludf.DUMMYFUNCTION("""COMPUTED_VALUE""")," MUNICIPALIDAD DE LA SERENA ")</f>
        <v xml:space="preserve"> MUNICIPALIDAD DE LA SERENA </v>
      </c>
    </row>
    <row r="149" spans="1:24" ht="15.75" customHeight="1" x14ac:dyDescent="0.25">
      <c r="A149" s="16" t="str">
        <f ca="1">IFERROR(__xludf.DUMMYFUNCTION("""COMPUTED_VALUE""")," REGIÓN DE COQUIMBO ")</f>
        <v xml:space="preserve"> REGIÓN DE COQUIMBO </v>
      </c>
      <c r="B149" s="16" t="str">
        <f t="shared" ca="1" si="0"/>
        <v xml:space="preserve"> OVALLE </v>
      </c>
      <c r="C149" s="16" t="str">
        <f ca="1">IFERROR(__xludf.DUMMYFUNCTION("""COMPUTED_VALUE""")," MEJORAMIENTO PLAZA VILLA AGRÍCOLA, COMUNA DE OVALLE ")</f>
        <v xml:space="preserve"> MEJORAMIENTO PLAZA VILLA AGRÍCOLA, COMUNA DE OVALLE </v>
      </c>
      <c r="D149" s="16" t="str">
        <f ca="1">IFERROR(__xludf.DUMMYFUNCTION("""COMPUTED_VALUE""")," 1-C-2023-2715 ")</f>
        <v xml:space="preserve"> 1-C-2023-2715 </v>
      </c>
      <c r="E149" s="16" t="str">
        <f ca="1">IFERROR(__xludf.DUMMYFUNCTION("""COMPUTED_VALUE""")," 100% Girado ")</f>
        <v xml:space="preserve"> 100% Girado </v>
      </c>
      <c r="F149" s="17">
        <f ca="1">IFERROR(__xludf.DUMMYFUNCTION("""COMPUTED_VALUE"""),45320)</f>
        <v>45320</v>
      </c>
      <c r="G149" s="16">
        <f ca="1">IFERROR(__xludf.DUMMYFUNCTION("""COMPUTED_VALUE"""),122106072)</f>
        <v>122106072</v>
      </c>
      <c r="H149" s="16" t="str">
        <f ca="1">IFERROR(__xludf.DUMMYFUNCTION("""COMPUTED_VALUE""")," 100% Girado ")</f>
        <v xml:space="preserve"> 100% Girado </v>
      </c>
      <c r="I149" s="16">
        <f ca="1">IFERROR(__xludf.DUMMYFUNCTION("""COMPUTED_VALUE"""),122106072)</f>
        <v>122106072</v>
      </c>
      <c r="J149" s="83" t="s">
        <v>48</v>
      </c>
      <c r="K149" s="16"/>
      <c r="L149" s="16">
        <f ca="1">IFERROR(__xludf.DUMMYFUNCTION("""COMPUTED_VALUE"""),122106072)</f>
        <v>122106072</v>
      </c>
      <c r="M149" s="16"/>
      <c r="N149" s="21">
        <f ca="1">IFERROR(__xludf.DUMMYFUNCTION("""COMPUTED_VALUE"""),0)</f>
        <v>0</v>
      </c>
      <c r="O149" s="19"/>
      <c r="P149" s="19"/>
      <c r="Q149" s="19"/>
      <c r="R149" s="19"/>
      <c r="S149" s="19"/>
      <c r="T149" s="19"/>
      <c r="U149" s="19"/>
      <c r="V149" s="19"/>
      <c r="W149" s="20">
        <f ca="1">IFERROR(__xludf.DUMMYFUNCTION("""COMPUTED_VALUE"""),122106072)</f>
        <v>122106072</v>
      </c>
      <c r="X149" s="20" t="str">
        <f ca="1">IFERROR(__xludf.DUMMYFUNCTION("""COMPUTED_VALUE""")," MUNICIPALIDAD DE OVALLE ")</f>
        <v xml:space="preserve"> MUNICIPALIDAD DE OVALLE </v>
      </c>
    </row>
    <row r="150" spans="1:24" ht="15.75" customHeight="1" x14ac:dyDescent="0.25">
      <c r="A150" s="16" t="str">
        <f ca="1">IFERROR(__xludf.DUMMYFUNCTION("""COMPUTED_VALUE""")," REGIÓN DE COQUIMBO ")</f>
        <v xml:space="preserve"> REGIÓN DE COQUIMBO </v>
      </c>
      <c r="B150" s="16" t="str">
        <f t="shared" ca="1" si="0"/>
        <v xml:space="preserve"> OVALLE </v>
      </c>
      <c r="C150" s="16" t="str">
        <f ca="1">IFERROR(__xludf.DUMMYFUNCTION("""COMPUTED_VALUE""")," MEJORAMIENTO PLAZA MEDIA HACIENDA, COMUNA DE OVALLE ")</f>
        <v xml:space="preserve"> MEJORAMIENTO PLAZA MEDIA HACIENDA, COMUNA DE OVALLE </v>
      </c>
      <c r="D150" s="16" t="str">
        <f ca="1">IFERROR(__xludf.DUMMYFUNCTION("""COMPUTED_VALUE""")," 1-C-2023-2731 ")</f>
        <v xml:space="preserve"> 1-C-2023-2731 </v>
      </c>
      <c r="E150" s="16" t="str">
        <f ca="1">IFERROR(__xludf.DUMMYFUNCTION("""COMPUTED_VALUE""")," 100% Girado ")</f>
        <v xml:space="preserve"> 100% Girado </v>
      </c>
      <c r="F150" s="17">
        <f ca="1">IFERROR(__xludf.DUMMYFUNCTION("""COMPUTED_VALUE"""),45320)</f>
        <v>45320</v>
      </c>
      <c r="G150" s="16">
        <f ca="1">IFERROR(__xludf.DUMMYFUNCTION("""COMPUTED_VALUE"""),152027388)</f>
        <v>152027388</v>
      </c>
      <c r="H150" s="16" t="str">
        <f ca="1">IFERROR(__xludf.DUMMYFUNCTION("""COMPUTED_VALUE""")," 100% Girado ")</f>
        <v xml:space="preserve"> 100% Girado </v>
      </c>
      <c r="I150" s="16">
        <f ca="1">IFERROR(__xludf.DUMMYFUNCTION("""COMPUTED_VALUE"""),152027388)</f>
        <v>152027388</v>
      </c>
      <c r="J150" s="83" t="s">
        <v>48</v>
      </c>
      <c r="K150" s="16"/>
      <c r="L150" s="16">
        <f ca="1">IFERROR(__xludf.DUMMYFUNCTION("""COMPUTED_VALUE"""),152027388)</f>
        <v>152027388</v>
      </c>
      <c r="M150" s="16"/>
      <c r="N150" s="21">
        <f ca="1">IFERROR(__xludf.DUMMYFUNCTION("""COMPUTED_VALUE"""),0)</f>
        <v>0</v>
      </c>
      <c r="O150" s="19"/>
      <c r="P150" s="19"/>
      <c r="Q150" s="19"/>
      <c r="R150" s="19"/>
      <c r="S150" s="19"/>
      <c r="T150" s="19"/>
      <c r="U150" s="19"/>
      <c r="V150" s="19"/>
      <c r="W150" s="20">
        <f ca="1">IFERROR(__xludf.DUMMYFUNCTION("""COMPUTED_VALUE"""),152027388)</f>
        <v>152027388</v>
      </c>
      <c r="X150" s="20" t="str">
        <f ca="1">IFERROR(__xludf.DUMMYFUNCTION("""COMPUTED_VALUE""")," MUNICIPALIDAD DE OVALLE ")</f>
        <v xml:space="preserve"> MUNICIPALIDAD DE OVALLE </v>
      </c>
    </row>
    <row r="151" spans="1:24" ht="15.75" customHeight="1" x14ac:dyDescent="0.25">
      <c r="A151" s="16" t="str">
        <f ca="1">IFERROR(__xludf.DUMMYFUNCTION("""COMPUTED_VALUE""")," REGIÓN DE COQUIMBO ")</f>
        <v xml:space="preserve"> REGIÓN DE COQUIMBO </v>
      </c>
      <c r="B151" s="16" t="str">
        <f t="shared" ca="1" si="0"/>
        <v xml:space="preserve"> OVALLE </v>
      </c>
      <c r="C151" s="16" t="str">
        <f ca="1">IFERROR(__xludf.DUMMYFUNCTION("""COMPUTED_VALUE""")," CONSTRUCCIÓN ALUMBRADO PÚBLICO VARIOS SECTORES,COMUNA DE OVALLE ")</f>
        <v xml:space="preserve"> CONSTRUCCIÓN ALUMBRADO PÚBLICO VARIOS SECTORES,COMUNA DE OVALLE </v>
      </c>
      <c r="D151" s="16" t="str">
        <f ca="1">IFERROR(__xludf.DUMMYFUNCTION("""COMPUTED_VALUE""")," 1-C-2023-2732 ")</f>
        <v xml:space="preserve"> 1-C-2023-2732 </v>
      </c>
      <c r="E151" s="16" t="str">
        <f ca="1">IFERROR(__xludf.DUMMYFUNCTION("""COMPUTED_VALUE""")," 100% Girado ")</f>
        <v xml:space="preserve"> 100% Girado </v>
      </c>
      <c r="F151" s="17">
        <f ca="1">IFERROR(__xludf.DUMMYFUNCTION("""COMPUTED_VALUE"""),45320)</f>
        <v>45320</v>
      </c>
      <c r="G151" s="16">
        <f ca="1">IFERROR(__xludf.DUMMYFUNCTION("""COMPUTED_VALUE"""),69202281)</f>
        <v>69202281</v>
      </c>
      <c r="H151" s="16" t="str">
        <f ca="1">IFERROR(__xludf.DUMMYFUNCTION("""COMPUTED_VALUE""")," 100% Girado ")</f>
        <v xml:space="preserve"> 100% Girado </v>
      </c>
      <c r="I151" s="16">
        <f ca="1">IFERROR(__xludf.DUMMYFUNCTION("""COMPUTED_VALUE"""),69202281)</f>
        <v>69202281</v>
      </c>
      <c r="J151" s="83" t="s">
        <v>48</v>
      </c>
      <c r="K151" s="16"/>
      <c r="L151" s="16">
        <f ca="1">IFERROR(__xludf.DUMMYFUNCTION("""COMPUTED_VALUE"""),69202281)</f>
        <v>69202281</v>
      </c>
      <c r="M151" s="16"/>
      <c r="N151" s="21">
        <f ca="1">IFERROR(__xludf.DUMMYFUNCTION("""COMPUTED_VALUE"""),0)</f>
        <v>0</v>
      </c>
      <c r="O151" s="19"/>
      <c r="P151" s="19"/>
      <c r="Q151" s="19"/>
      <c r="R151" s="19"/>
      <c r="S151" s="19"/>
      <c r="T151" s="19"/>
      <c r="U151" s="19"/>
      <c r="V151" s="19"/>
      <c r="W151" s="20">
        <f ca="1">IFERROR(__xludf.DUMMYFUNCTION("""COMPUTED_VALUE"""),69202281)</f>
        <v>69202281</v>
      </c>
      <c r="X151" s="20" t="str">
        <f ca="1">IFERROR(__xludf.DUMMYFUNCTION("""COMPUTED_VALUE""")," MUNICIPALIDAD DE OVALLE ")</f>
        <v xml:space="preserve"> MUNICIPALIDAD DE OVALLE </v>
      </c>
    </row>
    <row r="152" spans="1:24" ht="15.75" customHeight="1" x14ac:dyDescent="0.25">
      <c r="A152" s="16" t="str">
        <f ca="1">IFERROR(__xludf.DUMMYFUNCTION("""COMPUTED_VALUE""")," REGIÓN DE COQUIMBO ")</f>
        <v xml:space="preserve"> REGIÓN DE COQUIMBO </v>
      </c>
      <c r="B152" s="16" t="str">
        <f t="shared" ca="1" si="0"/>
        <v xml:space="preserve"> OVALLE </v>
      </c>
      <c r="C152" s="16" t="str">
        <f ca="1">IFERROR(__xludf.DUMMYFUNCTION("""COMPUTED_VALUE""")," MEJORAMIENTO LUMINARIAS PEATONALES CALLE BENAVENTE SECTOR PONIENTE, COMUNA DE OVALLE ")</f>
        <v xml:space="preserve"> MEJORAMIENTO LUMINARIAS PEATONALES CALLE BENAVENTE SECTOR PONIENTE, COMUNA DE OVALLE </v>
      </c>
      <c r="D152" s="16" t="str">
        <f ca="1">IFERROR(__xludf.DUMMYFUNCTION("""COMPUTED_VALUE""")," 1-C-2023-2737 ")</f>
        <v xml:space="preserve"> 1-C-2023-2737 </v>
      </c>
      <c r="E152" s="16" t="str">
        <f ca="1">IFERROR(__xludf.DUMMYFUNCTION("""COMPUTED_VALUE""")," 100% Girado ")</f>
        <v xml:space="preserve"> 100% Girado </v>
      </c>
      <c r="F152" s="17">
        <f ca="1">IFERROR(__xludf.DUMMYFUNCTION("""COMPUTED_VALUE"""),45320)</f>
        <v>45320</v>
      </c>
      <c r="G152" s="16">
        <f ca="1">IFERROR(__xludf.DUMMYFUNCTION("""COMPUTED_VALUE"""),152404439)</f>
        <v>152404439</v>
      </c>
      <c r="H152" s="16" t="str">
        <f ca="1">IFERROR(__xludf.DUMMYFUNCTION("""COMPUTED_VALUE""")," 100% Girado ")</f>
        <v xml:space="preserve"> 100% Girado </v>
      </c>
      <c r="I152" s="16">
        <f ca="1">IFERROR(__xludf.DUMMYFUNCTION("""COMPUTED_VALUE"""),152404439)</f>
        <v>152404439</v>
      </c>
      <c r="J152" s="83" t="s">
        <v>48</v>
      </c>
      <c r="K152" s="16"/>
      <c r="L152" s="16">
        <f ca="1">IFERROR(__xludf.DUMMYFUNCTION("""COMPUTED_VALUE"""),152404439)</f>
        <v>152404439</v>
      </c>
      <c r="M152" s="16"/>
      <c r="N152" s="21">
        <f ca="1">IFERROR(__xludf.DUMMYFUNCTION("""COMPUTED_VALUE"""),0)</f>
        <v>0</v>
      </c>
      <c r="O152" s="19"/>
      <c r="P152" s="19"/>
      <c r="Q152" s="19"/>
      <c r="R152" s="19"/>
      <c r="S152" s="19"/>
      <c r="T152" s="19"/>
      <c r="U152" s="19"/>
      <c r="V152" s="19"/>
      <c r="W152" s="20">
        <f ca="1">IFERROR(__xludf.DUMMYFUNCTION("""COMPUTED_VALUE"""),152404439)</f>
        <v>152404439</v>
      </c>
      <c r="X152" s="20" t="str">
        <f ca="1">IFERROR(__xludf.DUMMYFUNCTION("""COMPUTED_VALUE""")," MUNICIPALIDAD DE OVALLE ")</f>
        <v xml:space="preserve"> MUNICIPALIDAD DE OVALLE </v>
      </c>
    </row>
    <row r="153" spans="1:24" ht="15.75" customHeight="1" x14ac:dyDescent="0.25">
      <c r="A153" s="16" t="str">
        <f ca="1">IFERROR(__xludf.DUMMYFUNCTION("""COMPUTED_VALUE""")," REGIÓN DE VALPARAÍSO ")</f>
        <v xml:space="preserve"> REGIÓN DE VALPARAÍSO </v>
      </c>
      <c r="B153" s="16" t="str">
        <f t="shared" ca="1" si="0"/>
        <v xml:space="preserve"> LA LIGUA </v>
      </c>
      <c r="C153" s="16" t="str">
        <f ca="1">IFERROR(__xludf.DUMMYFUNCTION("""COMPUTED_VALUE""")," REPOSICIÓN DE AREAS VERDES Y CONSTRUCCIÓN DE CIERRE PERIMETRAL VILLA MILLAGUE, COMUNA DE LA LIGUA ")</f>
        <v xml:space="preserve"> REPOSICIÓN DE AREAS VERDES Y CONSTRUCCIÓN DE CIERRE PERIMETRAL VILLA MILLAGUE, COMUNA DE LA LIGUA </v>
      </c>
      <c r="D153" s="16" t="str">
        <f ca="1">IFERROR(__xludf.DUMMYFUNCTION("""COMPUTED_VALUE""")," 1-C-2022-2581 ")</f>
        <v xml:space="preserve"> 1-C-2022-2581 </v>
      </c>
      <c r="E153" s="16" t="str">
        <f ca="1">IFERROR(__xludf.DUMMYFUNCTION("""COMPUTED_VALUE""")," 100% Girado ")</f>
        <v xml:space="preserve"> 100% Girado </v>
      </c>
      <c r="F153" s="17">
        <f ca="1">IFERROR(__xludf.DUMMYFUNCTION("""COMPUTED_VALUE"""),45334)</f>
        <v>45334</v>
      </c>
      <c r="G153" s="16">
        <f ca="1">IFERROR(__xludf.DUMMYFUNCTION("""COMPUTED_VALUE"""),68665782)</f>
        <v>68665782</v>
      </c>
      <c r="H153" s="16" t="str">
        <f ca="1">IFERROR(__xludf.DUMMYFUNCTION("""COMPUTED_VALUE""")," 100% Girado ")</f>
        <v xml:space="preserve"> 100% Girado </v>
      </c>
      <c r="I153" s="16">
        <f ca="1">IFERROR(__xludf.DUMMYFUNCTION("""COMPUTED_VALUE"""),68665782)</f>
        <v>68665782</v>
      </c>
      <c r="J153" s="83" t="s">
        <v>48</v>
      </c>
      <c r="K153" s="16"/>
      <c r="L153" s="16">
        <f ca="1">IFERROR(__xludf.DUMMYFUNCTION("""COMPUTED_VALUE"""),68665782)</f>
        <v>68665782</v>
      </c>
      <c r="M153" s="16"/>
      <c r="N153" s="21">
        <f ca="1">IFERROR(__xludf.DUMMYFUNCTION("""COMPUTED_VALUE"""),0)</f>
        <v>0</v>
      </c>
      <c r="O153" s="19"/>
      <c r="P153" s="19"/>
      <c r="Q153" s="19"/>
      <c r="R153" s="19"/>
      <c r="S153" s="19"/>
      <c r="T153" s="19"/>
      <c r="U153" s="19"/>
      <c r="V153" s="19"/>
      <c r="W153" s="20">
        <f ca="1">IFERROR(__xludf.DUMMYFUNCTION("""COMPUTED_VALUE"""),68665782)</f>
        <v>68665782</v>
      </c>
      <c r="X153" s="20" t="str">
        <f ca="1">IFERROR(__xludf.DUMMYFUNCTION("""COMPUTED_VALUE""")," MUNICIPALIDAD DE LA LIGUA ")</f>
        <v xml:space="preserve"> MUNICIPALIDAD DE LA LIGUA </v>
      </c>
    </row>
    <row r="154" spans="1:24" ht="15.75" customHeight="1" x14ac:dyDescent="0.25">
      <c r="A154" s="16" t="str">
        <f ca="1">IFERROR(__xludf.DUMMYFUNCTION("""COMPUTED_VALUE""")," REGIÓN DE VALPARAÍSO ")</f>
        <v xml:space="preserve"> REGIÓN DE VALPARAÍSO </v>
      </c>
      <c r="B154" s="16" t="str">
        <f t="shared" ca="1" si="0"/>
        <v xml:space="preserve"> LA LIGUA </v>
      </c>
      <c r="C154" s="16" t="str">
        <f ca="1">IFERROR(__xludf.DUMMYFUNCTION("""COMPUTED_VALUE""")," REPOSICION DE VEREDAS LOS QUINTRALES, COMUNA DE LA LIGUA ")</f>
        <v xml:space="preserve"> REPOSICION DE VEREDAS LOS QUINTRALES, COMUNA DE LA LIGUA </v>
      </c>
      <c r="D154" s="16" t="str">
        <f ca="1">IFERROR(__xludf.DUMMYFUNCTION("""COMPUTED_VALUE""")," 1-C-2023-162 ")</f>
        <v xml:space="preserve"> 1-C-2023-162 </v>
      </c>
      <c r="E154" s="16" t="str">
        <f ca="1">IFERROR(__xludf.DUMMYFUNCTION("""COMPUTED_VALUE""")," 100% Girado ")</f>
        <v xml:space="preserve"> 100% Girado </v>
      </c>
      <c r="F154" s="17">
        <f ca="1">IFERROR(__xludf.DUMMYFUNCTION("""COMPUTED_VALUE"""),45334)</f>
        <v>45334</v>
      </c>
      <c r="G154" s="16">
        <f ca="1">IFERROR(__xludf.DUMMYFUNCTION("""COMPUTED_VALUE"""),132363361)</f>
        <v>132363361</v>
      </c>
      <c r="H154" s="16" t="str">
        <f ca="1">IFERROR(__xludf.DUMMYFUNCTION("""COMPUTED_VALUE""")," 100% Girado ")</f>
        <v xml:space="preserve"> 100% Girado </v>
      </c>
      <c r="I154" s="16">
        <f ca="1">IFERROR(__xludf.DUMMYFUNCTION("""COMPUTED_VALUE"""),132363361)</f>
        <v>132363361</v>
      </c>
      <c r="J154" s="83" t="s">
        <v>48</v>
      </c>
      <c r="K154" s="16"/>
      <c r="L154" s="16">
        <f ca="1">IFERROR(__xludf.DUMMYFUNCTION("""COMPUTED_VALUE"""),132363361)</f>
        <v>132363361</v>
      </c>
      <c r="M154" s="16"/>
      <c r="N154" s="21">
        <f ca="1">IFERROR(__xludf.DUMMYFUNCTION("""COMPUTED_VALUE"""),0)</f>
        <v>0</v>
      </c>
      <c r="O154" s="19"/>
      <c r="P154" s="19"/>
      <c r="Q154" s="19"/>
      <c r="R154" s="19"/>
      <c r="S154" s="19"/>
      <c r="T154" s="19"/>
      <c r="U154" s="19"/>
      <c r="V154" s="19"/>
      <c r="W154" s="20">
        <f ca="1">IFERROR(__xludf.DUMMYFUNCTION("""COMPUTED_VALUE"""),132363361)</f>
        <v>132363361</v>
      </c>
      <c r="X154" s="20" t="str">
        <f ca="1">IFERROR(__xludf.DUMMYFUNCTION("""COMPUTED_VALUE""")," MUNICIPALIDAD DE LA LIGUA ")</f>
        <v xml:space="preserve"> MUNICIPALIDAD DE LA LIGUA </v>
      </c>
    </row>
    <row r="155" spans="1:24" ht="15.75" customHeight="1" x14ac:dyDescent="0.25">
      <c r="A155" s="16" t="str">
        <f ca="1">IFERROR(__xludf.DUMMYFUNCTION("""COMPUTED_VALUE""")," REGIÓN DE VALPARAÍSO ")</f>
        <v xml:space="preserve"> REGIÓN DE VALPARAÍSO </v>
      </c>
      <c r="B155" s="16" t="str">
        <f t="shared" ca="1" si="0"/>
        <v xml:space="preserve"> SAN FELIPE </v>
      </c>
      <c r="C155" s="16" t="str">
        <f ca="1">IFERROR(__xludf.DUMMYFUNCTION("""COMPUTED_VALUE""")," REPOSICION MULTICANCHA VALLE CURIMON, COMUNA DE SAN FELIPE ")</f>
        <v xml:space="preserve"> REPOSICION MULTICANCHA VALLE CURIMON, COMUNA DE SAN FELIPE </v>
      </c>
      <c r="D155" s="16" t="str">
        <f ca="1">IFERROR(__xludf.DUMMYFUNCTION("""COMPUTED_VALUE""")," 1-C-2023-171 ")</f>
        <v xml:space="preserve"> 1-C-2023-171 </v>
      </c>
      <c r="E155" s="16" t="str">
        <f ca="1">IFERROR(__xludf.DUMMYFUNCTION("""COMPUTED_VALUE""")," 100% Girado ")</f>
        <v xml:space="preserve"> 100% Girado </v>
      </c>
      <c r="F155" s="17">
        <f ca="1">IFERROR(__xludf.DUMMYFUNCTION("""COMPUTED_VALUE"""),45331)</f>
        <v>45331</v>
      </c>
      <c r="G155" s="16">
        <f ca="1">IFERROR(__xludf.DUMMYFUNCTION("""COMPUTED_VALUE"""),142396257)</f>
        <v>142396257</v>
      </c>
      <c r="H155" s="16" t="str">
        <f ca="1">IFERROR(__xludf.DUMMYFUNCTION("""COMPUTED_VALUE""")," 100% Girado ")</f>
        <v xml:space="preserve"> 100% Girado </v>
      </c>
      <c r="I155" s="16">
        <f ca="1">IFERROR(__xludf.DUMMYFUNCTION("""COMPUTED_VALUE"""),142396257)</f>
        <v>142396257</v>
      </c>
      <c r="J155" s="83" t="s">
        <v>48</v>
      </c>
      <c r="K155" s="16"/>
      <c r="L155" s="16">
        <f ca="1">IFERROR(__xludf.DUMMYFUNCTION("""COMPUTED_VALUE"""),142396257)</f>
        <v>142396257</v>
      </c>
      <c r="M155" s="16"/>
      <c r="N155" s="21">
        <f ca="1">IFERROR(__xludf.DUMMYFUNCTION("""COMPUTED_VALUE"""),0)</f>
        <v>0</v>
      </c>
      <c r="O155" s="19"/>
      <c r="P155" s="19"/>
      <c r="Q155" s="19"/>
      <c r="R155" s="19"/>
      <c r="S155" s="19"/>
      <c r="T155" s="19"/>
      <c r="U155" s="19"/>
      <c r="V155" s="19"/>
      <c r="W155" s="20">
        <f ca="1">IFERROR(__xludf.DUMMYFUNCTION("""COMPUTED_VALUE"""),142396257)</f>
        <v>142396257</v>
      </c>
      <c r="X155" s="20" t="str">
        <f ca="1">IFERROR(__xludf.DUMMYFUNCTION("""COMPUTED_VALUE""")," MUNICIPALIDAD DE SAN FELIPE ")</f>
        <v xml:space="preserve"> MUNICIPALIDAD DE SAN FELIPE </v>
      </c>
    </row>
    <row r="156" spans="1:24" ht="15.75" customHeight="1" x14ac:dyDescent="0.25">
      <c r="A156" s="16" t="str">
        <f ca="1">IFERROR(__xludf.DUMMYFUNCTION("""COMPUTED_VALUE""")," REGIÓN DE VALPARAÍSO ")</f>
        <v xml:space="preserve"> REGIÓN DE VALPARAÍSO </v>
      </c>
      <c r="B156" s="16" t="str">
        <f t="shared" ca="1" si="0"/>
        <v xml:space="preserve"> SAN FELIPE </v>
      </c>
      <c r="C156" s="16" t="str">
        <f ca="1">IFERROR(__xludf.DUMMYFUNCTION("""COMPUTED_VALUE""")," CONSTRUCCION SISTEMA DE ALUMBRADO CANCHA DE FUTBOL CLUB DEPORTIVO MARIO INOSTROZA, SAN FELIPE ")</f>
        <v xml:space="preserve"> CONSTRUCCION SISTEMA DE ALUMBRADO CANCHA DE FUTBOL CLUB DEPORTIVO MARIO INOSTROZA, SAN FELIPE </v>
      </c>
      <c r="D156" s="16" t="str">
        <f ca="1">IFERROR(__xludf.DUMMYFUNCTION("""COMPUTED_VALUE""")," 1-C-2023-2364 ")</f>
        <v xml:space="preserve"> 1-C-2023-2364 </v>
      </c>
      <c r="E156" s="16" t="str">
        <f ca="1">IFERROR(__xludf.DUMMYFUNCTION("""COMPUTED_VALUE""")," 100% Girado ")</f>
        <v xml:space="preserve"> 100% Girado </v>
      </c>
      <c r="F156" s="17">
        <f ca="1">IFERROR(__xludf.DUMMYFUNCTION("""COMPUTED_VALUE"""),45348)</f>
        <v>45348</v>
      </c>
      <c r="G156" s="16">
        <f ca="1">IFERROR(__xludf.DUMMYFUNCTION("""COMPUTED_VALUE"""),138915471)</f>
        <v>138915471</v>
      </c>
      <c r="H156" s="16" t="str">
        <f ca="1">IFERROR(__xludf.DUMMYFUNCTION("""COMPUTED_VALUE""")," 100% Girado ")</f>
        <v xml:space="preserve"> 100% Girado </v>
      </c>
      <c r="I156" s="16">
        <f ca="1">IFERROR(__xludf.DUMMYFUNCTION("""COMPUTED_VALUE"""),138915471)</f>
        <v>138915471</v>
      </c>
      <c r="J156" s="83" t="s">
        <v>48</v>
      </c>
      <c r="K156" s="16"/>
      <c r="L156" s="16">
        <f ca="1">IFERROR(__xludf.DUMMYFUNCTION("""COMPUTED_VALUE"""),138915471)</f>
        <v>138915471</v>
      </c>
      <c r="M156" s="16"/>
      <c r="N156" s="21">
        <f ca="1">IFERROR(__xludf.DUMMYFUNCTION("""COMPUTED_VALUE"""),0)</f>
        <v>0</v>
      </c>
      <c r="O156" s="19"/>
      <c r="P156" s="19"/>
      <c r="Q156" s="19"/>
      <c r="R156" s="19"/>
      <c r="S156" s="19"/>
      <c r="T156" s="19"/>
      <c r="U156" s="19"/>
      <c r="V156" s="19"/>
      <c r="W156" s="20">
        <f ca="1">IFERROR(__xludf.DUMMYFUNCTION("""COMPUTED_VALUE"""),138915471)</f>
        <v>138915471</v>
      </c>
      <c r="X156" s="20" t="str">
        <f ca="1">IFERROR(__xludf.DUMMYFUNCTION("""COMPUTED_VALUE""")," MUNICIPALIDAD DE SAN FELIPE ")</f>
        <v xml:space="preserve"> MUNICIPALIDAD DE SAN FELIPE </v>
      </c>
    </row>
    <row r="157" spans="1:24" ht="15.75" customHeight="1" x14ac:dyDescent="0.25">
      <c r="A157" s="16" t="str">
        <f ca="1">IFERROR(__xludf.DUMMYFUNCTION("""COMPUTED_VALUE""")," REGIÓN DE VALPARAÍSO ")</f>
        <v xml:space="preserve"> REGIÓN DE VALPARAÍSO </v>
      </c>
      <c r="B157" s="16" t="str">
        <f t="shared" ca="1" si="0"/>
        <v xml:space="preserve"> VILLA ALEMANA </v>
      </c>
      <c r="C157" s="16" t="str">
        <f ca="1">IFERROR(__xludf.DUMMYFUNCTION("""COMPUTED_VALUE""")," CATASTROFE -RECUPERACION DE ESPACIOS PUBLICOS SECTOR QUEBRADA ESCOBARES, EL PATAGUAL Y RINCONADA COMUNA DE VILLA ALEMANA ")</f>
        <v xml:space="preserve"> CATASTROFE -RECUPERACION DE ESPACIOS PUBLICOS SECTOR QUEBRADA ESCOBARES, EL PATAGUAL Y RINCONADA COMUNA DE VILLA ALEMANA </v>
      </c>
      <c r="D157" s="16" t="str">
        <f ca="1">IFERROR(__xludf.DUMMYFUNCTION("""COMPUTED_VALUE""")," 1-C-2024-222 ")</f>
        <v xml:space="preserve"> 1-C-2024-222 </v>
      </c>
      <c r="E157" s="16" t="str">
        <f ca="1">IFERROR(__xludf.DUMMYFUNCTION("""COMPUTED_VALUE""")," 100% Girado ")</f>
        <v xml:space="preserve"> 100% Girado </v>
      </c>
      <c r="F157" s="17">
        <f ca="1">IFERROR(__xludf.DUMMYFUNCTION("""COMPUTED_VALUE"""),45325)</f>
        <v>45325</v>
      </c>
      <c r="G157" s="16">
        <f ca="1">IFERROR(__xludf.DUMMYFUNCTION("""COMPUTED_VALUE"""),49362933)</f>
        <v>49362933</v>
      </c>
      <c r="H157" s="16" t="str">
        <f ca="1">IFERROR(__xludf.DUMMYFUNCTION("""COMPUTED_VALUE""")," 100% Girado ")</f>
        <v xml:space="preserve"> 100% Girado </v>
      </c>
      <c r="I157" s="16">
        <f ca="1">IFERROR(__xludf.DUMMYFUNCTION("""COMPUTED_VALUE"""),49362933)</f>
        <v>49362933</v>
      </c>
      <c r="J157" s="83" t="s">
        <v>48</v>
      </c>
      <c r="K157" s="16"/>
      <c r="L157" s="16">
        <f ca="1">IFERROR(__xludf.DUMMYFUNCTION("""COMPUTED_VALUE"""),49362933)</f>
        <v>49362933</v>
      </c>
      <c r="M157" s="16"/>
      <c r="N157" s="21">
        <f ca="1">IFERROR(__xludf.DUMMYFUNCTION("""COMPUTED_VALUE"""),0)</f>
        <v>0</v>
      </c>
      <c r="O157" s="19"/>
      <c r="P157" s="19"/>
      <c r="Q157" s="19"/>
      <c r="R157" s="19"/>
      <c r="S157" s="19"/>
      <c r="T157" s="19"/>
      <c r="U157" s="19"/>
      <c r="V157" s="19"/>
      <c r="W157" s="20">
        <f ca="1">IFERROR(__xludf.DUMMYFUNCTION("""COMPUTED_VALUE"""),49362933)</f>
        <v>49362933</v>
      </c>
      <c r="X157" s="20" t="str">
        <f ca="1">IFERROR(__xludf.DUMMYFUNCTION("""COMPUTED_VALUE""")," MUNICIPALIDAD DE VILLA ALEMANA ")</f>
        <v xml:space="preserve"> MUNICIPALIDAD DE VILLA ALEMANA </v>
      </c>
    </row>
    <row r="158" spans="1:24" ht="15.75" customHeight="1" x14ac:dyDescent="0.25">
      <c r="A158" s="16" t="str">
        <f ca="1">IFERROR(__xludf.DUMMYFUNCTION("""COMPUTED_VALUE""")," REGIÓN DE VALPARAÍSO ")</f>
        <v xml:space="preserve"> REGIÓN DE VALPARAÍSO </v>
      </c>
      <c r="B158" s="16" t="str">
        <f t="shared" ca="1" si="0"/>
        <v xml:space="preserve"> VIÑA DEL MAR </v>
      </c>
      <c r="C158" s="16" t="str">
        <f ca="1">IFERROR(__xludf.DUMMYFUNCTION("""COMPUTED_VALUE""")," CATASTROFE RECUPERACION DE ESPACIOS PUBLICOS SECTORES EL OLIVAR – V. INDEPENDENCIA - VILLA HERMOSA, DE LA COMUNA DE VIÑA DEL MAR ")</f>
        <v xml:space="preserve"> CATASTROFE RECUPERACION DE ESPACIOS PUBLICOS SECTORES EL OLIVAR – V. INDEPENDENCIA - VILLA HERMOSA, DE LA COMUNA DE VIÑA DEL MAR </v>
      </c>
      <c r="D158" s="16" t="str">
        <f ca="1">IFERROR(__xludf.DUMMYFUNCTION("""COMPUTED_VALUE""")," 1-C-2024-223 ")</f>
        <v xml:space="preserve"> 1-C-2024-223 </v>
      </c>
      <c r="E158" s="16" t="str">
        <f ca="1">IFERROR(__xludf.DUMMYFUNCTION("""COMPUTED_VALUE""")," 100% Girado ")</f>
        <v xml:space="preserve"> 100% Girado </v>
      </c>
      <c r="F158" s="17">
        <f ca="1">IFERROR(__xludf.DUMMYFUNCTION("""COMPUTED_VALUE"""),45326)</f>
        <v>45326</v>
      </c>
      <c r="G158" s="16">
        <f ca="1">IFERROR(__xludf.DUMMYFUNCTION("""COMPUTED_VALUE"""),105663968)</f>
        <v>105663968</v>
      </c>
      <c r="H158" s="16" t="str">
        <f ca="1">IFERROR(__xludf.DUMMYFUNCTION("""COMPUTED_VALUE""")," 100% Girado ")</f>
        <v xml:space="preserve"> 100% Girado </v>
      </c>
      <c r="I158" s="16">
        <f ca="1">IFERROR(__xludf.DUMMYFUNCTION("""COMPUTED_VALUE"""),105663968)</f>
        <v>105663968</v>
      </c>
      <c r="J158" s="83" t="s">
        <v>48</v>
      </c>
      <c r="K158" s="16"/>
      <c r="L158" s="16">
        <f ca="1">IFERROR(__xludf.DUMMYFUNCTION("""COMPUTED_VALUE"""),105663968)</f>
        <v>105663968</v>
      </c>
      <c r="M158" s="16"/>
      <c r="N158" s="21">
        <f ca="1">IFERROR(__xludf.DUMMYFUNCTION("""COMPUTED_VALUE"""),0)</f>
        <v>0</v>
      </c>
      <c r="O158" s="19"/>
      <c r="P158" s="19"/>
      <c r="Q158" s="19"/>
      <c r="R158" s="19"/>
      <c r="S158" s="19"/>
      <c r="T158" s="19"/>
      <c r="U158" s="19"/>
      <c r="V158" s="19"/>
      <c r="W158" s="20">
        <f ca="1">IFERROR(__xludf.DUMMYFUNCTION("""COMPUTED_VALUE"""),105663968)</f>
        <v>105663968</v>
      </c>
      <c r="X158" s="20" t="str">
        <f ca="1">IFERROR(__xludf.DUMMYFUNCTION("""COMPUTED_VALUE""")," MUNICIPALIDAD DE VIÑA DEL MAR ")</f>
        <v xml:space="preserve"> MUNICIPALIDAD DE VIÑA DEL MAR </v>
      </c>
    </row>
    <row r="159" spans="1:24" ht="15.75" customHeight="1" x14ac:dyDescent="0.25">
      <c r="A159" s="16" t="str">
        <f ca="1">IFERROR(__xludf.DUMMYFUNCTION("""COMPUTED_VALUE""")," REGIÓN DE VALPARAÍSO ")</f>
        <v xml:space="preserve"> REGIÓN DE VALPARAÍSO </v>
      </c>
      <c r="B159" s="16" t="str">
        <f t="shared" ca="1" si="0"/>
        <v xml:space="preserve"> VIÑA DEL MAR </v>
      </c>
      <c r="C159" s="16" t="str">
        <f ca="1">IFERROR(__xludf.DUMMYFUNCTION("""COMPUTED_VALUE""")," CATASTROFE RECUPERACION DE ESPACIOS PUBLICOS SECTORES EL SALTO - CHORRILLO, DE LA COMUNA DE VIÑA DEL MAR ")</f>
        <v xml:space="preserve"> CATASTROFE RECUPERACION DE ESPACIOS PUBLICOS SECTORES EL SALTO - CHORRILLO, DE LA COMUNA DE VIÑA DEL MAR </v>
      </c>
      <c r="D159" s="16" t="str">
        <f ca="1">IFERROR(__xludf.DUMMYFUNCTION("""COMPUTED_VALUE""")," 1-C-2024-224 ")</f>
        <v xml:space="preserve"> 1-C-2024-224 </v>
      </c>
      <c r="E159" s="16" t="str">
        <f ca="1">IFERROR(__xludf.DUMMYFUNCTION("""COMPUTED_VALUE""")," 100% Girado ")</f>
        <v xml:space="preserve"> 100% Girado </v>
      </c>
      <c r="F159" s="17">
        <f ca="1">IFERROR(__xludf.DUMMYFUNCTION("""COMPUTED_VALUE"""),45326)</f>
        <v>45326</v>
      </c>
      <c r="G159" s="16">
        <f ca="1">IFERROR(__xludf.DUMMYFUNCTION("""COMPUTED_VALUE"""),105663968)</f>
        <v>105663968</v>
      </c>
      <c r="H159" s="16" t="str">
        <f ca="1">IFERROR(__xludf.DUMMYFUNCTION("""COMPUTED_VALUE""")," 100% Girado ")</f>
        <v xml:space="preserve"> 100% Girado </v>
      </c>
      <c r="I159" s="16">
        <f ca="1">IFERROR(__xludf.DUMMYFUNCTION("""COMPUTED_VALUE"""),105663968)</f>
        <v>105663968</v>
      </c>
      <c r="J159" s="83" t="s">
        <v>48</v>
      </c>
      <c r="K159" s="16"/>
      <c r="L159" s="16">
        <f ca="1">IFERROR(__xludf.DUMMYFUNCTION("""COMPUTED_VALUE"""),105663968)</f>
        <v>105663968</v>
      </c>
      <c r="M159" s="16"/>
      <c r="N159" s="21">
        <f ca="1">IFERROR(__xludf.DUMMYFUNCTION("""COMPUTED_VALUE"""),0)</f>
        <v>0</v>
      </c>
      <c r="O159" s="19"/>
      <c r="P159" s="19"/>
      <c r="Q159" s="19"/>
      <c r="R159" s="19"/>
      <c r="S159" s="19"/>
      <c r="T159" s="19"/>
      <c r="U159" s="19"/>
      <c r="V159" s="19"/>
      <c r="W159" s="20">
        <f ca="1">IFERROR(__xludf.DUMMYFUNCTION("""COMPUTED_VALUE"""),105663968)</f>
        <v>105663968</v>
      </c>
      <c r="X159" s="20" t="str">
        <f ca="1">IFERROR(__xludf.DUMMYFUNCTION("""COMPUTED_VALUE""")," MUNICIPALIDAD DE VIÑA DEL MAR ")</f>
        <v xml:space="preserve"> MUNICIPALIDAD DE VIÑA DEL MAR </v>
      </c>
    </row>
    <row r="160" spans="1:24" ht="15.75" customHeight="1" x14ac:dyDescent="0.25">
      <c r="A160" s="16" t="str">
        <f ca="1">IFERROR(__xludf.DUMMYFUNCTION("""COMPUTED_VALUE""")," REGIÓN DE VALPARAÍSO ")</f>
        <v xml:space="preserve"> REGIÓN DE VALPARAÍSO </v>
      </c>
      <c r="B160" s="16" t="str">
        <f t="shared" ca="1" si="0"/>
        <v xml:space="preserve"> VIÑA DEL MAR </v>
      </c>
      <c r="C160" s="16" t="str">
        <f ca="1">IFERROR(__xludf.DUMMYFUNCTION("""COMPUTED_VALUE""")," CATASTROFE RECUPERACION DE ESPACIOS PUBLICOS SECTORES MIRAFLORES - CANAL BEAGLE - VILLA DULCE, DE LA COMUNA DE VIÑA DEL MAR ")</f>
        <v xml:space="preserve"> CATASTROFE RECUPERACION DE ESPACIOS PUBLICOS SECTORES MIRAFLORES - CANAL BEAGLE - VILLA DULCE, DE LA COMUNA DE VIÑA DEL MAR </v>
      </c>
      <c r="D160" s="16" t="str">
        <f ca="1">IFERROR(__xludf.DUMMYFUNCTION("""COMPUTED_VALUE""")," 1-C-2024-225 ")</f>
        <v xml:space="preserve"> 1-C-2024-225 </v>
      </c>
      <c r="E160" s="16" t="str">
        <f ca="1">IFERROR(__xludf.DUMMYFUNCTION("""COMPUTED_VALUE""")," 100% Girado ")</f>
        <v xml:space="preserve"> 100% Girado </v>
      </c>
      <c r="F160" s="17">
        <f ca="1">IFERROR(__xludf.DUMMYFUNCTION("""COMPUTED_VALUE"""),45326)</f>
        <v>45326</v>
      </c>
      <c r="G160" s="16">
        <f ca="1">IFERROR(__xludf.DUMMYFUNCTION("""COMPUTED_VALUE"""),140150168)</f>
        <v>140150168</v>
      </c>
      <c r="H160" s="16" t="str">
        <f ca="1">IFERROR(__xludf.DUMMYFUNCTION("""COMPUTED_VALUE""")," 100% Girado ")</f>
        <v xml:space="preserve"> 100% Girado </v>
      </c>
      <c r="I160" s="16">
        <f ca="1">IFERROR(__xludf.DUMMYFUNCTION("""COMPUTED_VALUE"""),140150168)</f>
        <v>140150168</v>
      </c>
      <c r="J160" s="83" t="s">
        <v>48</v>
      </c>
      <c r="K160" s="16"/>
      <c r="L160" s="16">
        <f ca="1">IFERROR(__xludf.DUMMYFUNCTION("""COMPUTED_VALUE"""),140150168)</f>
        <v>140150168</v>
      </c>
      <c r="M160" s="16"/>
      <c r="N160" s="21">
        <f ca="1">IFERROR(__xludf.DUMMYFUNCTION("""COMPUTED_VALUE"""),0)</f>
        <v>0</v>
      </c>
      <c r="O160" s="19"/>
      <c r="P160" s="19"/>
      <c r="Q160" s="19"/>
      <c r="R160" s="19"/>
      <c r="S160" s="19"/>
      <c r="T160" s="19"/>
      <c r="U160" s="19"/>
      <c r="V160" s="19"/>
      <c r="W160" s="20">
        <f ca="1">IFERROR(__xludf.DUMMYFUNCTION("""COMPUTED_VALUE"""),140150168)</f>
        <v>140150168</v>
      </c>
      <c r="X160" s="20" t="str">
        <f ca="1">IFERROR(__xludf.DUMMYFUNCTION("""COMPUTED_VALUE""")," MUNICIPALIDAD DE VIÑA DEL MAR ")</f>
        <v xml:space="preserve"> MUNICIPALIDAD DE VIÑA DEL MAR </v>
      </c>
    </row>
    <row r="161" spans="1:24" ht="15.75" customHeight="1" x14ac:dyDescent="0.25">
      <c r="A161" s="16" t="str">
        <f ca="1">IFERROR(__xludf.DUMMYFUNCTION("""COMPUTED_VALUE""")," REGIÓN DE VALPARAÍSO ")</f>
        <v xml:space="preserve"> REGIÓN DE VALPARAÍSO </v>
      </c>
      <c r="B161" s="16" t="str">
        <f t="shared" ca="1" si="0"/>
        <v xml:space="preserve"> VIÑA DEL MAR </v>
      </c>
      <c r="C161" s="16" t="str">
        <f ca="1">IFERROR(__xludf.DUMMYFUNCTION("""COMPUTED_VALUE""")," CATASTROFE RECUPERACION DE ESPACIOS PUBLICOS SECTORES ACHUPALLAS Y REÑACA ALTO, DE LA COMUNA DE VIÑA DEL MAR ")</f>
        <v xml:space="preserve"> CATASTROFE RECUPERACION DE ESPACIOS PUBLICOS SECTORES ACHUPALLAS Y REÑACA ALTO, DE LA COMUNA DE VIÑA DEL MAR </v>
      </c>
      <c r="D161" s="16" t="str">
        <f ca="1">IFERROR(__xludf.DUMMYFUNCTION("""COMPUTED_VALUE""")," 1-C-2024-227 ")</f>
        <v xml:space="preserve"> 1-C-2024-227 </v>
      </c>
      <c r="E161" s="16" t="str">
        <f ca="1">IFERROR(__xludf.DUMMYFUNCTION("""COMPUTED_VALUE""")," 100% Girado ")</f>
        <v xml:space="preserve"> 100% Girado </v>
      </c>
      <c r="F161" s="17">
        <f ca="1">IFERROR(__xludf.DUMMYFUNCTION("""COMPUTED_VALUE"""),45326)</f>
        <v>45326</v>
      </c>
      <c r="G161" s="16">
        <f ca="1">IFERROR(__xludf.DUMMYFUNCTION("""COMPUTED_VALUE"""),140150168)</f>
        <v>140150168</v>
      </c>
      <c r="H161" s="16" t="str">
        <f ca="1">IFERROR(__xludf.DUMMYFUNCTION("""COMPUTED_VALUE""")," 100% Girado ")</f>
        <v xml:space="preserve"> 100% Girado </v>
      </c>
      <c r="I161" s="16">
        <f ca="1">IFERROR(__xludf.DUMMYFUNCTION("""COMPUTED_VALUE"""),140150168)</f>
        <v>140150168</v>
      </c>
      <c r="J161" s="83" t="s">
        <v>48</v>
      </c>
      <c r="K161" s="16"/>
      <c r="L161" s="16">
        <f ca="1">IFERROR(__xludf.DUMMYFUNCTION("""COMPUTED_VALUE"""),140150168)</f>
        <v>140150168</v>
      </c>
      <c r="M161" s="16"/>
      <c r="N161" s="21">
        <f ca="1">IFERROR(__xludf.DUMMYFUNCTION("""COMPUTED_VALUE"""),0)</f>
        <v>0</v>
      </c>
      <c r="O161" s="19"/>
      <c r="P161" s="19"/>
      <c r="Q161" s="19"/>
      <c r="R161" s="19"/>
      <c r="S161" s="19"/>
      <c r="T161" s="19"/>
      <c r="U161" s="19"/>
      <c r="V161" s="19"/>
      <c r="W161" s="20">
        <f ca="1">IFERROR(__xludf.DUMMYFUNCTION("""COMPUTED_VALUE"""),140150168)</f>
        <v>140150168</v>
      </c>
      <c r="X161" s="20" t="str">
        <f ca="1">IFERROR(__xludf.DUMMYFUNCTION("""COMPUTED_VALUE""")," MUNICIPALIDAD DE VIÑA DEL MAR ")</f>
        <v xml:space="preserve"> MUNICIPALIDAD DE VIÑA DEL MAR </v>
      </c>
    </row>
    <row r="162" spans="1:24" ht="15.75" customHeight="1" x14ac:dyDescent="0.25">
      <c r="A162" s="16" t="str">
        <f ca="1">IFERROR(__xludf.DUMMYFUNCTION("""COMPUTED_VALUE""")," REGIÓN DE VALPARAÍSO ")</f>
        <v xml:space="preserve"> REGIÓN DE VALPARAÍSO </v>
      </c>
      <c r="B162" s="16" t="str">
        <f t="shared" ca="1" si="0"/>
        <v xml:space="preserve"> QUILPUÉ </v>
      </c>
      <c r="C162" s="16" t="str">
        <f ca="1">IFERROR(__xludf.DUMMYFUNCTION("""COMPUTED_VALUE""")," CATASTROFE -RECUPERACIÓN DE ESPACIOS PUBLICOS SECTOR POMPEYA NORTE Y POMPEYA SUR, COMUNA DE QUILPUÉ ")</f>
        <v xml:space="preserve"> CATASTROFE -RECUPERACIÓN DE ESPACIOS PUBLICOS SECTOR POMPEYA NORTE Y POMPEYA SUR, COMUNA DE QUILPUÉ </v>
      </c>
      <c r="D162" s="16" t="str">
        <f ca="1">IFERROR(__xludf.DUMMYFUNCTION("""COMPUTED_VALUE""")," 1-C-2024-228 ")</f>
        <v xml:space="preserve"> 1-C-2024-228 </v>
      </c>
      <c r="E162" s="16" t="str">
        <f ca="1">IFERROR(__xludf.DUMMYFUNCTION("""COMPUTED_VALUE""")," 100% Girado ")</f>
        <v xml:space="preserve"> 100% Girado </v>
      </c>
      <c r="F162" s="17">
        <f ca="1">IFERROR(__xludf.DUMMYFUNCTION("""COMPUTED_VALUE"""),45326)</f>
        <v>45326</v>
      </c>
      <c r="G162" s="16">
        <f ca="1">IFERROR(__xludf.DUMMYFUNCTION("""COMPUTED_VALUE"""),98249865)</f>
        <v>98249865</v>
      </c>
      <c r="H162" s="16" t="str">
        <f ca="1">IFERROR(__xludf.DUMMYFUNCTION("""COMPUTED_VALUE""")," 100% Girado ")</f>
        <v xml:space="preserve"> 100% Girado </v>
      </c>
      <c r="I162" s="16">
        <f ca="1">IFERROR(__xludf.DUMMYFUNCTION("""COMPUTED_VALUE"""),98249865)</f>
        <v>98249865</v>
      </c>
      <c r="J162" s="83" t="s">
        <v>48</v>
      </c>
      <c r="K162" s="16"/>
      <c r="L162" s="16">
        <f ca="1">IFERROR(__xludf.DUMMYFUNCTION("""COMPUTED_VALUE"""),98249865)</f>
        <v>98249865</v>
      </c>
      <c r="M162" s="16"/>
      <c r="N162" s="21">
        <f ca="1">IFERROR(__xludf.DUMMYFUNCTION("""COMPUTED_VALUE"""),0)</f>
        <v>0</v>
      </c>
      <c r="O162" s="19"/>
      <c r="P162" s="19"/>
      <c r="Q162" s="19"/>
      <c r="R162" s="19"/>
      <c r="S162" s="19"/>
      <c r="T162" s="19"/>
      <c r="U162" s="19"/>
      <c r="V162" s="19"/>
      <c r="W162" s="20">
        <f ca="1">IFERROR(__xludf.DUMMYFUNCTION("""COMPUTED_VALUE"""),98249865)</f>
        <v>98249865</v>
      </c>
      <c r="X162" s="20" t="str">
        <f ca="1">IFERROR(__xludf.DUMMYFUNCTION("""COMPUTED_VALUE""")," MUNICIPALIDAD DE QUILPUÉ ")</f>
        <v xml:space="preserve"> MUNICIPALIDAD DE QUILPUÉ </v>
      </c>
    </row>
    <row r="163" spans="1:24" ht="15.75" customHeight="1" x14ac:dyDescent="0.25">
      <c r="A163" s="16" t="str">
        <f ca="1">IFERROR(__xludf.DUMMYFUNCTION("""COMPUTED_VALUE""")," REGIÓN DE VALPARAÍSO ")</f>
        <v xml:space="preserve"> REGIÓN DE VALPARAÍSO </v>
      </c>
      <c r="B163" s="16" t="str">
        <f t="shared" ca="1" si="0"/>
        <v xml:space="preserve"> QUILPUÉ </v>
      </c>
      <c r="C163" s="16" t="str">
        <f ca="1">IFERROR(__xludf.DUMMYFUNCTION("""COMPUTED_VALUE""")," CATASTROFE - RECUPERACION DE ESPACIOS PUBLICOS SECTOR POBLACION ARGENTINA Y CANAL CHACAO COMUNA DE QUILPUÉ ")</f>
        <v xml:space="preserve"> CATASTROFE - RECUPERACION DE ESPACIOS PUBLICOS SECTOR POBLACION ARGENTINA Y CANAL CHACAO COMUNA DE QUILPUÉ </v>
      </c>
      <c r="D163" s="16" t="str">
        <f ca="1">IFERROR(__xludf.DUMMYFUNCTION("""COMPUTED_VALUE""")," 1-C-2024-229 ")</f>
        <v xml:space="preserve"> 1-C-2024-229 </v>
      </c>
      <c r="E163" s="16" t="str">
        <f ca="1">IFERROR(__xludf.DUMMYFUNCTION("""COMPUTED_VALUE""")," 100% Girado ")</f>
        <v xml:space="preserve"> 100% Girado </v>
      </c>
      <c r="F163" s="17">
        <f ca="1">IFERROR(__xludf.DUMMYFUNCTION("""COMPUTED_VALUE"""),45326)</f>
        <v>45326</v>
      </c>
      <c r="G163" s="16">
        <f ca="1">IFERROR(__xludf.DUMMYFUNCTION("""COMPUTED_VALUE"""),98249865)</f>
        <v>98249865</v>
      </c>
      <c r="H163" s="16" t="str">
        <f ca="1">IFERROR(__xludf.DUMMYFUNCTION("""COMPUTED_VALUE""")," 100% Girado ")</f>
        <v xml:space="preserve"> 100% Girado </v>
      </c>
      <c r="I163" s="16">
        <f ca="1">IFERROR(__xludf.DUMMYFUNCTION("""COMPUTED_VALUE"""),98249865)</f>
        <v>98249865</v>
      </c>
      <c r="J163" s="83" t="s">
        <v>48</v>
      </c>
      <c r="K163" s="16"/>
      <c r="L163" s="16">
        <f ca="1">IFERROR(__xludf.DUMMYFUNCTION("""COMPUTED_VALUE"""),98249865)</f>
        <v>98249865</v>
      </c>
      <c r="M163" s="16"/>
      <c r="N163" s="21">
        <f ca="1">IFERROR(__xludf.DUMMYFUNCTION("""COMPUTED_VALUE"""),0)</f>
        <v>0</v>
      </c>
      <c r="O163" s="19"/>
      <c r="P163" s="19"/>
      <c r="Q163" s="19"/>
      <c r="R163" s="19"/>
      <c r="S163" s="19"/>
      <c r="T163" s="19"/>
      <c r="U163" s="19"/>
      <c r="V163" s="19"/>
      <c r="W163" s="20">
        <f ca="1">IFERROR(__xludf.DUMMYFUNCTION("""COMPUTED_VALUE"""),98249865)</f>
        <v>98249865</v>
      </c>
      <c r="X163" s="20" t="str">
        <f ca="1">IFERROR(__xludf.DUMMYFUNCTION("""COMPUTED_VALUE""")," MUNICIPALIDAD DE QUILPUÉ ")</f>
        <v xml:space="preserve"> MUNICIPALIDAD DE QUILPUÉ </v>
      </c>
    </row>
    <row r="164" spans="1:24" ht="15.75" customHeight="1" x14ac:dyDescent="0.25">
      <c r="A164" s="16" t="str">
        <f ca="1">IFERROR(__xludf.DUMMYFUNCTION("""COMPUTED_VALUE""")," REGIÓN DE VALPARAÍSO ")</f>
        <v xml:space="preserve"> REGIÓN DE VALPARAÍSO </v>
      </c>
      <c r="B164" s="16" t="str">
        <f t="shared" ca="1" si="0"/>
        <v xml:space="preserve"> QUILPUÉ </v>
      </c>
      <c r="C164" s="16" t="str">
        <f ca="1">IFERROR(__xludf.DUMMYFUNCTION("""COMPUTED_VALUE""")," CATASTROFE - HABILITACION DE ESTANQUES DE AGUA COMUNITARIOS, VARIOS SECTORES, COMUNA DE QUILPUE ")</f>
        <v xml:space="preserve"> CATASTROFE - HABILITACION DE ESTANQUES DE AGUA COMUNITARIOS, VARIOS SECTORES, COMUNA DE QUILPUE </v>
      </c>
      <c r="D164" s="16" t="str">
        <f ca="1">IFERROR(__xludf.DUMMYFUNCTION("""COMPUTED_VALUE""")," 1-C-2024-230 ")</f>
        <v xml:space="preserve"> 1-C-2024-230 </v>
      </c>
      <c r="E164" s="16" t="str">
        <f ca="1">IFERROR(__xludf.DUMMYFUNCTION("""COMPUTED_VALUE""")," 100% Girado ")</f>
        <v xml:space="preserve"> 100% Girado </v>
      </c>
      <c r="F164" s="17">
        <f ca="1">IFERROR(__xludf.DUMMYFUNCTION("""COMPUTED_VALUE"""),45327)</f>
        <v>45327</v>
      </c>
      <c r="G164" s="16">
        <f ca="1">IFERROR(__xludf.DUMMYFUNCTION("""COMPUTED_VALUE"""),82618482)</f>
        <v>82618482</v>
      </c>
      <c r="H164" s="16" t="str">
        <f ca="1">IFERROR(__xludf.DUMMYFUNCTION("""COMPUTED_VALUE""")," 100% Girado ")</f>
        <v xml:space="preserve"> 100% Girado </v>
      </c>
      <c r="I164" s="16">
        <f ca="1">IFERROR(__xludf.DUMMYFUNCTION("""COMPUTED_VALUE"""),82618482)</f>
        <v>82618482</v>
      </c>
      <c r="J164" s="83" t="s">
        <v>48</v>
      </c>
      <c r="K164" s="16"/>
      <c r="L164" s="16">
        <f ca="1">IFERROR(__xludf.DUMMYFUNCTION("""COMPUTED_VALUE"""),82618482)</f>
        <v>82618482</v>
      </c>
      <c r="M164" s="16"/>
      <c r="N164" s="21">
        <f ca="1">IFERROR(__xludf.DUMMYFUNCTION("""COMPUTED_VALUE"""),0)</f>
        <v>0</v>
      </c>
      <c r="O164" s="19"/>
      <c r="P164" s="19"/>
      <c r="Q164" s="19"/>
      <c r="R164" s="19"/>
      <c r="S164" s="19"/>
      <c r="T164" s="19"/>
      <c r="U164" s="19"/>
      <c r="V164" s="19"/>
      <c r="W164" s="20">
        <f ca="1">IFERROR(__xludf.DUMMYFUNCTION("""COMPUTED_VALUE"""),82618482)</f>
        <v>82618482</v>
      </c>
      <c r="X164" s="20" t="str">
        <f ca="1">IFERROR(__xludf.DUMMYFUNCTION("""COMPUTED_VALUE""")," MUNICIPALIDAD DE QUILPUÉ ")</f>
        <v xml:space="preserve"> MUNICIPALIDAD DE QUILPUÉ </v>
      </c>
    </row>
    <row r="165" spans="1:24" ht="15.75" customHeight="1" x14ac:dyDescent="0.25">
      <c r="A165" s="16" t="str">
        <f ca="1">IFERROR(__xludf.DUMMYFUNCTION("""COMPUTED_VALUE""")," REGIÓN DE VALPARAÍSO ")</f>
        <v xml:space="preserve"> REGIÓN DE VALPARAÍSO </v>
      </c>
      <c r="B165" s="16" t="str">
        <f t="shared" ca="1" si="0"/>
        <v xml:space="preserve"> VIÑA DEL MAR </v>
      </c>
      <c r="C165" s="16" t="str">
        <f ca="1">IFERROR(__xludf.DUMMYFUNCTION("""COMPUTED_VALUE""")," CATÁSTROFE HABILITACIÓN DE ESTANQUES DE AGUA POTABLE COMUNITARIOS, PARA DISTINTOS SECTORES DE LA COMUNA DE VIÑA DEL MAR ")</f>
        <v xml:space="preserve"> CATÁSTROFE HABILITACIÓN DE ESTANQUES DE AGUA POTABLE COMUNITARIOS, PARA DISTINTOS SECTORES DE LA COMUNA DE VIÑA DEL MAR </v>
      </c>
      <c r="D165" s="16" t="str">
        <f ca="1">IFERROR(__xludf.DUMMYFUNCTION("""COMPUTED_VALUE""")," 1-C-2024-238 ")</f>
        <v xml:space="preserve"> 1-C-2024-238 </v>
      </c>
      <c r="E165" s="16" t="str">
        <f ca="1">IFERROR(__xludf.DUMMYFUNCTION("""COMPUTED_VALUE""")," 100% Girado ")</f>
        <v xml:space="preserve"> 100% Girado </v>
      </c>
      <c r="F165" s="17">
        <f ca="1">IFERROR(__xludf.DUMMYFUNCTION("""COMPUTED_VALUE"""),45331)</f>
        <v>45331</v>
      </c>
      <c r="G165" s="16">
        <f ca="1">IFERROR(__xludf.DUMMYFUNCTION("""COMPUTED_VALUE"""),127678143)</f>
        <v>127678143</v>
      </c>
      <c r="H165" s="16" t="str">
        <f ca="1">IFERROR(__xludf.DUMMYFUNCTION("""COMPUTED_VALUE""")," 100% Girado ")</f>
        <v xml:space="preserve"> 100% Girado </v>
      </c>
      <c r="I165" s="16">
        <f ca="1">IFERROR(__xludf.DUMMYFUNCTION("""COMPUTED_VALUE"""),127678143)</f>
        <v>127678143</v>
      </c>
      <c r="J165" s="83" t="s">
        <v>48</v>
      </c>
      <c r="K165" s="16"/>
      <c r="L165" s="16">
        <f ca="1">IFERROR(__xludf.DUMMYFUNCTION("""COMPUTED_VALUE"""),127678143)</f>
        <v>127678143</v>
      </c>
      <c r="M165" s="16"/>
      <c r="N165" s="21">
        <f ca="1">IFERROR(__xludf.DUMMYFUNCTION("""COMPUTED_VALUE"""),0)</f>
        <v>0</v>
      </c>
      <c r="O165" s="19"/>
      <c r="P165" s="19"/>
      <c r="Q165" s="19"/>
      <c r="R165" s="19"/>
      <c r="S165" s="19"/>
      <c r="T165" s="19"/>
      <c r="U165" s="19"/>
      <c r="V165" s="19"/>
      <c r="W165" s="20">
        <f ca="1">IFERROR(__xludf.DUMMYFUNCTION("""COMPUTED_VALUE"""),127678143)</f>
        <v>127678143</v>
      </c>
      <c r="X165" s="20" t="str">
        <f ca="1">IFERROR(__xludf.DUMMYFUNCTION("""COMPUTED_VALUE""")," MUNICIPALIDAD DE VIÑA DEL MAR ")</f>
        <v xml:space="preserve"> MUNICIPALIDAD DE VIÑA DEL MAR </v>
      </c>
    </row>
    <row r="166" spans="1:24" ht="15.75" customHeight="1" x14ac:dyDescent="0.25">
      <c r="A166" s="16" t="str">
        <f ca="1">IFERROR(__xludf.DUMMYFUNCTION("""COMPUTED_VALUE""")," REGIÓN DE VALPARAÍSO ")</f>
        <v xml:space="preserve"> REGIÓN DE VALPARAÍSO </v>
      </c>
      <c r="B166" s="16" t="str">
        <f t="shared" ca="1" si="0"/>
        <v xml:space="preserve"> VIÑA DEL MAR </v>
      </c>
      <c r="C166" s="16" t="str">
        <f ca="1">IFERROR(__xludf.DUMMYFUNCTION("""COMPUTED_VALUE""")," CATASTROFE – HABILITACION DE ALUMBRADO EN VÍAS DE EVACUACION SECTOR ACHUPALLAS, COMUNA DE VIÑA DEL MAR ")</f>
        <v xml:space="preserve"> CATASTROFE – HABILITACION DE ALUMBRADO EN VÍAS DE EVACUACION SECTOR ACHUPALLAS, COMUNA DE VIÑA DEL MAR </v>
      </c>
      <c r="D166" s="16" t="str">
        <f ca="1">IFERROR(__xludf.DUMMYFUNCTION("""COMPUTED_VALUE""")," 1-C-2024-239 ")</f>
        <v xml:space="preserve"> 1-C-2024-239 </v>
      </c>
      <c r="E166" s="16" t="str">
        <f ca="1">IFERROR(__xludf.DUMMYFUNCTION("""COMPUTED_VALUE""")," 100% Girado ")</f>
        <v xml:space="preserve"> 100% Girado </v>
      </c>
      <c r="F166" s="17">
        <f ca="1">IFERROR(__xludf.DUMMYFUNCTION("""COMPUTED_VALUE"""),45331)</f>
        <v>45331</v>
      </c>
      <c r="G166" s="16">
        <f ca="1">IFERROR(__xludf.DUMMYFUNCTION("""COMPUTED_VALUE"""),161636748)</f>
        <v>161636748</v>
      </c>
      <c r="H166" s="16" t="str">
        <f ca="1">IFERROR(__xludf.DUMMYFUNCTION("""COMPUTED_VALUE""")," 100% Girado ")</f>
        <v xml:space="preserve"> 100% Girado </v>
      </c>
      <c r="I166" s="16">
        <f ca="1">IFERROR(__xludf.DUMMYFUNCTION("""COMPUTED_VALUE"""),161636748)</f>
        <v>161636748</v>
      </c>
      <c r="J166" s="83" t="s">
        <v>48</v>
      </c>
      <c r="K166" s="16"/>
      <c r="L166" s="16">
        <f ca="1">IFERROR(__xludf.DUMMYFUNCTION("""COMPUTED_VALUE"""),161636748)</f>
        <v>161636748</v>
      </c>
      <c r="M166" s="16"/>
      <c r="N166" s="21">
        <f ca="1">IFERROR(__xludf.DUMMYFUNCTION("""COMPUTED_VALUE"""),0)</f>
        <v>0</v>
      </c>
      <c r="O166" s="19"/>
      <c r="P166" s="19"/>
      <c r="Q166" s="19"/>
      <c r="R166" s="19"/>
      <c r="S166" s="19"/>
      <c r="T166" s="19"/>
      <c r="U166" s="19"/>
      <c r="V166" s="19"/>
      <c r="W166" s="20">
        <f ca="1">IFERROR(__xludf.DUMMYFUNCTION("""COMPUTED_VALUE"""),161636748)</f>
        <v>161636748</v>
      </c>
      <c r="X166" s="20" t="str">
        <f ca="1">IFERROR(__xludf.DUMMYFUNCTION("""COMPUTED_VALUE""")," MUNICIPALIDAD DE VIÑA DEL MAR ")</f>
        <v xml:space="preserve"> MUNICIPALIDAD DE VIÑA DEL MAR </v>
      </c>
    </row>
    <row r="167" spans="1:24" ht="15.75" customHeight="1" x14ac:dyDescent="0.25">
      <c r="A167" s="16" t="str">
        <f ca="1">IFERROR(__xludf.DUMMYFUNCTION("""COMPUTED_VALUE""")," REGIÓN DE VALPARAÍSO ")</f>
        <v xml:space="preserve"> REGIÓN DE VALPARAÍSO </v>
      </c>
      <c r="B167" s="16" t="str">
        <f t="shared" ca="1" si="0"/>
        <v xml:space="preserve"> VIÑA DEL MAR </v>
      </c>
      <c r="C167" s="16" t="str">
        <f ca="1">IFERROR(__xludf.DUMMYFUNCTION("""COMPUTED_VALUE""")," CATASTROFE – REPOSICION DE ALUMBRADO EN VÍAS DE EVACUACION SECTOR MIRAFLORES, COMUNA DE VIÑA DEL MAR ")</f>
        <v xml:space="preserve"> CATASTROFE – REPOSICION DE ALUMBRADO EN VÍAS DE EVACUACION SECTOR MIRAFLORES, COMUNA DE VIÑA DEL MAR </v>
      </c>
      <c r="D167" s="16" t="str">
        <f ca="1">IFERROR(__xludf.DUMMYFUNCTION("""COMPUTED_VALUE""")," 1-C-2024-240 ")</f>
        <v xml:space="preserve"> 1-C-2024-240 </v>
      </c>
      <c r="E167" s="16" t="str">
        <f ca="1">IFERROR(__xludf.DUMMYFUNCTION("""COMPUTED_VALUE""")," 100% Girado ")</f>
        <v xml:space="preserve"> 100% Girado </v>
      </c>
      <c r="F167" s="17">
        <f ca="1">IFERROR(__xludf.DUMMYFUNCTION("""COMPUTED_VALUE"""),45331)</f>
        <v>45331</v>
      </c>
      <c r="G167" s="16">
        <f ca="1">IFERROR(__xludf.DUMMYFUNCTION("""COMPUTED_VALUE"""),21046935)</f>
        <v>21046935</v>
      </c>
      <c r="H167" s="16" t="str">
        <f ca="1">IFERROR(__xludf.DUMMYFUNCTION("""COMPUTED_VALUE""")," 100% Girado ")</f>
        <v xml:space="preserve"> 100% Girado </v>
      </c>
      <c r="I167" s="16">
        <f ca="1">IFERROR(__xludf.DUMMYFUNCTION("""COMPUTED_VALUE"""),21046935)</f>
        <v>21046935</v>
      </c>
      <c r="J167" s="83" t="s">
        <v>48</v>
      </c>
      <c r="K167" s="16"/>
      <c r="L167" s="16">
        <f ca="1">IFERROR(__xludf.DUMMYFUNCTION("""COMPUTED_VALUE"""),21046935)</f>
        <v>21046935</v>
      </c>
      <c r="M167" s="16"/>
      <c r="N167" s="21">
        <f ca="1">IFERROR(__xludf.DUMMYFUNCTION("""COMPUTED_VALUE"""),0)</f>
        <v>0</v>
      </c>
      <c r="O167" s="19"/>
      <c r="P167" s="19"/>
      <c r="Q167" s="19"/>
      <c r="R167" s="19"/>
      <c r="S167" s="19"/>
      <c r="T167" s="19"/>
      <c r="U167" s="19"/>
      <c r="V167" s="19"/>
      <c r="W167" s="20">
        <f ca="1">IFERROR(__xludf.DUMMYFUNCTION("""COMPUTED_VALUE"""),21046935)</f>
        <v>21046935</v>
      </c>
      <c r="X167" s="20" t="str">
        <f ca="1">IFERROR(__xludf.DUMMYFUNCTION("""COMPUTED_VALUE""")," MUNICIPALIDAD DE VIÑA DEL MAR ")</f>
        <v xml:space="preserve"> MUNICIPALIDAD DE VIÑA DEL MAR </v>
      </c>
    </row>
    <row r="168" spans="1:24" ht="15.75" customHeight="1" x14ac:dyDescent="0.25">
      <c r="A168" s="16" t="str">
        <f ca="1">IFERROR(__xludf.DUMMYFUNCTION("""COMPUTED_VALUE""")," REGIÓN DE VALPARAÍSO ")</f>
        <v xml:space="preserve"> REGIÓN DE VALPARAÍSO </v>
      </c>
      <c r="B168" s="16" t="str">
        <f t="shared" ca="1" si="0"/>
        <v xml:space="preserve"> QUILPUÉ </v>
      </c>
      <c r="C168" s="16" t="str">
        <f ca="1">IFERROR(__xludf.DUMMYFUNCTION("""COMPUTED_VALUE""")," CATASTROFE - HABILITACIÓN DE ALUMBRADO EN VÍAS DE EVACUACIÓN, VARIOS SECTORES, COMUNA DE QUILPUÉ ")</f>
        <v xml:space="preserve"> CATASTROFE - HABILITACIÓN DE ALUMBRADO EN VÍAS DE EVACUACIÓN, VARIOS SECTORES, COMUNA DE QUILPUÉ </v>
      </c>
      <c r="D168" s="16" t="str">
        <f ca="1">IFERROR(__xludf.DUMMYFUNCTION("""COMPUTED_VALUE""")," 1-C-2024-242 ")</f>
        <v xml:space="preserve"> 1-C-2024-242 </v>
      </c>
      <c r="E168" s="16" t="str">
        <f ca="1">IFERROR(__xludf.DUMMYFUNCTION("""COMPUTED_VALUE""")," 100% Girado ")</f>
        <v xml:space="preserve"> 100% Girado </v>
      </c>
      <c r="F168" s="17">
        <f ca="1">IFERROR(__xludf.DUMMYFUNCTION("""COMPUTED_VALUE"""),45332)</f>
        <v>45332</v>
      </c>
      <c r="G168" s="16">
        <f ca="1">IFERROR(__xludf.DUMMYFUNCTION("""COMPUTED_VALUE"""),147602989)</f>
        <v>147602989</v>
      </c>
      <c r="H168" s="16" t="str">
        <f ca="1">IFERROR(__xludf.DUMMYFUNCTION("""COMPUTED_VALUE""")," 100% Girado ")</f>
        <v xml:space="preserve"> 100% Girado </v>
      </c>
      <c r="I168" s="16">
        <f ca="1">IFERROR(__xludf.DUMMYFUNCTION("""COMPUTED_VALUE"""),147602989)</f>
        <v>147602989</v>
      </c>
      <c r="J168" s="83" t="s">
        <v>48</v>
      </c>
      <c r="K168" s="16"/>
      <c r="L168" s="16">
        <f ca="1">IFERROR(__xludf.DUMMYFUNCTION("""COMPUTED_VALUE"""),147602989)</f>
        <v>147602989</v>
      </c>
      <c r="M168" s="16"/>
      <c r="N168" s="21">
        <f ca="1">IFERROR(__xludf.DUMMYFUNCTION("""COMPUTED_VALUE"""),0)</f>
        <v>0</v>
      </c>
      <c r="O168" s="19"/>
      <c r="P168" s="19"/>
      <c r="Q168" s="19"/>
      <c r="R168" s="19"/>
      <c r="S168" s="19"/>
      <c r="T168" s="19"/>
      <c r="U168" s="19"/>
      <c r="V168" s="19"/>
      <c r="W168" s="20">
        <f ca="1">IFERROR(__xludf.DUMMYFUNCTION("""COMPUTED_VALUE"""),147602989)</f>
        <v>147602989</v>
      </c>
      <c r="X168" s="20" t="str">
        <f ca="1">IFERROR(__xludf.DUMMYFUNCTION("""COMPUTED_VALUE""")," MUNICIPALIDAD DE QUILPUÉ ")</f>
        <v xml:space="preserve"> MUNICIPALIDAD DE QUILPUÉ </v>
      </c>
    </row>
    <row r="169" spans="1:24" ht="15.75" customHeight="1" x14ac:dyDescent="0.25">
      <c r="A169" s="16" t="str">
        <f ca="1">IFERROR(__xludf.DUMMYFUNCTION("""COMPUTED_VALUE""")," REGIÓN DE VALPARAÍSO ")</f>
        <v xml:space="preserve"> REGIÓN DE VALPARAÍSO </v>
      </c>
      <c r="B169" s="16" t="str">
        <f t="shared" ca="1" si="0"/>
        <v xml:space="preserve"> QUILPUÉ </v>
      </c>
      <c r="C169" s="16" t="str">
        <f ca="1">IFERROR(__xludf.DUMMYFUNCTION("""COMPUTED_VALUE""")," CATASTROFE- HABILITACION DE SERVICIOS BASICOS DE EMERGENCIA CANAL CHACAO Y POMPEYA, COMUNA QUILPUE ")</f>
        <v xml:space="preserve"> CATASTROFE- HABILITACION DE SERVICIOS BASICOS DE EMERGENCIA CANAL CHACAO Y POMPEYA, COMUNA QUILPUE </v>
      </c>
      <c r="D169" s="16" t="str">
        <f ca="1">IFERROR(__xludf.DUMMYFUNCTION("""COMPUTED_VALUE""")," 1-C-2024-257 ")</f>
        <v xml:space="preserve"> 1-C-2024-257 </v>
      </c>
      <c r="E169" s="16" t="str">
        <f ca="1">IFERROR(__xludf.DUMMYFUNCTION("""COMPUTED_VALUE""")," 100% Girado ")</f>
        <v xml:space="preserve"> 100% Girado </v>
      </c>
      <c r="F169" s="17">
        <f ca="1">IFERROR(__xludf.DUMMYFUNCTION("""COMPUTED_VALUE"""),45331)</f>
        <v>45331</v>
      </c>
      <c r="G169" s="16">
        <f ca="1">IFERROR(__xludf.DUMMYFUNCTION("""COMPUTED_VALUE"""),125976375)</f>
        <v>125976375</v>
      </c>
      <c r="H169" s="16" t="str">
        <f ca="1">IFERROR(__xludf.DUMMYFUNCTION("""COMPUTED_VALUE""")," 100% Girado ")</f>
        <v xml:space="preserve"> 100% Girado </v>
      </c>
      <c r="I169" s="16">
        <f ca="1">IFERROR(__xludf.DUMMYFUNCTION("""COMPUTED_VALUE"""),125976375)</f>
        <v>125976375</v>
      </c>
      <c r="J169" s="83" t="s">
        <v>48</v>
      </c>
      <c r="K169" s="16"/>
      <c r="L169" s="16">
        <f ca="1">IFERROR(__xludf.DUMMYFUNCTION("""COMPUTED_VALUE"""),125976375)</f>
        <v>125976375</v>
      </c>
      <c r="M169" s="16"/>
      <c r="N169" s="21">
        <f ca="1">IFERROR(__xludf.DUMMYFUNCTION("""COMPUTED_VALUE"""),0)</f>
        <v>0</v>
      </c>
      <c r="O169" s="19"/>
      <c r="P169" s="19"/>
      <c r="Q169" s="19"/>
      <c r="R169" s="19"/>
      <c r="S169" s="19"/>
      <c r="T169" s="19"/>
      <c r="U169" s="19"/>
      <c r="V169" s="19"/>
      <c r="W169" s="20">
        <f ca="1">IFERROR(__xludf.DUMMYFUNCTION("""COMPUTED_VALUE"""),125976375)</f>
        <v>125976375</v>
      </c>
      <c r="X169" s="20" t="str">
        <f ca="1">IFERROR(__xludf.DUMMYFUNCTION("""COMPUTED_VALUE""")," MUNICIPALIDAD DE QUILPUÉ ")</f>
        <v xml:space="preserve"> MUNICIPALIDAD DE QUILPUÉ </v>
      </c>
    </row>
    <row r="170" spans="1:24" ht="15.75" customHeight="1" x14ac:dyDescent="0.25">
      <c r="A170" s="16" t="str">
        <f ca="1">IFERROR(__xludf.DUMMYFUNCTION("""COMPUTED_VALUE""")," REGIÓN DE VALPARAÍSO ")</f>
        <v xml:space="preserve"> REGIÓN DE VALPARAÍSO </v>
      </c>
      <c r="B170" s="16" t="str">
        <f t="shared" ca="1" si="0"/>
        <v xml:space="preserve"> QUILPUÉ </v>
      </c>
      <c r="C170" s="16" t="str">
        <f ca="1">IFERROR(__xludf.DUMMYFUNCTION("""COMPUTED_VALUE""")," CATASTROFE – HABILITACION DE SERVICIOS BASICOS DE EMERGENCIA POBLACIÓN ARGENTINA, COMUNA QUILPUE ")</f>
        <v xml:space="preserve"> CATASTROFE – HABILITACION DE SERVICIOS BASICOS DE EMERGENCIA POBLACIÓN ARGENTINA, COMUNA QUILPUE </v>
      </c>
      <c r="D170" s="16" t="str">
        <f ca="1">IFERROR(__xludf.DUMMYFUNCTION("""COMPUTED_VALUE""")," 1-C-2024-259 ")</f>
        <v xml:space="preserve"> 1-C-2024-259 </v>
      </c>
      <c r="E170" s="16" t="str">
        <f ca="1">IFERROR(__xludf.DUMMYFUNCTION("""COMPUTED_VALUE""")," 100% Girado ")</f>
        <v xml:space="preserve"> 100% Girado </v>
      </c>
      <c r="F170" s="17">
        <f ca="1">IFERROR(__xludf.DUMMYFUNCTION("""COMPUTED_VALUE"""),45331)</f>
        <v>45331</v>
      </c>
      <c r="G170" s="16">
        <f ca="1">IFERROR(__xludf.DUMMYFUNCTION("""COMPUTED_VALUE"""),64312063)</f>
        <v>64312063</v>
      </c>
      <c r="H170" s="16" t="str">
        <f ca="1">IFERROR(__xludf.DUMMYFUNCTION("""COMPUTED_VALUE""")," 100% Girado ")</f>
        <v xml:space="preserve"> 100% Girado </v>
      </c>
      <c r="I170" s="16">
        <f ca="1">IFERROR(__xludf.DUMMYFUNCTION("""COMPUTED_VALUE"""),64312063)</f>
        <v>64312063</v>
      </c>
      <c r="J170" s="83" t="s">
        <v>48</v>
      </c>
      <c r="K170" s="16"/>
      <c r="L170" s="16">
        <f ca="1">IFERROR(__xludf.DUMMYFUNCTION("""COMPUTED_VALUE"""),64312063)</f>
        <v>64312063</v>
      </c>
      <c r="M170" s="16"/>
      <c r="N170" s="21">
        <f ca="1">IFERROR(__xludf.DUMMYFUNCTION("""COMPUTED_VALUE"""),0)</f>
        <v>0</v>
      </c>
      <c r="O170" s="19"/>
      <c r="P170" s="19"/>
      <c r="Q170" s="19"/>
      <c r="R170" s="19"/>
      <c r="S170" s="19"/>
      <c r="T170" s="19"/>
      <c r="U170" s="19"/>
      <c r="V170" s="19"/>
      <c r="W170" s="20">
        <f ca="1">IFERROR(__xludf.DUMMYFUNCTION("""COMPUTED_VALUE"""),64312063)</f>
        <v>64312063</v>
      </c>
      <c r="X170" s="20" t="str">
        <f ca="1">IFERROR(__xludf.DUMMYFUNCTION("""COMPUTED_VALUE""")," MUNICIPALIDAD DE QUILPUÉ ")</f>
        <v xml:space="preserve"> MUNICIPALIDAD DE QUILPUÉ </v>
      </c>
    </row>
    <row r="171" spans="1:24" ht="15.75" customHeight="1" x14ac:dyDescent="0.25">
      <c r="A171" s="16" t="str">
        <f ca="1">IFERROR(__xludf.DUMMYFUNCTION("""COMPUTED_VALUE""")," REGIÓN DE VALPARAÍSO ")</f>
        <v xml:space="preserve"> REGIÓN DE VALPARAÍSO </v>
      </c>
      <c r="B171" s="16" t="str">
        <f t="shared" ca="1" si="0"/>
        <v xml:space="preserve"> VIÑA DEL MAR </v>
      </c>
      <c r="C171" s="16" t="str">
        <f ca="1">IFERROR(__xludf.DUMMYFUNCTION("""COMPUTED_VALUE""")," CATÁSTROFE – HABILITACIÓN DE SERVICIOS BÁSICOS DE EMERGENCIA SECTORES EL OLIVAR SUR, MIRAFLORES Y EL SALTO, COMUNA DE VIÑA DEL MAR ")</f>
        <v xml:space="preserve"> CATÁSTROFE – HABILITACIÓN DE SERVICIOS BÁSICOS DE EMERGENCIA SECTORES EL OLIVAR SUR, MIRAFLORES Y EL SALTO, COMUNA DE VIÑA DEL MAR </v>
      </c>
      <c r="D171" s="16" t="str">
        <f ca="1">IFERROR(__xludf.DUMMYFUNCTION("""COMPUTED_VALUE""")," 1-C-2024-267 ")</f>
        <v xml:space="preserve"> 1-C-2024-267 </v>
      </c>
      <c r="E171" s="16" t="str">
        <f ca="1">IFERROR(__xludf.DUMMYFUNCTION("""COMPUTED_VALUE""")," 100% Girado ")</f>
        <v xml:space="preserve"> 100% Girado </v>
      </c>
      <c r="F171" s="17">
        <f ca="1">IFERROR(__xludf.DUMMYFUNCTION("""COMPUTED_VALUE"""),45332)</f>
        <v>45332</v>
      </c>
      <c r="G171" s="16">
        <f ca="1">IFERROR(__xludf.DUMMYFUNCTION("""COMPUTED_VALUE"""),161607355)</f>
        <v>161607355</v>
      </c>
      <c r="H171" s="16" t="str">
        <f ca="1">IFERROR(__xludf.DUMMYFUNCTION("""COMPUTED_VALUE""")," 100% Girado ")</f>
        <v xml:space="preserve"> 100% Girado </v>
      </c>
      <c r="I171" s="16">
        <f ca="1">IFERROR(__xludf.DUMMYFUNCTION("""COMPUTED_VALUE"""),161607355)</f>
        <v>161607355</v>
      </c>
      <c r="J171" s="83" t="s">
        <v>48</v>
      </c>
      <c r="K171" s="16"/>
      <c r="L171" s="16">
        <f ca="1">IFERROR(__xludf.DUMMYFUNCTION("""COMPUTED_VALUE"""),161607355)</f>
        <v>161607355</v>
      </c>
      <c r="M171" s="16"/>
      <c r="N171" s="21">
        <f ca="1">IFERROR(__xludf.DUMMYFUNCTION("""COMPUTED_VALUE"""),0)</f>
        <v>0</v>
      </c>
      <c r="O171" s="19"/>
      <c r="P171" s="19"/>
      <c r="Q171" s="19"/>
      <c r="R171" s="19"/>
      <c r="S171" s="19"/>
      <c r="T171" s="19"/>
      <c r="U171" s="19"/>
      <c r="V171" s="19"/>
      <c r="W171" s="20">
        <f ca="1">IFERROR(__xludf.DUMMYFUNCTION("""COMPUTED_VALUE"""),161607355)</f>
        <v>161607355</v>
      </c>
      <c r="X171" s="20" t="str">
        <f ca="1">IFERROR(__xludf.DUMMYFUNCTION("""COMPUTED_VALUE""")," MUNICIPALIDAD DE VIÑA DEL MAR ")</f>
        <v xml:space="preserve"> MUNICIPALIDAD DE VIÑA DEL MAR </v>
      </c>
    </row>
    <row r="172" spans="1:24" ht="15.75" customHeight="1" x14ac:dyDescent="0.25">
      <c r="A172" s="16" t="str">
        <f ca="1">IFERROR(__xludf.DUMMYFUNCTION("""COMPUTED_VALUE""")," REGIÓN DE VALPARAÍSO ")</f>
        <v xml:space="preserve"> REGIÓN DE VALPARAÍSO </v>
      </c>
      <c r="B172" s="16" t="str">
        <f t="shared" ca="1" si="0"/>
        <v xml:space="preserve"> VIÑA DEL MAR </v>
      </c>
      <c r="C172" s="16" t="str">
        <f ca="1">IFERROR(__xludf.DUMMYFUNCTION("""COMPUTED_VALUE""")," CATÁSTROFE – HABILITACIÓN DE SERVICIOS BÁSICOS DE EMERGENCIA SECTORES EL OLIVAR NORTE Y ACHUPALLAS, COMUNA DE VIÑA DEL MAR ")</f>
        <v xml:space="preserve"> CATÁSTROFE – HABILITACIÓN DE SERVICIOS BÁSICOS DE EMERGENCIA SECTORES EL OLIVAR NORTE Y ACHUPALLAS, COMUNA DE VIÑA DEL MAR </v>
      </c>
      <c r="D172" s="16" t="str">
        <f ca="1">IFERROR(__xludf.DUMMYFUNCTION("""COMPUTED_VALUE""")," 1-C-2024-270 ")</f>
        <v xml:space="preserve"> 1-C-2024-270 </v>
      </c>
      <c r="E172" s="16" t="str">
        <f ca="1">IFERROR(__xludf.DUMMYFUNCTION("""COMPUTED_VALUE""")," 100% Girado ")</f>
        <v xml:space="preserve"> 100% Girado </v>
      </c>
      <c r="F172" s="17">
        <f ca="1">IFERROR(__xludf.DUMMYFUNCTION("""COMPUTED_VALUE"""),45332)</f>
        <v>45332</v>
      </c>
      <c r="G172" s="16">
        <f ca="1">IFERROR(__xludf.DUMMYFUNCTION("""COMPUTED_VALUE"""),161607355)</f>
        <v>161607355</v>
      </c>
      <c r="H172" s="16" t="str">
        <f ca="1">IFERROR(__xludf.DUMMYFUNCTION("""COMPUTED_VALUE""")," 100% Girado ")</f>
        <v xml:space="preserve"> 100% Girado </v>
      </c>
      <c r="I172" s="16">
        <f ca="1">IFERROR(__xludf.DUMMYFUNCTION("""COMPUTED_VALUE"""),161607355)</f>
        <v>161607355</v>
      </c>
      <c r="J172" s="83" t="s">
        <v>48</v>
      </c>
      <c r="K172" s="16"/>
      <c r="L172" s="16">
        <f ca="1">IFERROR(__xludf.DUMMYFUNCTION("""COMPUTED_VALUE"""),161607355)</f>
        <v>161607355</v>
      </c>
      <c r="M172" s="16"/>
      <c r="N172" s="21">
        <f ca="1">IFERROR(__xludf.DUMMYFUNCTION("""COMPUTED_VALUE"""),0)</f>
        <v>0</v>
      </c>
      <c r="O172" s="19"/>
      <c r="P172" s="19"/>
      <c r="Q172" s="19"/>
      <c r="R172" s="19"/>
      <c r="S172" s="19"/>
      <c r="T172" s="19"/>
      <c r="U172" s="19"/>
      <c r="V172" s="19"/>
      <c r="W172" s="20">
        <f ca="1">IFERROR(__xludf.DUMMYFUNCTION("""COMPUTED_VALUE"""),161607355)</f>
        <v>161607355</v>
      </c>
      <c r="X172" s="20" t="str">
        <f ca="1">IFERROR(__xludf.DUMMYFUNCTION("""COMPUTED_VALUE""")," MUNICIPALIDAD DE VIÑA DEL MAR ")</f>
        <v xml:space="preserve"> MUNICIPALIDAD DE VIÑA DEL MAR </v>
      </c>
    </row>
    <row r="173" spans="1:24" ht="15.75" customHeight="1" x14ac:dyDescent="0.25">
      <c r="A173" s="16" t="str">
        <f ca="1">IFERROR(__xludf.DUMMYFUNCTION("""COMPUTED_VALUE""")," REGIÓN DE VALPARAÍSO ")</f>
        <v xml:space="preserve"> REGIÓN DE VALPARAÍSO </v>
      </c>
      <c r="B173" s="16" t="str">
        <f t="shared" ca="1" si="0"/>
        <v xml:space="preserve"> VIÑA DEL MAR </v>
      </c>
      <c r="C173" s="16" t="str">
        <f ca="1">IFERROR(__xludf.DUMMYFUNCTION("""COMPUTED_VALUE""")," CATÁSTROFE - HABILITACIÓN DE ESTANQUES DE AGUA POTABLE COMUNITARIOS, SECTORES EL OLIVAR- EL SALTO- LIMONARES- VILLA HERMOSA DE LA COMUNA DE VIÑA DEL M ")</f>
        <v xml:space="preserve"> CATÁSTROFE - HABILITACIÓN DE ESTANQUES DE AGUA POTABLE COMUNITARIOS, SECTORES EL OLIVAR- EL SALTO- LIMONARES- VILLA HERMOSA DE LA COMUNA DE VIÑA DEL M </v>
      </c>
      <c r="D173" s="16" t="str">
        <f ca="1">IFERROR(__xludf.DUMMYFUNCTION("""COMPUTED_VALUE""")," 1-C-2024-271 ")</f>
        <v xml:space="preserve"> 1-C-2024-271 </v>
      </c>
      <c r="E173" s="16" t="str">
        <f ca="1">IFERROR(__xludf.DUMMYFUNCTION("""COMPUTED_VALUE""")," 100% Girado ")</f>
        <v xml:space="preserve"> 100% Girado </v>
      </c>
      <c r="F173" s="17">
        <f ca="1">IFERROR(__xludf.DUMMYFUNCTION("""COMPUTED_VALUE"""),45332)</f>
        <v>45332</v>
      </c>
      <c r="G173" s="16">
        <f ca="1">IFERROR(__xludf.DUMMYFUNCTION("""COMPUTED_VALUE"""),50963378)</f>
        <v>50963378</v>
      </c>
      <c r="H173" s="16" t="str">
        <f ca="1">IFERROR(__xludf.DUMMYFUNCTION("""COMPUTED_VALUE""")," 100% Girado ")</f>
        <v xml:space="preserve"> 100% Girado </v>
      </c>
      <c r="I173" s="16">
        <f ca="1">IFERROR(__xludf.DUMMYFUNCTION("""COMPUTED_VALUE"""),50963378)</f>
        <v>50963378</v>
      </c>
      <c r="J173" s="83" t="s">
        <v>48</v>
      </c>
      <c r="K173" s="16"/>
      <c r="L173" s="16">
        <f ca="1">IFERROR(__xludf.DUMMYFUNCTION("""COMPUTED_VALUE"""),50963378)</f>
        <v>50963378</v>
      </c>
      <c r="M173" s="16"/>
      <c r="N173" s="21">
        <f ca="1">IFERROR(__xludf.DUMMYFUNCTION("""COMPUTED_VALUE"""),0)</f>
        <v>0</v>
      </c>
      <c r="O173" s="19"/>
      <c r="P173" s="19"/>
      <c r="Q173" s="19"/>
      <c r="R173" s="19"/>
      <c r="S173" s="19"/>
      <c r="T173" s="19"/>
      <c r="U173" s="19"/>
      <c r="V173" s="19"/>
      <c r="W173" s="20">
        <f ca="1">IFERROR(__xludf.DUMMYFUNCTION("""COMPUTED_VALUE"""),50963378)</f>
        <v>50963378</v>
      </c>
      <c r="X173" s="20" t="str">
        <f ca="1">IFERROR(__xludf.DUMMYFUNCTION("""COMPUTED_VALUE""")," MUNICIPALIDAD DE VIÑA DEL MAR ")</f>
        <v xml:space="preserve"> MUNICIPALIDAD DE VIÑA DEL MAR </v>
      </c>
    </row>
    <row r="174" spans="1:24" ht="15.75" customHeight="1" x14ac:dyDescent="0.25">
      <c r="A174" s="16" t="str">
        <f ca="1">IFERROR(__xludf.DUMMYFUNCTION("""COMPUTED_VALUE""")," REGIÓN DEL LIBERTADOR GENERAL BERNARDO O’HIGGINS ")</f>
        <v xml:space="preserve"> REGIÓN DEL LIBERTADOR GENERAL BERNARDO O’HIGGINS </v>
      </c>
      <c r="B174" s="16" t="str">
        <f t="shared" ca="1" si="0"/>
        <v xml:space="preserve"> RANCAGUA </v>
      </c>
      <c r="C174" s="16" t="str">
        <f ca="1">IFERROR(__xludf.DUMMYFUNCTION("""COMPUTED_VALUE""")," CSV CONSTRUCCIÓN ÁREA VERDE MILÁN, POBLACIÓN RECREO 2-A, COMUNA DE RANCAGUA ")</f>
        <v xml:space="preserve"> CSV CONSTRUCCIÓN ÁREA VERDE MILÁN, POBLACIÓN RECREO 2-A, COMUNA DE RANCAGUA </v>
      </c>
      <c r="D174" s="16" t="str">
        <f ca="1">IFERROR(__xludf.DUMMYFUNCTION("""COMPUTED_VALUE""")," 1-C-2023-2799 ")</f>
        <v xml:space="preserve"> 1-C-2023-2799 </v>
      </c>
      <c r="E174" s="16" t="str">
        <f ca="1">IFERROR(__xludf.DUMMYFUNCTION("""COMPUTED_VALUE""")," 100% Girado ")</f>
        <v xml:space="preserve"> 100% Girado </v>
      </c>
      <c r="F174" s="17">
        <f ca="1">IFERROR(__xludf.DUMMYFUNCTION("""COMPUTED_VALUE"""),45320)</f>
        <v>45320</v>
      </c>
      <c r="G174" s="16">
        <f ca="1">IFERROR(__xludf.DUMMYFUNCTION("""COMPUTED_VALUE"""),141791518)</f>
        <v>141791518</v>
      </c>
      <c r="H174" s="16" t="str">
        <f ca="1">IFERROR(__xludf.DUMMYFUNCTION("""COMPUTED_VALUE""")," 100% Girado ")</f>
        <v xml:space="preserve"> 100% Girado </v>
      </c>
      <c r="I174" s="16">
        <f ca="1">IFERROR(__xludf.DUMMYFUNCTION("""COMPUTED_VALUE"""),141791518)</f>
        <v>141791518</v>
      </c>
      <c r="J174" s="83" t="s">
        <v>48</v>
      </c>
      <c r="K174" s="16"/>
      <c r="L174" s="16">
        <f ca="1">IFERROR(__xludf.DUMMYFUNCTION("""COMPUTED_VALUE"""),141791518)</f>
        <v>141791518</v>
      </c>
      <c r="M174" s="16"/>
      <c r="N174" s="21">
        <f ca="1">IFERROR(__xludf.DUMMYFUNCTION("""COMPUTED_VALUE"""),0)</f>
        <v>0</v>
      </c>
      <c r="O174" s="19"/>
      <c r="P174" s="19"/>
      <c r="Q174" s="19"/>
      <c r="R174" s="19"/>
      <c r="S174" s="19"/>
      <c r="T174" s="19"/>
      <c r="U174" s="19"/>
      <c r="V174" s="19"/>
      <c r="W174" s="20">
        <f ca="1">IFERROR(__xludf.DUMMYFUNCTION("""COMPUTED_VALUE"""),141791518)</f>
        <v>141791518</v>
      </c>
      <c r="X174" s="20" t="str">
        <f ca="1">IFERROR(__xludf.DUMMYFUNCTION("""COMPUTED_VALUE""")," MUNICIPALIDAD DE RANCAGUA ")</f>
        <v xml:space="preserve"> MUNICIPALIDAD DE RANCAGUA </v>
      </c>
    </row>
    <row r="175" spans="1:24" ht="15.75" customHeight="1" x14ac:dyDescent="0.25">
      <c r="A175" s="16" t="str">
        <f ca="1">IFERROR(__xludf.DUMMYFUNCTION("""COMPUTED_VALUE""")," REGIÓN DEL MAULE ")</f>
        <v xml:space="preserve"> REGIÓN DEL MAULE </v>
      </c>
      <c r="B175" s="16" t="str">
        <f t="shared" ca="1" si="0"/>
        <v xml:space="preserve"> YERBAS BUENAS </v>
      </c>
      <c r="C175" s="16" t="str">
        <f ca="1">IFERROR(__xludf.DUMMYFUNCTION("""COMPUTED_VALUE""")," [SATE] REPOSICION CIERRES PERIMETRALES Y MEJORAMIENTO CLUB DEPORTIVO ESTRELLA ROJA, COMUNA DE YERBAS BUENAS ")</f>
        <v xml:space="preserve"> [SATE] REPOSICION CIERRES PERIMETRALES Y MEJORAMIENTO CLUB DEPORTIVO ESTRELLA ROJA, COMUNA DE YERBAS BUENAS </v>
      </c>
      <c r="D175" s="16" t="str">
        <f ca="1">IFERROR(__xludf.DUMMYFUNCTION("""COMPUTED_VALUE""")," 1-C-2023-1294 ")</f>
        <v xml:space="preserve"> 1-C-2023-1294 </v>
      </c>
      <c r="E175" s="16" t="str">
        <f ca="1">IFERROR(__xludf.DUMMYFUNCTION("""COMPUTED_VALUE""")," 100% Girado ")</f>
        <v xml:space="preserve"> 100% Girado </v>
      </c>
      <c r="F175" s="17">
        <f ca="1">IFERROR(__xludf.DUMMYFUNCTION("""COMPUTED_VALUE"""),45341)</f>
        <v>45341</v>
      </c>
      <c r="G175" s="16">
        <f ca="1">IFERROR(__xludf.DUMMYFUNCTION("""COMPUTED_VALUE"""),154421094)</f>
        <v>154421094</v>
      </c>
      <c r="H175" s="16" t="str">
        <f ca="1">IFERROR(__xludf.DUMMYFUNCTION("""COMPUTED_VALUE""")," 100% Girado ")</f>
        <v xml:space="preserve"> 100% Girado </v>
      </c>
      <c r="I175" s="16">
        <f ca="1">IFERROR(__xludf.DUMMYFUNCTION("""COMPUTED_VALUE"""),154421094)</f>
        <v>154421094</v>
      </c>
      <c r="J175" s="83" t="s">
        <v>48</v>
      </c>
      <c r="K175" s="16"/>
      <c r="L175" s="16">
        <f ca="1">IFERROR(__xludf.DUMMYFUNCTION("""COMPUTED_VALUE"""),154421094)</f>
        <v>154421094</v>
      </c>
      <c r="M175" s="16"/>
      <c r="N175" s="21">
        <f ca="1">IFERROR(__xludf.DUMMYFUNCTION("""COMPUTED_VALUE"""),0)</f>
        <v>0</v>
      </c>
      <c r="O175" s="19"/>
      <c r="P175" s="19"/>
      <c r="Q175" s="19"/>
      <c r="R175" s="19"/>
      <c r="S175" s="19"/>
      <c r="T175" s="19"/>
      <c r="U175" s="19"/>
      <c r="V175" s="19"/>
      <c r="W175" s="20">
        <f ca="1">IFERROR(__xludf.DUMMYFUNCTION("""COMPUTED_VALUE"""),154421094)</f>
        <v>154421094</v>
      </c>
      <c r="X175" s="20" t="str">
        <f ca="1">IFERROR(__xludf.DUMMYFUNCTION("""COMPUTED_VALUE""")," MUNICIPALIDAD DE YERBAS BUENAS ")</f>
        <v xml:space="preserve"> MUNICIPALIDAD DE YERBAS BUENAS </v>
      </c>
    </row>
    <row r="176" spans="1:24" ht="15.75" customHeight="1" x14ac:dyDescent="0.25">
      <c r="A176" s="16" t="str">
        <f ca="1">IFERROR(__xludf.DUMMYFUNCTION("""COMPUTED_VALUE""")," REGIÓN DEL MAULE ")</f>
        <v xml:space="preserve"> REGIÓN DEL MAULE </v>
      </c>
      <c r="B176" s="16" t="str">
        <f t="shared" ca="1" si="0"/>
        <v xml:space="preserve"> CONSTITUCIÓN </v>
      </c>
      <c r="C176" s="16" t="str">
        <f ca="1">IFERROR(__xludf.DUMMYFUNCTION("""COMPUTED_VALUE""")," ILUMINACIÓN ESPACIO CÍVICO ARTURO PRAT, CONSTITUCIÓN ")</f>
        <v xml:space="preserve"> ILUMINACIÓN ESPACIO CÍVICO ARTURO PRAT, CONSTITUCIÓN </v>
      </c>
      <c r="D176" s="16" t="str">
        <f ca="1">IFERROR(__xludf.DUMMYFUNCTION("""COMPUTED_VALUE""")," 1-C-2023-3343 ")</f>
        <v xml:space="preserve"> 1-C-2023-3343 </v>
      </c>
      <c r="E176" s="16" t="str">
        <f ca="1">IFERROR(__xludf.DUMMYFUNCTION("""COMPUTED_VALUE""")," 100% Girado ")</f>
        <v xml:space="preserve"> 100% Girado </v>
      </c>
      <c r="F176" s="17">
        <f ca="1">IFERROR(__xludf.DUMMYFUNCTION("""COMPUTED_VALUE"""),45331)</f>
        <v>45331</v>
      </c>
      <c r="G176" s="16">
        <f ca="1">IFERROR(__xludf.DUMMYFUNCTION("""COMPUTED_VALUE"""),94294600)</f>
        <v>94294600</v>
      </c>
      <c r="H176" s="16" t="str">
        <f ca="1">IFERROR(__xludf.DUMMYFUNCTION("""COMPUTED_VALUE""")," 100% Girado ")</f>
        <v xml:space="preserve"> 100% Girado </v>
      </c>
      <c r="I176" s="16">
        <f ca="1">IFERROR(__xludf.DUMMYFUNCTION("""COMPUTED_VALUE"""),94294600)</f>
        <v>94294600</v>
      </c>
      <c r="J176" s="83" t="s">
        <v>48</v>
      </c>
      <c r="K176" s="16"/>
      <c r="L176" s="16">
        <f ca="1">IFERROR(__xludf.DUMMYFUNCTION("""COMPUTED_VALUE"""),94294600)</f>
        <v>94294600</v>
      </c>
      <c r="M176" s="16"/>
      <c r="N176" s="21">
        <f ca="1">IFERROR(__xludf.DUMMYFUNCTION("""COMPUTED_VALUE"""),0)</f>
        <v>0</v>
      </c>
      <c r="O176" s="19"/>
      <c r="P176" s="19"/>
      <c r="Q176" s="19"/>
      <c r="R176" s="19"/>
      <c r="S176" s="19"/>
      <c r="T176" s="19"/>
      <c r="U176" s="19"/>
      <c r="V176" s="19"/>
      <c r="W176" s="20">
        <f ca="1">IFERROR(__xludf.DUMMYFUNCTION("""COMPUTED_VALUE"""),94294600)</f>
        <v>94294600</v>
      </c>
      <c r="X176" s="20" t="str">
        <f ca="1">IFERROR(__xludf.DUMMYFUNCTION("""COMPUTED_VALUE""")," MUNICIPALIDAD DE CONSTITUCIÓN ")</f>
        <v xml:space="preserve"> MUNICIPALIDAD DE CONSTITUCIÓN </v>
      </c>
    </row>
    <row r="177" spans="1:24" ht="15.75" customHeight="1" x14ac:dyDescent="0.25">
      <c r="A177" s="16" t="str">
        <f ca="1">IFERROR(__xludf.DUMMYFUNCTION("""COMPUTED_VALUE""")," REGIÓN DEL BIOBÍO ")</f>
        <v xml:space="preserve"> REGIÓN DEL BIOBÍO </v>
      </c>
      <c r="B177" s="16" t="str">
        <f t="shared" ca="1" si="0"/>
        <v xml:space="preserve"> CHIGUAYANTE </v>
      </c>
      <c r="C177" s="16" t="str">
        <f ca="1">IFERROR(__xludf.DUMMYFUNCTION("""COMPUTED_VALUE""")," HABILITACIÓN ECOMERCADO CHIGUAYANTE ")</f>
        <v xml:space="preserve"> HABILITACIÓN ECOMERCADO CHIGUAYANTE </v>
      </c>
      <c r="D177" s="16" t="str">
        <f ca="1">IFERROR(__xludf.DUMMYFUNCTION("""COMPUTED_VALUE""")," 1-C-2023-1950 ")</f>
        <v xml:space="preserve"> 1-C-2023-1950 </v>
      </c>
      <c r="E177" s="16" t="str">
        <f ca="1">IFERROR(__xludf.DUMMYFUNCTION("""COMPUTED_VALUE""")," 100% Girado ")</f>
        <v xml:space="preserve"> 100% Girado </v>
      </c>
      <c r="F177" s="17">
        <f ca="1">IFERROR(__xludf.DUMMYFUNCTION("""COMPUTED_VALUE"""),45331)</f>
        <v>45331</v>
      </c>
      <c r="G177" s="16">
        <f ca="1">IFERROR(__xludf.DUMMYFUNCTION("""COMPUTED_VALUE"""),59091922)</f>
        <v>59091922</v>
      </c>
      <c r="H177" s="16" t="str">
        <f ca="1">IFERROR(__xludf.DUMMYFUNCTION("""COMPUTED_VALUE""")," 100% Girado ")</f>
        <v xml:space="preserve"> 100% Girado </v>
      </c>
      <c r="I177" s="16">
        <f ca="1">IFERROR(__xludf.DUMMYFUNCTION("""COMPUTED_VALUE"""),59091922)</f>
        <v>59091922</v>
      </c>
      <c r="J177" s="83" t="s">
        <v>48</v>
      </c>
      <c r="K177" s="16"/>
      <c r="L177" s="16">
        <f ca="1">IFERROR(__xludf.DUMMYFUNCTION("""COMPUTED_VALUE"""),59091922)</f>
        <v>59091922</v>
      </c>
      <c r="M177" s="16"/>
      <c r="N177" s="21">
        <f ca="1">IFERROR(__xludf.DUMMYFUNCTION("""COMPUTED_VALUE"""),0)</f>
        <v>0</v>
      </c>
      <c r="O177" s="19"/>
      <c r="P177" s="19"/>
      <c r="Q177" s="19"/>
      <c r="R177" s="19"/>
      <c r="S177" s="19"/>
      <c r="T177" s="19"/>
      <c r="U177" s="19"/>
      <c r="V177" s="19"/>
      <c r="W177" s="20">
        <f ca="1">IFERROR(__xludf.DUMMYFUNCTION("""COMPUTED_VALUE"""),59091922)</f>
        <v>59091922</v>
      </c>
      <c r="X177" s="20" t="str">
        <f ca="1">IFERROR(__xludf.DUMMYFUNCTION("""COMPUTED_VALUE""")," MUNICIPALIDAD DE CHIGUAYANTE ")</f>
        <v xml:space="preserve"> MUNICIPALIDAD DE CHIGUAYANTE </v>
      </c>
    </row>
    <row r="178" spans="1:24" ht="15.75" customHeight="1" x14ac:dyDescent="0.25">
      <c r="A178" s="16" t="str">
        <f ca="1">IFERROR(__xludf.DUMMYFUNCTION("""COMPUTED_VALUE""")," REGIÓN DEL BIOBÍO ")</f>
        <v xml:space="preserve"> REGIÓN DEL BIOBÍO </v>
      </c>
      <c r="B178" s="16" t="str">
        <f t="shared" ca="1" si="0"/>
        <v xml:space="preserve"> LOS ÁNGELES </v>
      </c>
      <c r="C178" s="16" t="str">
        <f ca="1">IFERROR(__xludf.DUMMYFUNCTION("""COMPUTED_VALUE""")," MEJORAMIENTO PLAZA COSTANERA PAILLIHUE SUR, LOS ÁNGELES ")</f>
        <v xml:space="preserve"> MEJORAMIENTO PLAZA COSTANERA PAILLIHUE SUR, LOS ÁNGELES </v>
      </c>
      <c r="D178" s="16" t="str">
        <f ca="1">IFERROR(__xludf.DUMMYFUNCTION("""COMPUTED_VALUE""")," 1-C-2023-2301 ")</f>
        <v xml:space="preserve"> 1-C-2023-2301 </v>
      </c>
      <c r="E178" s="16" t="str">
        <f ca="1">IFERROR(__xludf.DUMMYFUNCTION("""COMPUTED_VALUE""")," 100% Girado ")</f>
        <v xml:space="preserve"> 100% Girado </v>
      </c>
      <c r="F178" s="17">
        <f ca="1">IFERROR(__xludf.DUMMYFUNCTION("""COMPUTED_VALUE"""),45315)</f>
        <v>45315</v>
      </c>
      <c r="G178" s="16">
        <f ca="1">IFERROR(__xludf.DUMMYFUNCTION("""COMPUTED_VALUE"""),147916305)</f>
        <v>147916305</v>
      </c>
      <c r="H178" s="16" t="str">
        <f ca="1">IFERROR(__xludf.DUMMYFUNCTION("""COMPUTED_VALUE""")," 100% Girado ")</f>
        <v xml:space="preserve"> 100% Girado </v>
      </c>
      <c r="I178" s="16">
        <f ca="1">IFERROR(__xludf.DUMMYFUNCTION("""COMPUTED_VALUE"""),147916305)</f>
        <v>147916305</v>
      </c>
      <c r="J178" s="83" t="s">
        <v>48</v>
      </c>
      <c r="K178" s="16"/>
      <c r="L178" s="16">
        <f ca="1">IFERROR(__xludf.DUMMYFUNCTION("""COMPUTED_VALUE"""),147916305)</f>
        <v>147916305</v>
      </c>
      <c r="M178" s="16"/>
      <c r="N178" s="21">
        <f ca="1">IFERROR(__xludf.DUMMYFUNCTION("""COMPUTED_VALUE"""),0)</f>
        <v>0</v>
      </c>
      <c r="O178" s="19"/>
      <c r="P178" s="19"/>
      <c r="Q178" s="19"/>
      <c r="R178" s="19"/>
      <c r="S178" s="19"/>
      <c r="T178" s="19"/>
      <c r="U178" s="19"/>
      <c r="V178" s="19"/>
      <c r="W178" s="20">
        <f ca="1">IFERROR(__xludf.DUMMYFUNCTION("""COMPUTED_VALUE"""),147916305)</f>
        <v>147916305</v>
      </c>
      <c r="X178" s="20" t="str">
        <f ca="1">IFERROR(__xludf.DUMMYFUNCTION("""COMPUTED_VALUE""")," MUNICIPALIDAD DE LOS ÁNGELES ")</f>
        <v xml:space="preserve"> MUNICIPALIDAD DE LOS ÁNGELES </v>
      </c>
    </row>
    <row r="179" spans="1:24" ht="15.75" customHeight="1" x14ac:dyDescent="0.25">
      <c r="A179" s="16" t="str">
        <f ca="1">IFERROR(__xludf.DUMMYFUNCTION("""COMPUTED_VALUE""")," REGIÓN DEL BIOBÍO ")</f>
        <v xml:space="preserve"> REGIÓN DEL BIOBÍO </v>
      </c>
      <c r="B179" s="16" t="str">
        <f t="shared" ca="1" si="0"/>
        <v xml:space="preserve"> LOS ÁNGELES </v>
      </c>
      <c r="C179" s="16" t="str">
        <f ca="1">IFERROR(__xludf.DUMMYFUNCTION("""COMPUTED_VALUE""")," CONSTRUCCIÓN DE ALUMBRADO PÚBLICO EN ÁREAS VERDES SECTOR SUR DE LA COMUNA DE LOS ÁNGELES ")</f>
        <v xml:space="preserve"> CONSTRUCCIÓN DE ALUMBRADO PÚBLICO EN ÁREAS VERDES SECTOR SUR DE LA COMUNA DE LOS ÁNGELES </v>
      </c>
      <c r="D179" s="16" t="str">
        <f ca="1">IFERROR(__xludf.DUMMYFUNCTION("""COMPUTED_VALUE""")," 1-C-2023-2492 ")</f>
        <v xml:space="preserve"> 1-C-2023-2492 </v>
      </c>
      <c r="E179" s="16" t="str">
        <f ca="1">IFERROR(__xludf.DUMMYFUNCTION("""COMPUTED_VALUE""")," 100% Girado ")</f>
        <v xml:space="preserve"> 100% Girado </v>
      </c>
      <c r="F179" s="17">
        <f ca="1">IFERROR(__xludf.DUMMYFUNCTION("""COMPUTED_VALUE"""),45315)</f>
        <v>45315</v>
      </c>
      <c r="G179" s="16">
        <f ca="1">IFERROR(__xludf.DUMMYFUNCTION("""COMPUTED_VALUE"""),149838305)</f>
        <v>149838305</v>
      </c>
      <c r="H179" s="16" t="str">
        <f ca="1">IFERROR(__xludf.DUMMYFUNCTION("""COMPUTED_VALUE""")," 100% Girado ")</f>
        <v xml:space="preserve"> 100% Girado </v>
      </c>
      <c r="I179" s="16">
        <f ca="1">IFERROR(__xludf.DUMMYFUNCTION("""COMPUTED_VALUE"""),149838305)</f>
        <v>149838305</v>
      </c>
      <c r="J179" s="83" t="s">
        <v>48</v>
      </c>
      <c r="K179" s="16"/>
      <c r="L179" s="16">
        <f ca="1">IFERROR(__xludf.DUMMYFUNCTION("""COMPUTED_VALUE"""),149838305)</f>
        <v>149838305</v>
      </c>
      <c r="M179" s="16"/>
      <c r="N179" s="21">
        <f ca="1">IFERROR(__xludf.DUMMYFUNCTION("""COMPUTED_VALUE"""),0)</f>
        <v>0</v>
      </c>
      <c r="O179" s="19"/>
      <c r="P179" s="19"/>
      <c r="Q179" s="19"/>
      <c r="R179" s="19"/>
      <c r="S179" s="19"/>
      <c r="T179" s="19"/>
      <c r="U179" s="19"/>
      <c r="V179" s="19"/>
      <c r="W179" s="20">
        <f ca="1">IFERROR(__xludf.DUMMYFUNCTION("""COMPUTED_VALUE"""),149838305)</f>
        <v>149838305</v>
      </c>
      <c r="X179" s="20" t="str">
        <f ca="1">IFERROR(__xludf.DUMMYFUNCTION("""COMPUTED_VALUE""")," MUNICIPALIDAD DE LOS ÁNGELES ")</f>
        <v xml:space="preserve"> MUNICIPALIDAD DE LOS ÁNGELES </v>
      </c>
    </row>
    <row r="180" spans="1:24" ht="15.75" customHeight="1" x14ac:dyDescent="0.25">
      <c r="A180" s="16" t="str">
        <f ca="1">IFERROR(__xludf.DUMMYFUNCTION("""COMPUTED_VALUE""")," REGIÓN DEL BIOBÍO ")</f>
        <v xml:space="preserve"> REGIÓN DEL BIOBÍO </v>
      </c>
      <c r="B180" s="16" t="str">
        <f t="shared" ca="1" si="0"/>
        <v xml:space="preserve"> LOS ÁNGELES </v>
      </c>
      <c r="C180" s="16" t="str">
        <f ca="1">IFERROR(__xludf.DUMMYFUNCTION("""COMPUTED_VALUE""")," REPOSICIÓN PLAZA SAN CARLOS DE PURÉN ")</f>
        <v xml:space="preserve"> REPOSICIÓN PLAZA SAN CARLOS DE PURÉN </v>
      </c>
      <c r="D180" s="16" t="str">
        <f ca="1">IFERROR(__xludf.DUMMYFUNCTION("""COMPUTED_VALUE""")," 1-C-2023-2613 ")</f>
        <v xml:space="preserve"> 1-C-2023-2613 </v>
      </c>
      <c r="E180" s="16" t="str">
        <f ca="1">IFERROR(__xludf.DUMMYFUNCTION("""COMPUTED_VALUE""")," 100% Girado ")</f>
        <v xml:space="preserve"> 100% Girado </v>
      </c>
      <c r="F180" s="17">
        <f ca="1">IFERROR(__xludf.DUMMYFUNCTION("""COMPUTED_VALUE"""),45315)</f>
        <v>45315</v>
      </c>
      <c r="G180" s="16">
        <f ca="1">IFERROR(__xludf.DUMMYFUNCTION("""COMPUTED_VALUE"""),99229148)</f>
        <v>99229148</v>
      </c>
      <c r="H180" s="16" t="str">
        <f ca="1">IFERROR(__xludf.DUMMYFUNCTION("""COMPUTED_VALUE""")," 100% Girado ")</f>
        <v xml:space="preserve"> 100% Girado </v>
      </c>
      <c r="I180" s="16">
        <f ca="1">IFERROR(__xludf.DUMMYFUNCTION("""COMPUTED_VALUE"""),99229148)</f>
        <v>99229148</v>
      </c>
      <c r="J180" s="83" t="s">
        <v>48</v>
      </c>
      <c r="K180" s="16"/>
      <c r="L180" s="16">
        <f ca="1">IFERROR(__xludf.DUMMYFUNCTION("""COMPUTED_VALUE"""),99229148)</f>
        <v>99229148</v>
      </c>
      <c r="M180" s="16"/>
      <c r="N180" s="21">
        <f ca="1">IFERROR(__xludf.DUMMYFUNCTION("""COMPUTED_VALUE"""),0)</f>
        <v>0</v>
      </c>
      <c r="O180" s="19"/>
      <c r="P180" s="19"/>
      <c r="Q180" s="19"/>
      <c r="R180" s="19"/>
      <c r="S180" s="19"/>
      <c r="T180" s="19"/>
      <c r="U180" s="19"/>
      <c r="V180" s="19"/>
      <c r="W180" s="20">
        <f ca="1">IFERROR(__xludf.DUMMYFUNCTION("""COMPUTED_VALUE"""),99229148)</f>
        <v>99229148</v>
      </c>
      <c r="X180" s="20" t="str">
        <f ca="1">IFERROR(__xludf.DUMMYFUNCTION("""COMPUTED_VALUE""")," MUNICIPALIDAD DE LOS ÁNGELES ")</f>
        <v xml:space="preserve"> MUNICIPALIDAD DE LOS ÁNGELES </v>
      </c>
    </row>
    <row r="181" spans="1:24" ht="15.75" customHeight="1" x14ac:dyDescent="0.25">
      <c r="A181" s="16" t="str">
        <f ca="1">IFERROR(__xludf.DUMMYFUNCTION("""COMPUTED_VALUE""")," REGIÓN DE LA ARAUCANÍA ")</f>
        <v xml:space="preserve"> REGIÓN DE LA ARAUCANÍA </v>
      </c>
      <c r="B181" s="16" t="str">
        <f t="shared" ca="1" si="0"/>
        <v xml:space="preserve"> VILCÚN </v>
      </c>
      <c r="C181" s="16" t="str">
        <f ca="1">IFERROR(__xludf.DUMMYFUNCTION("""COMPUTED_VALUE""")," CONSTRUCCION SEDE SOCIAL LOS CASTAÑOS II DE CAJÓN, COMUNA DE VILCUN ")</f>
        <v xml:space="preserve"> CONSTRUCCION SEDE SOCIAL LOS CASTAÑOS II DE CAJÓN, COMUNA DE VILCUN </v>
      </c>
      <c r="D181" s="16" t="str">
        <f ca="1">IFERROR(__xludf.DUMMYFUNCTION("""COMPUTED_VALUE""")," 1-C-2020-1189 ")</f>
        <v xml:space="preserve"> 1-C-2020-1189 </v>
      </c>
      <c r="E181" s="16" t="str">
        <f ca="1">IFERROR(__xludf.DUMMYFUNCTION("""COMPUTED_VALUE""")," En Ejecución ")</f>
        <v xml:space="preserve"> En Ejecución </v>
      </c>
      <c r="F181" s="17">
        <f ca="1">IFERROR(__xludf.DUMMYFUNCTION("""COMPUTED_VALUE"""),44440)</f>
        <v>44440</v>
      </c>
      <c r="G181" s="16">
        <f ca="1">IFERROR(__xludf.DUMMYFUNCTION("""COMPUTED_VALUE"""),76765000)</f>
        <v>76765000</v>
      </c>
      <c r="H181" s="16" t="str">
        <f ca="1">IFERROR(__xludf.DUMMYFUNCTION("""COMPUTED_VALUE""")," En Ejecución ")</f>
        <v xml:space="preserve"> En Ejecución </v>
      </c>
      <c r="I181" s="16">
        <f ca="1">IFERROR(__xludf.DUMMYFUNCTION("""COMPUTED_VALUE"""),45389622)</f>
        <v>45389622</v>
      </c>
      <c r="J181" s="83" t="s">
        <v>48</v>
      </c>
      <c r="K181" s="16"/>
      <c r="L181" s="16">
        <f ca="1">IFERROR(__xludf.DUMMYFUNCTION("""COMPUTED_VALUE"""),45389622)</f>
        <v>45389622</v>
      </c>
      <c r="M181" s="16"/>
      <c r="N181" s="21">
        <f ca="1">IFERROR(__xludf.DUMMYFUNCTION("""COMPUTED_VALUE"""),0)</f>
        <v>0</v>
      </c>
      <c r="O181" s="19"/>
      <c r="P181" s="19"/>
      <c r="Q181" s="19"/>
      <c r="R181" s="19"/>
      <c r="S181" s="19"/>
      <c r="T181" s="19"/>
      <c r="U181" s="19"/>
      <c r="V181" s="19"/>
      <c r="W181" s="20">
        <f ca="1">IFERROR(__xludf.DUMMYFUNCTION("""COMPUTED_VALUE"""),45389622)</f>
        <v>45389622</v>
      </c>
      <c r="X181" s="20" t="str">
        <f ca="1">IFERROR(__xludf.DUMMYFUNCTION("""COMPUTED_VALUE""")," MUNICIPALIDAD DE VILCÚN ")</f>
        <v xml:space="preserve"> MUNICIPALIDAD DE VILCÚN </v>
      </c>
    </row>
    <row r="182" spans="1:24" ht="15.75" customHeight="1" x14ac:dyDescent="0.25">
      <c r="A182" s="16" t="str">
        <f ca="1">IFERROR(__xludf.DUMMYFUNCTION("""COMPUTED_VALUE""")," REGIÓN DE LA ARAUCANÍA ")</f>
        <v xml:space="preserve"> REGIÓN DE LA ARAUCANÍA </v>
      </c>
      <c r="B182" s="16" t="str">
        <f t="shared" ca="1" si="0"/>
        <v xml:space="preserve"> TEMUCO </v>
      </c>
      <c r="C182" s="16" t="str">
        <f ca="1">IFERROR(__xludf.DUMMYFUNCTION("""COMPUTED_VALUE""")," MEJORAMIENTO GUARDIA NOCTURNA SÉPTIMA COMPAÑÍA DE BOMBEROS DE TEMUCO ")</f>
        <v xml:space="preserve"> MEJORAMIENTO GUARDIA NOCTURNA SÉPTIMA COMPAÑÍA DE BOMBEROS DE TEMUCO </v>
      </c>
      <c r="D182" s="16" t="str">
        <f ca="1">IFERROR(__xludf.DUMMYFUNCTION("""COMPUTED_VALUE""")," 1-C-2022-1212 ")</f>
        <v xml:space="preserve"> 1-C-2022-1212 </v>
      </c>
      <c r="E182" s="16" t="str">
        <f ca="1">IFERROR(__xludf.DUMMYFUNCTION("""COMPUTED_VALUE""")," 100% Girado ")</f>
        <v xml:space="preserve"> 100% Girado </v>
      </c>
      <c r="F182" s="17">
        <f ca="1">IFERROR(__xludf.DUMMYFUNCTION("""COMPUTED_VALUE"""),45315)</f>
        <v>45315</v>
      </c>
      <c r="G182" s="16">
        <f ca="1">IFERROR(__xludf.DUMMYFUNCTION("""COMPUTED_VALUE"""),127045074)</f>
        <v>127045074</v>
      </c>
      <c r="H182" s="16" t="str">
        <f ca="1">IFERROR(__xludf.DUMMYFUNCTION("""COMPUTED_VALUE""")," 100% Girado ")</f>
        <v xml:space="preserve"> 100% Girado </v>
      </c>
      <c r="I182" s="16">
        <f ca="1">IFERROR(__xludf.DUMMYFUNCTION("""COMPUTED_VALUE"""),127045074)</f>
        <v>127045074</v>
      </c>
      <c r="J182" s="83" t="s">
        <v>48</v>
      </c>
      <c r="K182" s="16"/>
      <c r="L182" s="16">
        <f ca="1">IFERROR(__xludf.DUMMYFUNCTION("""COMPUTED_VALUE"""),127045074)</f>
        <v>127045074</v>
      </c>
      <c r="M182" s="16"/>
      <c r="N182" s="21">
        <f ca="1">IFERROR(__xludf.DUMMYFUNCTION("""COMPUTED_VALUE"""),0)</f>
        <v>0</v>
      </c>
      <c r="O182" s="19"/>
      <c r="P182" s="19"/>
      <c r="Q182" s="19"/>
      <c r="R182" s="19"/>
      <c r="S182" s="19"/>
      <c r="T182" s="19"/>
      <c r="U182" s="19"/>
      <c r="V182" s="19"/>
      <c r="W182" s="20">
        <f ca="1">IFERROR(__xludf.DUMMYFUNCTION("""COMPUTED_VALUE"""),127045074)</f>
        <v>127045074</v>
      </c>
      <c r="X182" s="20" t="str">
        <f ca="1">IFERROR(__xludf.DUMMYFUNCTION("""COMPUTED_VALUE""")," MUNICIPALIDAD DE TEMUCO ")</f>
        <v xml:space="preserve"> MUNICIPALIDAD DE TEMUCO </v>
      </c>
    </row>
    <row r="183" spans="1:24" ht="15.75" customHeight="1" x14ac:dyDescent="0.25">
      <c r="A183" s="16" t="str">
        <f ca="1">IFERROR(__xludf.DUMMYFUNCTION("""COMPUTED_VALUE""")," REGIÓN DE LA ARAUCANÍA ")</f>
        <v xml:space="preserve"> REGIÓN DE LA ARAUCANÍA </v>
      </c>
      <c r="B183" s="16" t="str">
        <f t="shared" ca="1" si="0"/>
        <v xml:space="preserve"> TEMUCO </v>
      </c>
      <c r="C183" s="16" t="str">
        <f ca="1">IFERROR(__xludf.DUMMYFUNCTION("""COMPUTED_VALUE""")," MEJORAMIENTO ÁREA VERDE NUEVA GENERACIÓN, TEMUCO ")</f>
        <v xml:space="preserve"> MEJORAMIENTO ÁREA VERDE NUEVA GENERACIÓN, TEMUCO </v>
      </c>
      <c r="D183" s="16" t="str">
        <f ca="1">IFERROR(__xludf.DUMMYFUNCTION("""COMPUTED_VALUE""")," 1-C-2022-1686 ")</f>
        <v xml:space="preserve"> 1-C-2022-1686 </v>
      </c>
      <c r="E183" s="16" t="str">
        <f ca="1">IFERROR(__xludf.DUMMYFUNCTION("""COMPUTED_VALUE""")," 100% Girado ")</f>
        <v xml:space="preserve"> 100% Girado </v>
      </c>
      <c r="F183" s="17">
        <f ca="1">IFERROR(__xludf.DUMMYFUNCTION("""COMPUTED_VALUE"""),45334)</f>
        <v>45334</v>
      </c>
      <c r="G183" s="16">
        <f ca="1">IFERROR(__xludf.DUMMYFUNCTION("""COMPUTED_VALUE"""),117261195)</f>
        <v>117261195</v>
      </c>
      <c r="H183" s="16" t="str">
        <f ca="1">IFERROR(__xludf.DUMMYFUNCTION("""COMPUTED_VALUE""")," 100% Girado ")</f>
        <v xml:space="preserve"> 100% Girado </v>
      </c>
      <c r="I183" s="16">
        <f ca="1">IFERROR(__xludf.DUMMYFUNCTION("""COMPUTED_VALUE"""),117261195)</f>
        <v>117261195</v>
      </c>
      <c r="J183" s="83" t="s">
        <v>48</v>
      </c>
      <c r="K183" s="16"/>
      <c r="L183" s="16">
        <f ca="1">IFERROR(__xludf.DUMMYFUNCTION("""COMPUTED_VALUE"""),117261195)</f>
        <v>117261195</v>
      </c>
      <c r="M183" s="16"/>
      <c r="N183" s="21">
        <f ca="1">IFERROR(__xludf.DUMMYFUNCTION("""COMPUTED_VALUE"""),0)</f>
        <v>0</v>
      </c>
      <c r="O183" s="19"/>
      <c r="P183" s="19"/>
      <c r="Q183" s="19"/>
      <c r="R183" s="19"/>
      <c r="S183" s="19"/>
      <c r="T183" s="19"/>
      <c r="U183" s="19"/>
      <c r="V183" s="19"/>
      <c r="W183" s="20">
        <f ca="1">IFERROR(__xludf.DUMMYFUNCTION("""COMPUTED_VALUE"""),117261195)</f>
        <v>117261195</v>
      </c>
      <c r="X183" s="20" t="str">
        <f ca="1">IFERROR(__xludf.DUMMYFUNCTION("""COMPUTED_VALUE""")," MUNICIPALIDAD DE TEMUCO ")</f>
        <v xml:space="preserve"> MUNICIPALIDAD DE TEMUCO </v>
      </c>
    </row>
    <row r="184" spans="1:24" ht="15.75" customHeight="1" x14ac:dyDescent="0.25">
      <c r="A184" s="16" t="str">
        <f ca="1">IFERROR(__xludf.DUMMYFUNCTION("""COMPUTED_VALUE""")," REGIÓN DE LA ARAUCANÍA ")</f>
        <v xml:space="preserve"> REGIÓN DE LA ARAUCANÍA </v>
      </c>
      <c r="B184" s="16" t="str">
        <f t="shared" ca="1" si="0"/>
        <v xml:space="preserve"> CURARREHUE </v>
      </c>
      <c r="C184" s="16" t="str">
        <f ca="1">IFERROR(__xludf.DUMMYFUNCTION("""COMPUTED_VALUE""")," [SATE] AMPLIACIÓN CENTRO COMUNITARIO ASOCIACIÓN GREMIAL DE PENSIONADOS Y MONTEPIADOS DE CURARREHUE ")</f>
        <v xml:space="preserve"> [SATE] AMPLIACIÓN CENTRO COMUNITARIO ASOCIACIÓN GREMIAL DE PENSIONADOS Y MONTEPIADOS DE CURARREHUE </v>
      </c>
      <c r="D184" s="16" t="str">
        <f ca="1">IFERROR(__xludf.DUMMYFUNCTION("""COMPUTED_VALUE""")," 1-C-2022-2778 ")</f>
        <v xml:space="preserve"> 1-C-2022-2778 </v>
      </c>
      <c r="E184" s="16" t="str">
        <f ca="1">IFERROR(__xludf.DUMMYFUNCTION("""COMPUTED_VALUE""")," 100% Girado ")</f>
        <v xml:space="preserve"> 100% Girado </v>
      </c>
      <c r="F184" s="17">
        <f ca="1">IFERROR(__xludf.DUMMYFUNCTION("""COMPUTED_VALUE"""),45327)</f>
        <v>45327</v>
      </c>
      <c r="G184" s="16">
        <f ca="1">IFERROR(__xludf.DUMMYFUNCTION("""COMPUTED_VALUE"""),101556562)</f>
        <v>101556562</v>
      </c>
      <c r="H184" s="16" t="str">
        <f ca="1">IFERROR(__xludf.DUMMYFUNCTION("""COMPUTED_VALUE""")," 100% Girado ")</f>
        <v xml:space="preserve"> 100% Girado </v>
      </c>
      <c r="I184" s="16">
        <f ca="1">IFERROR(__xludf.DUMMYFUNCTION("""COMPUTED_VALUE"""),101556562)</f>
        <v>101556562</v>
      </c>
      <c r="J184" s="83" t="s">
        <v>48</v>
      </c>
      <c r="K184" s="16"/>
      <c r="L184" s="16">
        <f ca="1">IFERROR(__xludf.DUMMYFUNCTION("""COMPUTED_VALUE"""),101556562)</f>
        <v>101556562</v>
      </c>
      <c r="M184" s="16"/>
      <c r="N184" s="21">
        <f ca="1">IFERROR(__xludf.DUMMYFUNCTION("""COMPUTED_VALUE"""),0)</f>
        <v>0</v>
      </c>
      <c r="O184" s="19"/>
      <c r="P184" s="19"/>
      <c r="Q184" s="19"/>
      <c r="R184" s="19"/>
      <c r="S184" s="19"/>
      <c r="T184" s="19"/>
      <c r="U184" s="19"/>
      <c r="V184" s="19"/>
      <c r="W184" s="20">
        <f ca="1">IFERROR(__xludf.DUMMYFUNCTION("""COMPUTED_VALUE"""),101556562)</f>
        <v>101556562</v>
      </c>
      <c r="X184" s="20" t="str">
        <f ca="1">IFERROR(__xludf.DUMMYFUNCTION("""COMPUTED_VALUE""")," MUNICIPALIDAD DE CURARREHUE ")</f>
        <v xml:space="preserve"> MUNICIPALIDAD DE CURARREHUE </v>
      </c>
    </row>
    <row r="185" spans="1:24" ht="15.75" customHeight="1" x14ac:dyDescent="0.25">
      <c r="A185" s="16" t="str">
        <f ca="1">IFERROR(__xludf.DUMMYFUNCTION("""COMPUTED_VALUE""")," REGIÓN DE LA ARAUCANÍA ")</f>
        <v xml:space="preserve"> REGIÓN DE LA ARAUCANÍA </v>
      </c>
      <c r="B185" s="16" t="str">
        <f t="shared" ca="1" si="0"/>
        <v xml:space="preserve"> CURARREHUE </v>
      </c>
      <c r="C185" s="16" t="str">
        <f ca="1">IFERROR(__xludf.DUMMYFUNCTION("""COMPUTED_VALUE""")," [SATE] CONSTRUCCIÓN CENTRO COMUNITARIO QUIÑENAHUIN ")</f>
        <v xml:space="preserve"> [SATE] CONSTRUCCIÓN CENTRO COMUNITARIO QUIÑENAHUIN </v>
      </c>
      <c r="D185" s="16" t="str">
        <f ca="1">IFERROR(__xludf.DUMMYFUNCTION("""COMPUTED_VALUE""")," 1-C-2022-2782 ")</f>
        <v xml:space="preserve"> 1-C-2022-2782 </v>
      </c>
      <c r="E185" s="16" t="str">
        <f ca="1">IFERROR(__xludf.DUMMYFUNCTION("""COMPUTED_VALUE""")," 100% Girado ")</f>
        <v xml:space="preserve"> 100% Girado </v>
      </c>
      <c r="F185" s="17">
        <f ca="1">IFERROR(__xludf.DUMMYFUNCTION("""COMPUTED_VALUE"""),45327)</f>
        <v>45327</v>
      </c>
      <c r="G185" s="16">
        <f ca="1">IFERROR(__xludf.DUMMYFUNCTION("""COMPUTED_VALUE"""),107960170)</f>
        <v>107960170</v>
      </c>
      <c r="H185" s="16" t="str">
        <f ca="1">IFERROR(__xludf.DUMMYFUNCTION("""COMPUTED_VALUE""")," 100% Girado ")</f>
        <v xml:space="preserve"> 100% Girado </v>
      </c>
      <c r="I185" s="16">
        <f ca="1">IFERROR(__xludf.DUMMYFUNCTION("""COMPUTED_VALUE"""),107960170)</f>
        <v>107960170</v>
      </c>
      <c r="J185" s="83" t="s">
        <v>48</v>
      </c>
      <c r="K185" s="16"/>
      <c r="L185" s="16">
        <f ca="1">IFERROR(__xludf.DUMMYFUNCTION("""COMPUTED_VALUE"""),107960170)</f>
        <v>107960170</v>
      </c>
      <c r="M185" s="16"/>
      <c r="N185" s="21">
        <f ca="1">IFERROR(__xludf.DUMMYFUNCTION("""COMPUTED_VALUE"""),0)</f>
        <v>0</v>
      </c>
      <c r="O185" s="19"/>
      <c r="P185" s="19"/>
      <c r="Q185" s="19"/>
      <c r="R185" s="19"/>
      <c r="S185" s="19"/>
      <c r="T185" s="19"/>
      <c r="U185" s="19"/>
      <c r="V185" s="19"/>
      <c r="W185" s="20">
        <f ca="1">IFERROR(__xludf.DUMMYFUNCTION("""COMPUTED_VALUE"""),107960170)</f>
        <v>107960170</v>
      </c>
      <c r="X185" s="20" t="str">
        <f ca="1">IFERROR(__xludf.DUMMYFUNCTION("""COMPUTED_VALUE""")," MUNICIPALIDAD DE CURARREHUE ")</f>
        <v xml:space="preserve"> MUNICIPALIDAD DE CURARREHUE </v>
      </c>
    </row>
    <row r="186" spans="1:24" ht="15.75" customHeight="1" x14ac:dyDescent="0.25">
      <c r="A186" s="16" t="str">
        <f ca="1">IFERROR(__xludf.DUMMYFUNCTION("""COMPUTED_VALUE""")," REGIÓN DE LA ARAUCANÍA ")</f>
        <v xml:space="preserve"> REGIÓN DE LA ARAUCANÍA </v>
      </c>
      <c r="B186" s="16" t="str">
        <f t="shared" ca="1" si="0"/>
        <v xml:space="preserve"> LONCOCHE </v>
      </c>
      <c r="C186" s="16" t="str">
        <f ca="1">IFERROR(__xludf.DUMMYFUNCTION("""COMPUTED_VALUE""")," [SATE] MEJORAMIENTO AREA VERDE Y CONSTRUCCION DE CANCHA VILLA LOS HEROES, LONCOCHE ")</f>
        <v xml:space="preserve"> [SATE] MEJORAMIENTO AREA VERDE Y CONSTRUCCION DE CANCHA VILLA LOS HEROES, LONCOCHE </v>
      </c>
      <c r="D186" s="16" t="str">
        <f ca="1">IFERROR(__xludf.DUMMYFUNCTION("""COMPUTED_VALUE""")," 1-C-2023-436 ")</f>
        <v xml:space="preserve"> 1-C-2023-436 </v>
      </c>
      <c r="E186" s="16" t="str">
        <f ca="1">IFERROR(__xludf.DUMMYFUNCTION("""COMPUTED_VALUE""")," 100% Girado ")</f>
        <v xml:space="preserve"> 100% Girado </v>
      </c>
      <c r="F186" s="17">
        <f ca="1">IFERROR(__xludf.DUMMYFUNCTION("""COMPUTED_VALUE"""),45341)</f>
        <v>45341</v>
      </c>
      <c r="G186" s="16">
        <f ca="1">IFERROR(__xludf.DUMMYFUNCTION("""COMPUTED_VALUE"""),154422499)</f>
        <v>154422499</v>
      </c>
      <c r="H186" s="16" t="str">
        <f ca="1">IFERROR(__xludf.DUMMYFUNCTION("""COMPUTED_VALUE""")," 100% Girado ")</f>
        <v xml:space="preserve"> 100% Girado </v>
      </c>
      <c r="I186" s="16">
        <f ca="1">IFERROR(__xludf.DUMMYFUNCTION("""COMPUTED_VALUE"""),154422499)</f>
        <v>154422499</v>
      </c>
      <c r="J186" s="83" t="s">
        <v>48</v>
      </c>
      <c r="K186" s="16"/>
      <c r="L186" s="16">
        <f ca="1">IFERROR(__xludf.DUMMYFUNCTION("""COMPUTED_VALUE"""),154422499)</f>
        <v>154422499</v>
      </c>
      <c r="M186" s="16"/>
      <c r="N186" s="21">
        <f ca="1">IFERROR(__xludf.DUMMYFUNCTION("""COMPUTED_VALUE"""),0)</f>
        <v>0</v>
      </c>
      <c r="O186" s="19"/>
      <c r="P186" s="19"/>
      <c r="Q186" s="19"/>
      <c r="R186" s="19"/>
      <c r="S186" s="19"/>
      <c r="T186" s="19"/>
      <c r="U186" s="19"/>
      <c r="V186" s="19"/>
      <c r="W186" s="20">
        <f ca="1">IFERROR(__xludf.DUMMYFUNCTION("""COMPUTED_VALUE"""),154422499)</f>
        <v>154422499</v>
      </c>
      <c r="X186" s="20" t="str">
        <f ca="1">IFERROR(__xludf.DUMMYFUNCTION("""COMPUTED_VALUE""")," MUNICIPALIDAD DE LONCOCHE ")</f>
        <v xml:space="preserve"> MUNICIPALIDAD DE LONCOCHE </v>
      </c>
    </row>
    <row r="187" spans="1:24" ht="15.75" customHeight="1" x14ac:dyDescent="0.25">
      <c r="A187" s="16" t="str">
        <f ca="1">IFERROR(__xludf.DUMMYFUNCTION("""COMPUTED_VALUE""")," REGIÓN DE LA ARAUCANÍA ")</f>
        <v xml:space="preserve"> REGIÓN DE LA ARAUCANÍA </v>
      </c>
      <c r="B187" s="16" t="str">
        <f t="shared" ca="1" si="0"/>
        <v xml:space="preserve"> TEMUCO </v>
      </c>
      <c r="C187" s="16" t="str">
        <f ca="1">IFERROR(__xludf.DUMMYFUNCTION("""COMPUTED_VALUE""")," MEJORAMIENTO ÁREA VERDE VILLA EL BOSQUE SECTOR LABRANZA, TEMUCO ")</f>
        <v xml:space="preserve"> MEJORAMIENTO ÁREA VERDE VILLA EL BOSQUE SECTOR LABRANZA, TEMUCO </v>
      </c>
      <c r="D187" s="16" t="str">
        <f ca="1">IFERROR(__xludf.DUMMYFUNCTION("""COMPUTED_VALUE""")," 1-C-2023-631 ")</f>
        <v xml:space="preserve"> 1-C-2023-631 </v>
      </c>
      <c r="E187" s="16" t="str">
        <f ca="1">IFERROR(__xludf.DUMMYFUNCTION("""COMPUTED_VALUE""")," 100% Girado ")</f>
        <v xml:space="preserve"> 100% Girado </v>
      </c>
      <c r="F187" s="17">
        <f ca="1">IFERROR(__xludf.DUMMYFUNCTION("""COMPUTED_VALUE"""),45334)</f>
        <v>45334</v>
      </c>
      <c r="G187" s="16">
        <f ca="1">IFERROR(__xludf.DUMMYFUNCTION("""COMPUTED_VALUE"""),137850854)</f>
        <v>137850854</v>
      </c>
      <c r="H187" s="16" t="str">
        <f ca="1">IFERROR(__xludf.DUMMYFUNCTION("""COMPUTED_VALUE""")," 100% Girado ")</f>
        <v xml:space="preserve"> 100% Girado </v>
      </c>
      <c r="I187" s="16">
        <f ca="1">IFERROR(__xludf.DUMMYFUNCTION("""COMPUTED_VALUE"""),137850854)</f>
        <v>137850854</v>
      </c>
      <c r="J187" s="83" t="s">
        <v>48</v>
      </c>
      <c r="K187" s="16"/>
      <c r="L187" s="16">
        <f ca="1">IFERROR(__xludf.DUMMYFUNCTION("""COMPUTED_VALUE"""),137850854)</f>
        <v>137850854</v>
      </c>
      <c r="M187" s="16"/>
      <c r="N187" s="21">
        <f ca="1">IFERROR(__xludf.DUMMYFUNCTION("""COMPUTED_VALUE"""),0)</f>
        <v>0</v>
      </c>
      <c r="O187" s="19"/>
      <c r="P187" s="19"/>
      <c r="Q187" s="19"/>
      <c r="R187" s="19"/>
      <c r="S187" s="19"/>
      <c r="T187" s="19"/>
      <c r="U187" s="19"/>
      <c r="V187" s="19"/>
      <c r="W187" s="20">
        <f ca="1">IFERROR(__xludf.DUMMYFUNCTION("""COMPUTED_VALUE"""),137850854)</f>
        <v>137850854</v>
      </c>
      <c r="X187" s="20" t="str">
        <f ca="1">IFERROR(__xludf.DUMMYFUNCTION("""COMPUTED_VALUE""")," MUNICIPALIDAD DE TEMUCO ")</f>
        <v xml:space="preserve"> MUNICIPALIDAD DE TEMUCO </v>
      </c>
    </row>
    <row r="188" spans="1:24" ht="15.75" customHeight="1" x14ac:dyDescent="0.25">
      <c r="A188" s="16" t="str">
        <f ca="1">IFERROR(__xludf.DUMMYFUNCTION("""COMPUTED_VALUE""")," REGIÓN DE LA ARAUCANÍA ")</f>
        <v xml:space="preserve"> REGIÓN DE LA ARAUCANÍA </v>
      </c>
      <c r="B188" s="16" t="str">
        <f t="shared" ca="1" si="0"/>
        <v xml:space="preserve"> GALVARINO </v>
      </c>
      <c r="C188" s="16" t="str">
        <f ca="1">IFERROR(__xludf.DUMMYFUNCTION("""COMPUTED_VALUE""")," CONSTRUCCIÓN DE ESTACIONAMIENTOS ACCESO ESTADIO MUNICIPAL DE GALVARINO ")</f>
        <v xml:space="preserve"> CONSTRUCCIÓN DE ESTACIONAMIENTOS ACCESO ESTADIO MUNICIPAL DE GALVARINO </v>
      </c>
      <c r="D188" s="16" t="str">
        <f ca="1">IFERROR(__xludf.DUMMYFUNCTION("""COMPUTED_VALUE""")," 1-C-2023-942 ")</f>
        <v xml:space="preserve"> 1-C-2023-942 </v>
      </c>
      <c r="E188" s="16" t="str">
        <f ca="1">IFERROR(__xludf.DUMMYFUNCTION("""COMPUTED_VALUE""")," 100% Girado ")</f>
        <v xml:space="preserve"> 100% Girado </v>
      </c>
      <c r="F188" s="17">
        <f ca="1">IFERROR(__xludf.DUMMYFUNCTION("""COMPUTED_VALUE"""),45327)</f>
        <v>45327</v>
      </c>
      <c r="G188" s="16">
        <f ca="1">IFERROR(__xludf.DUMMYFUNCTION("""COMPUTED_VALUE"""),128887583)</f>
        <v>128887583</v>
      </c>
      <c r="H188" s="16" t="str">
        <f ca="1">IFERROR(__xludf.DUMMYFUNCTION("""COMPUTED_VALUE""")," 100% Girado ")</f>
        <v xml:space="preserve"> 100% Girado </v>
      </c>
      <c r="I188" s="16">
        <f ca="1">IFERROR(__xludf.DUMMYFUNCTION("""COMPUTED_VALUE"""),128887583)</f>
        <v>128887583</v>
      </c>
      <c r="J188" s="83" t="s">
        <v>48</v>
      </c>
      <c r="K188" s="16"/>
      <c r="L188" s="16">
        <f ca="1">IFERROR(__xludf.DUMMYFUNCTION("""COMPUTED_VALUE"""),128887583)</f>
        <v>128887583</v>
      </c>
      <c r="M188" s="16"/>
      <c r="N188" s="21">
        <f ca="1">IFERROR(__xludf.DUMMYFUNCTION("""COMPUTED_VALUE"""),0)</f>
        <v>0</v>
      </c>
      <c r="O188" s="19"/>
      <c r="P188" s="19"/>
      <c r="Q188" s="19"/>
      <c r="R188" s="19"/>
      <c r="S188" s="19"/>
      <c r="T188" s="19"/>
      <c r="U188" s="19"/>
      <c r="V188" s="19"/>
      <c r="W188" s="20">
        <f ca="1">IFERROR(__xludf.DUMMYFUNCTION("""COMPUTED_VALUE"""),128887583)</f>
        <v>128887583</v>
      </c>
      <c r="X188" s="20" t="str">
        <f ca="1">IFERROR(__xludf.DUMMYFUNCTION("""COMPUTED_VALUE""")," MUNICIPALIDAD DE GALVARINO ")</f>
        <v xml:space="preserve"> MUNICIPALIDAD DE GALVARINO </v>
      </c>
    </row>
    <row r="189" spans="1:24" ht="15.75" customHeight="1" x14ac:dyDescent="0.25">
      <c r="A189" s="16" t="str">
        <f ca="1">IFERROR(__xludf.DUMMYFUNCTION("""COMPUTED_VALUE""")," REGIÓN DE LA ARAUCANÍA ")</f>
        <v xml:space="preserve"> REGIÓN DE LA ARAUCANÍA </v>
      </c>
      <c r="B189" s="16" t="str">
        <f t="shared" ca="1" si="0"/>
        <v xml:space="preserve"> VILLARRICA </v>
      </c>
      <c r="C189" s="16" t="str">
        <f ca="1">IFERROR(__xludf.DUMMYFUNCTION("""COMPUTED_VALUE""")," SEMAFORIZACIÓN RUTA S-91 / RUTA S-65 LOCALIDAD DE ÑANCUL, COMUNA DE VILLARRICA ")</f>
        <v xml:space="preserve"> SEMAFORIZACIÓN RUTA S-91 / RUTA S-65 LOCALIDAD DE ÑANCUL, COMUNA DE VILLARRICA </v>
      </c>
      <c r="D189" s="16" t="str">
        <f ca="1">IFERROR(__xludf.DUMMYFUNCTION("""COMPUTED_VALUE""")," 1-C-2023-1884 ")</f>
        <v xml:space="preserve"> 1-C-2023-1884 </v>
      </c>
      <c r="E189" s="16" t="str">
        <f ca="1">IFERROR(__xludf.DUMMYFUNCTION("""COMPUTED_VALUE""")," 100% Girado ")</f>
        <v xml:space="preserve"> 100% Girado </v>
      </c>
      <c r="F189" s="17">
        <f ca="1">IFERROR(__xludf.DUMMYFUNCTION("""COMPUTED_VALUE"""),45341)</f>
        <v>45341</v>
      </c>
      <c r="G189" s="16">
        <f ca="1">IFERROR(__xludf.DUMMYFUNCTION("""COMPUTED_VALUE"""),144973312)</f>
        <v>144973312</v>
      </c>
      <c r="H189" s="16" t="str">
        <f ca="1">IFERROR(__xludf.DUMMYFUNCTION("""COMPUTED_VALUE""")," 100% Girado ")</f>
        <v xml:space="preserve"> 100% Girado </v>
      </c>
      <c r="I189" s="16">
        <f ca="1">IFERROR(__xludf.DUMMYFUNCTION("""COMPUTED_VALUE"""),144973312)</f>
        <v>144973312</v>
      </c>
      <c r="J189" s="83" t="s">
        <v>48</v>
      </c>
      <c r="K189" s="16"/>
      <c r="L189" s="16">
        <f ca="1">IFERROR(__xludf.DUMMYFUNCTION("""COMPUTED_VALUE"""),144973312)</f>
        <v>144973312</v>
      </c>
      <c r="M189" s="16"/>
      <c r="N189" s="21">
        <f ca="1">IFERROR(__xludf.DUMMYFUNCTION("""COMPUTED_VALUE"""),0)</f>
        <v>0</v>
      </c>
      <c r="O189" s="19"/>
      <c r="P189" s="19"/>
      <c r="Q189" s="19"/>
      <c r="R189" s="19"/>
      <c r="S189" s="19"/>
      <c r="T189" s="19"/>
      <c r="U189" s="19"/>
      <c r="V189" s="19"/>
      <c r="W189" s="20">
        <f ca="1">IFERROR(__xludf.DUMMYFUNCTION("""COMPUTED_VALUE"""),144973312)</f>
        <v>144973312</v>
      </c>
      <c r="X189" s="20" t="str">
        <f ca="1">IFERROR(__xludf.DUMMYFUNCTION("""COMPUTED_VALUE""")," MUNICIPALIDAD DE VILLARRICA ")</f>
        <v xml:space="preserve"> MUNICIPALIDAD DE VILLARRICA </v>
      </c>
    </row>
    <row r="190" spans="1:24" ht="15.75" customHeight="1" x14ac:dyDescent="0.25">
      <c r="A190" s="16" t="str">
        <f ca="1">IFERROR(__xludf.DUMMYFUNCTION("""COMPUTED_VALUE""")," REGIÓN DE LA ARAUCANÍA ")</f>
        <v xml:space="preserve"> REGIÓN DE LA ARAUCANÍA </v>
      </c>
      <c r="B190" s="16" t="str">
        <f t="shared" ca="1" si="0"/>
        <v xml:space="preserve"> TEMUCO </v>
      </c>
      <c r="C190" s="16" t="str">
        <f ca="1">IFERROR(__xludf.DUMMYFUNCTION("""COMPUTED_VALUE""")," MEJORAMIENTO DE ILUMINACIÓN DE ÁREA VERDE TEGUALDA MACROSECTOR COSTANERA DEL CAUTÍN, TEMUCO, PLAN CSV ")</f>
        <v xml:space="preserve"> MEJORAMIENTO DE ILUMINACIÓN DE ÁREA VERDE TEGUALDA MACROSECTOR COSTANERA DEL CAUTÍN, TEMUCO, PLAN CSV </v>
      </c>
      <c r="D190" s="16" t="str">
        <f ca="1">IFERROR(__xludf.DUMMYFUNCTION("""COMPUTED_VALUE""")," 1-C-2023-2006 ")</f>
        <v xml:space="preserve"> 1-C-2023-2006 </v>
      </c>
      <c r="E190" s="16" t="str">
        <f ca="1">IFERROR(__xludf.DUMMYFUNCTION("""COMPUTED_VALUE""")," 100% Girado ")</f>
        <v xml:space="preserve"> 100% Girado </v>
      </c>
      <c r="F190" s="17">
        <f ca="1">IFERROR(__xludf.DUMMYFUNCTION("""COMPUTED_VALUE"""),45331)</f>
        <v>45331</v>
      </c>
      <c r="G190" s="16">
        <f ca="1">IFERROR(__xludf.DUMMYFUNCTION("""COMPUTED_VALUE"""),110445444)</f>
        <v>110445444</v>
      </c>
      <c r="H190" s="16" t="str">
        <f ca="1">IFERROR(__xludf.DUMMYFUNCTION("""COMPUTED_VALUE""")," 100% Girado ")</f>
        <v xml:space="preserve"> 100% Girado </v>
      </c>
      <c r="I190" s="16">
        <f ca="1">IFERROR(__xludf.DUMMYFUNCTION("""COMPUTED_VALUE"""),110445444)</f>
        <v>110445444</v>
      </c>
      <c r="J190" s="83" t="s">
        <v>48</v>
      </c>
      <c r="K190" s="16"/>
      <c r="L190" s="16">
        <f ca="1">IFERROR(__xludf.DUMMYFUNCTION("""COMPUTED_VALUE"""),110445444)</f>
        <v>110445444</v>
      </c>
      <c r="M190" s="16"/>
      <c r="N190" s="21">
        <f ca="1">IFERROR(__xludf.DUMMYFUNCTION("""COMPUTED_VALUE"""),0)</f>
        <v>0</v>
      </c>
      <c r="O190" s="19"/>
      <c r="P190" s="19"/>
      <c r="Q190" s="19"/>
      <c r="R190" s="19"/>
      <c r="S190" s="19"/>
      <c r="T190" s="19"/>
      <c r="U190" s="19"/>
      <c r="V190" s="19"/>
      <c r="W190" s="20">
        <f ca="1">IFERROR(__xludf.DUMMYFUNCTION("""COMPUTED_VALUE"""),110445444)</f>
        <v>110445444</v>
      </c>
      <c r="X190" s="20" t="str">
        <f ca="1">IFERROR(__xludf.DUMMYFUNCTION("""COMPUTED_VALUE""")," MUNICIPALIDAD DE TEMUCO ")</f>
        <v xml:space="preserve"> MUNICIPALIDAD DE TEMUCO </v>
      </c>
    </row>
    <row r="191" spans="1:24" ht="15.75" customHeight="1" x14ac:dyDescent="0.25">
      <c r="A191" s="16" t="str">
        <f ca="1">IFERROR(__xludf.DUMMYFUNCTION("""COMPUTED_VALUE""")," REGIÓN DE LA ARAUCANÍA ")</f>
        <v xml:space="preserve"> REGIÓN DE LA ARAUCANÍA </v>
      </c>
      <c r="B191" s="16" t="str">
        <f t="shared" ca="1" si="0"/>
        <v xml:space="preserve"> TEMUCO </v>
      </c>
      <c r="C191" s="16" t="str">
        <f ca="1">IFERROR(__xludf.DUMMYFUNCTION("""COMPUTED_VALUE""")," MEJORAMIENTO DE ILUMINACIÓN DE DIVERSAS ÁREAS VERDES DE TEMUCO EN MACROSECTOR EL CARMEN, COSTANERA DE CAUTIN, CENTRO, AMANECER Y PONIENTE, PLAN CSV ")</f>
        <v xml:space="preserve"> MEJORAMIENTO DE ILUMINACIÓN DE DIVERSAS ÁREAS VERDES DE TEMUCO EN MACROSECTOR EL CARMEN, COSTANERA DE CAUTIN, CENTRO, AMANECER Y PONIENTE, PLAN CSV </v>
      </c>
      <c r="D191" s="16" t="str">
        <f ca="1">IFERROR(__xludf.DUMMYFUNCTION("""COMPUTED_VALUE""")," 1-C-2023-2140 ")</f>
        <v xml:space="preserve"> 1-C-2023-2140 </v>
      </c>
      <c r="E191" s="16" t="str">
        <f ca="1">IFERROR(__xludf.DUMMYFUNCTION("""COMPUTED_VALUE""")," 100% Girado ")</f>
        <v xml:space="preserve"> 100% Girado </v>
      </c>
      <c r="F191" s="17">
        <f ca="1">IFERROR(__xludf.DUMMYFUNCTION("""COMPUTED_VALUE"""),45327)</f>
        <v>45327</v>
      </c>
      <c r="G191" s="16">
        <f ca="1">IFERROR(__xludf.DUMMYFUNCTION("""COMPUTED_VALUE"""),117872701)</f>
        <v>117872701</v>
      </c>
      <c r="H191" s="16" t="str">
        <f ca="1">IFERROR(__xludf.DUMMYFUNCTION("""COMPUTED_VALUE""")," 100% Girado ")</f>
        <v xml:space="preserve"> 100% Girado </v>
      </c>
      <c r="I191" s="16">
        <f ca="1">IFERROR(__xludf.DUMMYFUNCTION("""COMPUTED_VALUE"""),117872701)</f>
        <v>117872701</v>
      </c>
      <c r="J191" s="83" t="s">
        <v>48</v>
      </c>
      <c r="K191" s="16"/>
      <c r="L191" s="16">
        <f ca="1">IFERROR(__xludf.DUMMYFUNCTION("""COMPUTED_VALUE"""),117872701)</f>
        <v>117872701</v>
      </c>
      <c r="M191" s="16"/>
      <c r="N191" s="21">
        <f ca="1">IFERROR(__xludf.DUMMYFUNCTION("""COMPUTED_VALUE"""),0)</f>
        <v>0</v>
      </c>
      <c r="O191" s="19"/>
      <c r="P191" s="19"/>
      <c r="Q191" s="19"/>
      <c r="R191" s="19"/>
      <c r="S191" s="19"/>
      <c r="T191" s="19"/>
      <c r="U191" s="19"/>
      <c r="V191" s="19"/>
      <c r="W191" s="20">
        <f ca="1">IFERROR(__xludf.DUMMYFUNCTION("""COMPUTED_VALUE"""),117872701)</f>
        <v>117872701</v>
      </c>
      <c r="X191" s="20" t="str">
        <f ca="1">IFERROR(__xludf.DUMMYFUNCTION("""COMPUTED_VALUE""")," MUNICIPALIDAD DE TEMUCO ")</f>
        <v xml:space="preserve"> MUNICIPALIDAD DE TEMUCO </v>
      </c>
    </row>
    <row r="192" spans="1:24" ht="15.75" customHeight="1" x14ac:dyDescent="0.25">
      <c r="A192" s="16" t="str">
        <f ca="1">IFERROR(__xludf.DUMMYFUNCTION("""COMPUTED_VALUE""")," REGIÓN DE LA ARAUCANÍA ")</f>
        <v xml:space="preserve"> REGIÓN DE LA ARAUCANÍA </v>
      </c>
      <c r="B192" s="16" t="str">
        <f t="shared" ca="1" si="0"/>
        <v xml:space="preserve"> TEMUCO </v>
      </c>
      <c r="C192" s="16" t="str">
        <f ca="1">IFERROR(__xludf.DUMMYFUNCTION("""COMPUTED_VALUE""")," MEJORAMIENTO DE ILUMINACIÓN DE DIVERSAS ÁREAS VERDES EN MACROSECTOR PUEBLO NUEVO, TEMUCO, PLAN CSV ")</f>
        <v xml:space="preserve"> MEJORAMIENTO DE ILUMINACIÓN DE DIVERSAS ÁREAS VERDES EN MACROSECTOR PUEBLO NUEVO, TEMUCO, PLAN CSV </v>
      </c>
      <c r="D192" s="16" t="str">
        <f ca="1">IFERROR(__xludf.DUMMYFUNCTION("""COMPUTED_VALUE""")," 1-C-2023-2230 ")</f>
        <v xml:space="preserve"> 1-C-2023-2230 </v>
      </c>
      <c r="E192" s="16" t="str">
        <f ca="1">IFERROR(__xludf.DUMMYFUNCTION("""COMPUTED_VALUE""")," 100% Girado ")</f>
        <v xml:space="preserve"> 100% Girado </v>
      </c>
      <c r="F192" s="17">
        <f ca="1">IFERROR(__xludf.DUMMYFUNCTION("""COMPUTED_VALUE"""),45331)</f>
        <v>45331</v>
      </c>
      <c r="G192" s="16">
        <f ca="1">IFERROR(__xludf.DUMMYFUNCTION("""COMPUTED_VALUE"""),79521658)</f>
        <v>79521658</v>
      </c>
      <c r="H192" s="16" t="str">
        <f ca="1">IFERROR(__xludf.DUMMYFUNCTION("""COMPUTED_VALUE""")," 100% Girado ")</f>
        <v xml:space="preserve"> 100% Girado </v>
      </c>
      <c r="I192" s="16">
        <f ca="1">IFERROR(__xludf.DUMMYFUNCTION("""COMPUTED_VALUE"""),79521658)</f>
        <v>79521658</v>
      </c>
      <c r="J192" s="83" t="s">
        <v>48</v>
      </c>
      <c r="K192" s="16"/>
      <c r="L192" s="16">
        <f ca="1">IFERROR(__xludf.DUMMYFUNCTION("""COMPUTED_VALUE"""),79521658)</f>
        <v>79521658</v>
      </c>
      <c r="M192" s="16"/>
      <c r="N192" s="21">
        <f ca="1">IFERROR(__xludf.DUMMYFUNCTION("""COMPUTED_VALUE"""),0)</f>
        <v>0</v>
      </c>
      <c r="O192" s="19"/>
      <c r="P192" s="19"/>
      <c r="Q192" s="19"/>
      <c r="R192" s="19"/>
      <c r="S192" s="19"/>
      <c r="T192" s="19"/>
      <c r="U192" s="19"/>
      <c r="V192" s="19"/>
      <c r="W192" s="20">
        <f ca="1">IFERROR(__xludf.DUMMYFUNCTION("""COMPUTED_VALUE"""),79521658)</f>
        <v>79521658</v>
      </c>
      <c r="X192" s="20" t="str">
        <f ca="1">IFERROR(__xludf.DUMMYFUNCTION("""COMPUTED_VALUE""")," MUNICIPALIDAD DE TEMUCO ")</f>
        <v xml:space="preserve"> MUNICIPALIDAD DE TEMUCO </v>
      </c>
    </row>
    <row r="193" spans="1:24" ht="15.75" customHeight="1" x14ac:dyDescent="0.25">
      <c r="A193" s="16" t="str">
        <f ca="1">IFERROR(__xludf.DUMMYFUNCTION("""COMPUTED_VALUE""")," REGIÓN DE LA ARAUCANÍA ")</f>
        <v xml:space="preserve"> REGIÓN DE LA ARAUCANÍA </v>
      </c>
      <c r="B193" s="16" t="str">
        <f t="shared" ca="1" si="0"/>
        <v xml:space="preserve"> TEMUCO </v>
      </c>
      <c r="C193" s="16" t="str">
        <f ca="1">IFERROR(__xludf.DUMMYFUNCTION("""COMPUTED_VALUE""")," MEJORAMIENTO DE ILUMINACIÓN DE DIVERSAS ÁREAS VERDES EN U.V. BORDE RÍO, CERRO MARIPOSA, AQUELARRE Y ALEMANIA, TEMUCO, PLAN CSV ")</f>
        <v xml:space="preserve"> MEJORAMIENTO DE ILUMINACIÓN DE DIVERSAS ÁREAS VERDES EN U.V. BORDE RÍO, CERRO MARIPOSA, AQUELARRE Y ALEMANIA, TEMUCO, PLAN CSV </v>
      </c>
      <c r="D193" s="16" t="str">
        <f ca="1">IFERROR(__xludf.DUMMYFUNCTION("""COMPUTED_VALUE""")," 1-C-2023-2241 ")</f>
        <v xml:space="preserve"> 1-C-2023-2241 </v>
      </c>
      <c r="E193" s="16" t="str">
        <f ca="1">IFERROR(__xludf.DUMMYFUNCTION("""COMPUTED_VALUE""")," 100% Girado ")</f>
        <v xml:space="preserve"> 100% Girado </v>
      </c>
      <c r="F193" s="17">
        <f ca="1">IFERROR(__xludf.DUMMYFUNCTION("""COMPUTED_VALUE"""),45331)</f>
        <v>45331</v>
      </c>
      <c r="G193" s="16">
        <f ca="1">IFERROR(__xludf.DUMMYFUNCTION("""COMPUTED_VALUE"""),71463998)</f>
        <v>71463998</v>
      </c>
      <c r="H193" s="16" t="str">
        <f ca="1">IFERROR(__xludf.DUMMYFUNCTION("""COMPUTED_VALUE""")," 100% Girado ")</f>
        <v xml:space="preserve"> 100% Girado </v>
      </c>
      <c r="I193" s="16">
        <f ca="1">IFERROR(__xludf.DUMMYFUNCTION("""COMPUTED_VALUE"""),71463998)</f>
        <v>71463998</v>
      </c>
      <c r="J193" s="83" t="s">
        <v>48</v>
      </c>
      <c r="K193" s="16"/>
      <c r="L193" s="16">
        <f ca="1">IFERROR(__xludf.DUMMYFUNCTION("""COMPUTED_VALUE"""),71463998)</f>
        <v>71463998</v>
      </c>
      <c r="M193" s="16"/>
      <c r="N193" s="21">
        <f ca="1">IFERROR(__xludf.DUMMYFUNCTION("""COMPUTED_VALUE"""),0)</f>
        <v>0</v>
      </c>
      <c r="O193" s="19"/>
      <c r="P193" s="19"/>
      <c r="Q193" s="19"/>
      <c r="R193" s="19"/>
      <c r="S193" s="19"/>
      <c r="T193" s="19"/>
      <c r="U193" s="19"/>
      <c r="V193" s="19"/>
      <c r="W193" s="20">
        <f ca="1">IFERROR(__xludf.DUMMYFUNCTION("""COMPUTED_VALUE"""),71463998)</f>
        <v>71463998</v>
      </c>
      <c r="X193" s="20" t="str">
        <f ca="1">IFERROR(__xludf.DUMMYFUNCTION("""COMPUTED_VALUE""")," MUNICIPALIDAD DE TEMUCO ")</f>
        <v xml:space="preserve"> MUNICIPALIDAD DE TEMUCO </v>
      </c>
    </row>
    <row r="194" spans="1:24" ht="15.75" customHeight="1" x14ac:dyDescent="0.25">
      <c r="A194" s="16" t="str">
        <f ca="1">IFERROR(__xludf.DUMMYFUNCTION("""COMPUTED_VALUE""")," REGIÓN DE LA ARAUCANÍA ")</f>
        <v xml:space="preserve"> REGIÓN DE LA ARAUCANÍA </v>
      </c>
      <c r="B194" s="16" t="str">
        <f t="shared" ca="1" si="0"/>
        <v xml:space="preserve"> TEMUCO </v>
      </c>
      <c r="C194" s="16" t="str">
        <f ca="1">IFERROR(__xludf.DUMMYFUNCTION("""COMPUTED_VALUE""")," MEJORAMIENTO DE ILUMINACIÓN DE DIVERSAS ÁREAS VERDES EN MACROSECTOR LABRANZA, TEMUCO, PLAN CSV ")</f>
        <v xml:space="preserve"> MEJORAMIENTO DE ILUMINACIÓN DE DIVERSAS ÁREAS VERDES EN MACROSECTOR LABRANZA, TEMUCO, PLAN CSV </v>
      </c>
      <c r="D194" s="16" t="str">
        <f ca="1">IFERROR(__xludf.DUMMYFUNCTION("""COMPUTED_VALUE""")," 1-C-2023-2357 ")</f>
        <v xml:space="preserve"> 1-C-2023-2357 </v>
      </c>
      <c r="E194" s="16" t="str">
        <f ca="1">IFERROR(__xludf.DUMMYFUNCTION("""COMPUTED_VALUE""")," 100% Girado ")</f>
        <v xml:space="preserve"> 100% Girado </v>
      </c>
      <c r="F194" s="17">
        <f ca="1">IFERROR(__xludf.DUMMYFUNCTION("""COMPUTED_VALUE"""),45331)</f>
        <v>45331</v>
      </c>
      <c r="G194" s="16">
        <f ca="1">IFERROR(__xludf.DUMMYFUNCTION("""COMPUTED_VALUE"""),58457449)</f>
        <v>58457449</v>
      </c>
      <c r="H194" s="16" t="str">
        <f ca="1">IFERROR(__xludf.DUMMYFUNCTION("""COMPUTED_VALUE""")," 100% Girado ")</f>
        <v xml:space="preserve"> 100% Girado </v>
      </c>
      <c r="I194" s="16">
        <f ca="1">IFERROR(__xludf.DUMMYFUNCTION("""COMPUTED_VALUE"""),58457449)</f>
        <v>58457449</v>
      </c>
      <c r="J194" s="83" t="s">
        <v>48</v>
      </c>
      <c r="K194" s="16"/>
      <c r="L194" s="16">
        <f ca="1">IFERROR(__xludf.DUMMYFUNCTION("""COMPUTED_VALUE"""),58457449)</f>
        <v>58457449</v>
      </c>
      <c r="M194" s="16"/>
      <c r="N194" s="21">
        <f ca="1">IFERROR(__xludf.DUMMYFUNCTION("""COMPUTED_VALUE"""),0)</f>
        <v>0</v>
      </c>
      <c r="O194" s="19"/>
      <c r="P194" s="19"/>
      <c r="Q194" s="19"/>
      <c r="R194" s="19"/>
      <c r="S194" s="19"/>
      <c r="T194" s="19"/>
      <c r="U194" s="19"/>
      <c r="V194" s="19"/>
      <c r="W194" s="20">
        <f ca="1">IFERROR(__xludf.DUMMYFUNCTION("""COMPUTED_VALUE"""),58457449)</f>
        <v>58457449</v>
      </c>
      <c r="X194" s="20" t="str">
        <f ca="1">IFERROR(__xludf.DUMMYFUNCTION("""COMPUTED_VALUE""")," MUNICIPALIDAD DE TEMUCO ")</f>
        <v xml:space="preserve"> MUNICIPALIDAD DE TEMUCO </v>
      </c>
    </row>
    <row r="195" spans="1:24" ht="15.75" customHeight="1" x14ac:dyDescent="0.25">
      <c r="A195" s="16" t="str">
        <f ca="1">IFERROR(__xludf.DUMMYFUNCTION("""COMPUTED_VALUE""")," REGIÓN DE LA ARAUCANÍA ")</f>
        <v xml:space="preserve"> REGIÓN DE LA ARAUCANÍA </v>
      </c>
      <c r="B195" s="16" t="str">
        <f t="shared" ca="1" si="0"/>
        <v xml:space="preserve"> LONQUIMAY </v>
      </c>
      <c r="C195" s="16" t="str">
        <f ca="1">IFERROR(__xludf.DUMMYFUNCTION("""COMPUTED_VALUE""")," AMPLIACION SALA DE CLASES ESCUELA DOMINGO CAMARGO, COMUNA DE LONQUIMAY ")</f>
        <v xml:space="preserve"> AMPLIACION SALA DE CLASES ESCUELA DOMINGO CAMARGO, COMUNA DE LONQUIMAY </v>
      </c>
      <c r="D195" s="16" t="str">
        <f ca="1">IFERROR(__xludf.DUMMYFUNCTION("""COMPUTED_VALUE""")," 1-C-2023-2453 ")</f>
        <v xml:space="preserve"> 1-C-2023-2453 </v>
      </c>
      <c r="E195" s="16" t="str">
        <f ca="1">IFERROR(__xludf.DUMMYFUNCTION("""COMPUTED_VALUE""")," 100% Girado ")</f>
        <v xml:space="preserve"> 100% Girado </v>
      </c>
      <c r="F195" s="17">
        <f ca="1">IFERROR(__xludf.DUMMYFUNCTION("""COMPUTED_VALUE"""),45331)</f>
        <v>45331</v>
      </c>
      <c r="G195" s="16">
        <f ca="1">IFERROR(__xludf.DUMMYFUNCTION("""COMPUTED_VALUE"""),127970540)</f>
        <v>127970540</v>
      </c>
      <c r="H195" s="16" t="str">
        <f ca="1">IFERROR(__xludf.DUMMYFUNCTION("""COMPUTED_VALUE""")," 100% Girado ")</f>
        <v xml:space="preserve"> 100% Girado </v>
      </c>
      <c r="I195" s="16">
        <f ca="1">IFERROR(__xludf.DUMMYFUNCTION("""COMPUTED_VALUE"""),127970540)</f>
        <v>127970540</v>
      </c>
      <c r="J195" s="83" t="s">
        <v>48</v>
      </c>
      <c r="K195" s="16"/>
      <c r="L195" s="16">
        <f ca="1">IFERROR(__xludf.DUMMYFUNCTION("""COMPUTED_VALUE"""),127970540)</f>
        <v>127970540</v>
      </c>
      <c r="M195" s="16"/>
      <c r="N195" s="21">
        <f ca="1">IFERROR(__xludf.DUMMYFUNCTION("""COMPUTED_VALUE"""),0)</f>
        <v>0</v>
      </c>
      <c r="O195" s="19"/>
      <c r="P195" s="19"/>
      <c r="Q195" s="19"/>
      <c r="R195" s="19"/>
      <c r="S195" s="19"/>
      <c r="T195" s="19"/>
      <c r="U195" s="19"/>
      <c r="V195" s="19"/>
      <c r="W195" s="20">
        <f ca="1">IFERROR(__xludf.DUMMYFUNCTION("""COMPUTED_VALUE"""),127970540)</f>
        <v>127970540</v>
      </c>
      <c r="X195" s="20" t="str">
        <f ca="1">IFERROR(__xludf.DUMMYFUNCTION("""COMPUTED_VALUE""")," MUNICIPALIDAD DE LONQUIMAY ")</f>
        <v xml:space="preserve"> MUNICIPALIDAD DE LONQUIMAY </v>
      </c>
    </row>
    <row r="196" spans="1:24" ht="15.75" customHeight="1" x14ac:dyDescent="0.25">
      <c r="A196" s="16" t="str">
        <f ca="1">IFERROR(__xludf.DUMMYFUNCTION("""COMPUTED_VALUE""")," REGIÓN DE LOS LAGOS ")</f>
        <v xml:space="preserve"> REGIÓN DE LOS LAGOS </v>
      </c>
      <c r="B196" s="16" t="str">
        <f t="shared" ca="1" si="0"/>
        <v xml:space="preserve"> PUYEHUE </v>
      </c>
      <c r="C196" s="16" t="str">
        <f ca="1">IFERROR(__xludf.DUMMYFUNCTION("""COMPUTED_VALUE""")," (SATE) REPOSICIÓN LUMINARIAS DE ALUMBRADO PÚBLICO DE SODIO A LED, VARIOS SECTORES, COMUNA DE PUYEHUE ")</f>
        <v xml:space="preserve"> (SATE) REPOSICIÓN LUMINARIAS DE ALUMBRADO PÚBLICO DE SODIO A LED, VARIOS SECTORES, COMUNA DE PUYEHUE </v>
      </c>
      <c r="D196" s="16" t="str">
        <f ca="1">IFERROR(__xludf.DUMMYFUNCTION("""COMPUTED_VALUE""")," 1-C-2023-685 ")</f>
        <v xml:space="preserve"> 1-C-2023-685 </v>
      </c>
      <c r="E196" s="16" t="str">
        <f ca="1">IFERROR(__xludf.DUMMYFUNCTION("""COMPUTED_VALUE""")," 100% Girado ")</f>
        <v xml:space="preserve"> 100% Girado </v>
      </c>
      <c r="F196" s="17">
        <f ca="1">IFERROR(__xludf.DUMMYFUNCTION("""COMPUTED_VALUE"""),45331)</f>
        <v>45331</v>
      </c>
      <c r="G196" s="16">
        <f ca="1">IFERROR(__xludf.DUMMYFUNCTION("""COMPUTED_VALUE"""),154422499)</f>
        <v>154422499</v>
      </c>
      <c r="H196" s="16" t="str">
        <f ca="1">IFERROR(__xludf.DUMMYFUNCTION("""COMPUTED_VALUE""")," 100% Girado ")</f>
        <v xml:space="preserve"> 100% Girado </v>
      </c>
      <c r="I196" s="16">
        <f ca="1">IFERROR(__xludf.DUMMYFUNCTION("""COMPUTED_VALUE"""),154422499)</f>
        <v>154422499</v>
      </c>
      <c r="J196" s="83" t="s">
        <v>48</v>
      </c>
      <c r="K196" s="16"/>
      <c r="L196" s="16">
        <f ca="1">IFERROR(__xludf.DUMMYFUNCTION("""COMPUTED_VALUE"""),154422499)</f>
        <v>154422499</v>
      </c>
      <c r="M196" s="16"/>
      <c r="N196" s="21">
        <f ca="1">IFERROR(__xludf.DUMMYFUNCTION("""COMPUTED_VALUE"""),0)</f>
        <v>0</v>
      </c>
      <c r="O196" s="19"/>
      <c r="P196" s="19"/>
      <c r="Q196" s="19"/>
      <c r="R196" s="19"/>
      <c r="S196" s="19"/>
      <c r="T196" s="19"/>
      <c r="U196" s="19"/>
      <c r="V196" s="19"/>
      <c r="W196" s="20">
        <f ca="1">IFERROR(__xludf.DUMMYFUNCTION("""COMPUTED_VALUE"""),154422499)</f>
        <v>154422499</v>
      </c>
      <c r="X196" s="20" t="str">
        <f ca="1">IFERROR(__xludf.DUMMYFUNCTION("""COMPUTED_VALUE""")," MUNICIPALIDAD DE PUYEHUE ")</f>
        <v xml:space="preserve"> MUNICIPALIDAD DE PUYEHUE </v>
      </c>
    </row>
    <row r="197" spans="1:24" ht="15.75" customHeight="1" x14ac:dyDescent="0.25">
      <c r="A197" s="16" t="str">
        <f ca="1">IFERROR(__xludf.DUMMYFUNCTION("""COMPUTED_VALUE""")," REGIÓN DE LOS LAGOS ")</f>
        <v xml:space="preserve"> REGIÓN DE LOS LAGOS </v>
      </c>
      <c r="B197" s="16" t="str">
        <f t="shared" ca="1" si="0"/>
        <v xml:space="preserve"> SAN PABLO </v>
      </c>
      <c r="C197" s="16" t="str">
        <f ca="1">IFERROR(__xludf.DUMMYFUNCTION("""COMPUTED_VALUE""")," [SATE] MEJORAMIENTO PLAZA INFANTIL VILLA LOS HEROES , COMUNA DE SAN PABLO ")</f>
        <v xml:space="preserve"> [SATE] MEJORAMIENTO PLAZA INFANTIL VILLA LOS HEROES , COMUNA DE SAN PABLO </v>
      </c>
      <c r="D197" s="16" t="str">
        <f ca="1">IFERROR(__xludf.DUMMYFUNCTION("""COMPUTED_VALUE""")," 1-C-2023-704 ")</f>
        <v xml:space="preserve"> 1-C-2023-704 </v>
      </c>
      <c r="E197" s="16" t="str">
        <f ca="1">IFERROR(__xludf.DUMMYFUNCTION("""COMPUTED_VALUE""")," 100% Girado ")</f>
        <v xml:space="preserve"> 100% Girado </v>
      </c>
      <c r="F197" s="17">
        <f ca="1">IFERROR(__xludf.DUMMYFUNCTION("""COMPUTED_VALUE"""),45341)</f>
        <v>45341</v>
      </c>
      <c r="G197" s="16">
        <f ca="1">IFERROR(__xludf.DUMMYFUNCTION("""COMPUTED_VALUE"""),141041520)</f>
        <v>141041520</v>
      </c>
      <c r="H197" s="16" t="str">
        <f ca="1">IFERROR(__xludf.DUMMYFUNCTION("""COMPUTED_VALUE""")," 100% Girado ")</f>
        <v xml:space="preserve"> 100% Girado </v>
      </c>
      <c r="I197" s="16">
        <f ca="1">IFERROR(__xludf.DUMMYFUNCTION("""COMPUTED_VALUE"""),141041520)</f>
        <v>141041520</v>
      </c>
      <c r="J197" s="83" t="s">
        <v>48</v>
      </c>
      <c r="K197" s="16"/>
      <c r="L197" s="16">
        <f ca="1">IFERROR(__xludf.DUMMYFUNCTION("""COMPUTED_VALUE"""),141041520)</f>
        <v>141041520</v>
      </c>
      <c r="M197" s="16"/>
      <c r="N197" s="21">
        <f ca="1">IFERROR(__xludf.DUMMYFUNCTION("""COMPUTED_VALUE"""),0)</f>
        <v>0</v>
      </c>
      <c r="O197" s="19"/>
      <c r="P197" s="19"/>
      <c r="Q197" s="19"/>
      <c r="R197" s="19"/>
      <c r="S197" s="19"/>
      <c r="T197" s="19"/>
      <c r="U197" s="19"/>
      <c r="V197" s="19"/>
      <c r="W197" s="20">
        <f ca="1">IFERROR(__xludf.DUMMYFUNCTION("""COMPUTED_VALUE"""),141041520)</f>
        <v>141041520</v>
      </c>
      <c r="X197" s="20" t="str">
        <f ca="1">IFERROR(__xludf.DUMMYFUNCTION("""COMPUTED_VALUE""")," MUNICIPALIDAD DE SAN PABLO ")</f>
        <v xml:space="preserve"> MUNICIPALIDAD DE SAN PABLO </v>
      </c>
    </row>
    <row r="198" spans="1:24" ht="15.75" customHeight="1" x14ac:dyDescent="0.25">
      <c r="A198" s="16" t="str">
        <f ca="1">IFERROR(__xludf.DUMMYFUNCTION("""COMPUTED_VALUE""")," REGIÓN DE LOS LAGOS ")</f>
        <v xml:space="preserve"> REGIÓN DE LOS LAGOS </v>
      </c>
      <c r="B198" s="16" t="str">
        <f t="shared" ca="1" si="0"/>
        <v xml:space="preserve"> SAN PABLO </v>
      </c>
      <c r="C198" s="16" t="str">
        <f ca="1">IFERROR(__xludf.DUMMYFUNCTION("""COMPUTED_VALUE""")," [ SATE ] REPOSICION LUMINARIAS DE ALUMBRADO PUBLICO DE SODIO A LED VARIOS SECTORES RURALES , COMUNA SAN PABLO ")</f>
        <v xml:space="preserve"> [ SATE ] REPOSICION LUMINARIAS DE ALUMBRADO PUBLICO DE SODIO A LED VARIOS SECTORES RURALES , COMUNA SAN PABLO </v>
      </c>
      <c r="D198" s="16" t="str">
        <f ca="1">IFERROR(__xludf.DUMMYFUNCTION("""COMPUTED_VALUE""")," 1-C-2023-799 ")</f>
        <v xml:space="preserve"> 1-C-2023-799 </v>
      </c>
      <c r="E198" s="16" t="str">
        <f ca="1">IFERROR(__xludf.DUMMYFUNCTION("""COMPUTED_VALUE""")," 100% Girado ")</f>
        <v xml:space="preserve"> 100% Girado </v>
      </c>
      <c r="F198" s="17">
        <f ca="1">IFERROR(__xludf.DUMMYFUNCTION("""COMPUTED_VALUE"""),45341)</f>
        <v>45341</v>
      </c>
      <c r="G198" s="16">
        <f ca="1">IFERROR(__xludf.DUMMYFUNCTION("""COMPUTED_VALUE"""),42274125)</f>
        <v>42274125</v>
      </c>
      <c r="H198" s="16" t="str">
        <f ca="1">IFERROR(__xludf.DUMMYFUNCTION("""COMPUTED_VALUE""")," 100% Girado ")</f>
        <v xml:space="preserve"> 100% Girado </v>
      </c>
      <c r="I198" s="16">
        <f ca="1">IFERROR(__xludf.DUMMYFUNCTION("""COMPUTED_VALUE"""),42274125)</f>
        <v>42274125</v>
      </c>
      <c r="J198" s="83" t="s">
        <v>48</v>
      </c>
      <c r="K198" s="16"/>
      <c r="L198" s="16">
        <f ca="1">IFERROR(__xludf.DUMMYFUNCTION("""COMPUTED_VALUE"""),42274125)</f>
        <v>42274125</v>
      </c>
      <c r="M198" s="16"/>
      <c r="N198" s="21">
        <f ca="1">IFERROR(__xludf.DUMMYFUNCTION("""COMPUTED_VALUE"""),0)</f>
        <v>0</v>
      </c>
      <c r="O198" s="19"/>
      <c r="P198" s="19"/>
      <c r="Q198" s="19"/>
      <c r="R198" s="19"/>
      <c r="S198" s="19"/>
      <c r="T198" s="19"/>
      <c r="U198" s="19"/>
      <c r="V198" s="19"/>
      <c r="W198" s="20">
        <f ca="1">IFERROR(__xludf.DUMMYFUNCTION("""COMPUTED_VALUE"""),42274125)</f>
        <v>42274125</v>
      </c>
      <c r="X198" s="20" t="str">
        <f ca="1">IFERROR(__xludf.DUMMYFUNCTION("""COMPUTED_VALUE""")," MUNICIPALIDAD DE SAN PABLO ")</f>
        <v xml:space="preserve"> MUNICIPALIDAD DE SAN PABLO </v>
      </c>
    </row>
    <row r="199" spans="1:24" ht="15.75" customHeight="1" x14ac:dyDescent="0.25">
      <c r="A199" s="16" t="str">
        <f ca="1">IFERROR(__xludf.DUMMYFUNCTION("""COMPUTED_VALUE""")," REGIÓN DE LOS LAGOS ")</f>
        <v xml:space="preserve"> REGIÓN DE LOS LAGOS </v>
      </c>
      <c r="B199" s="16" t="str">
        <f t="shared" ca="1" si="0"/>
        <v xml:space="preserve"> COCHAMÓ </v>
      </c>
      <c r="C199" s="16" t="str">
        <f ca="1">IFERROR(__xludf.DUMMYFUNCTION("""COMPUTED_VALUE""")," MEJORAMIENTO COSTANERA DE COCHAMÓ ")</f>
        <v xml:space="preserve"> MEJORAMIENTO COSTANERA DE COCHAMÓ </v>
      </c>
      <c r="D199" s="16" t="str">
        <f ca="1">IFERROR(__xludf.DUMMYFUNCTION("""COMPUTED_VALUE""")," 1-C-2023-830 ")</f>
        <v xml:space="preserve"> 1-C-2023-830 </v>
      </c>
      <c r="E199" s="16" t="str">
        <f ca="1">IFERROR(__xludf.DUMMYFUNCTION("""COMPUTED_VALUE""")," 100% Girado ")</f>
        <v xml:space="preserve"> 100% Girado </v>
      </c>
      <c r="F199" s="17">
        <f ca="1">IFERROR(__xludf.DUMMYFUNCTION("""COMPUTED_VALUE"""),45331)</f>
        <v>45331</v>
      </c>
      <c r="G199" s="16">
        <f ca="1">IFERROR(__xludf.DUMMYFUNCTION("""COMPUTED_VALUE"""),141345815)</f>
        <v>141345815</v>
      </c>
      <c r="H199" s="16" t="str">
        <f ca="1">IFERROR(__xludf.DUMMYFUNCTION("""COMPUTED_VALUE""")," 100% Girado ")</f>
        <v xml:space="preserve"> 100% Girado </v>
      </c>
      <c r="I199" s="16">
        <f ca="1">IFERROR(__xludf.DUMMYFUNCTION("""COMPUTED_VALUE"""),141345815)</f>
        <v>141345815</v>
      </c>
      <c r="J199" s="83" t="s">
        <v>48</v>
      </c>
      <c r="K199" s="16"/>
      <c r="L199" s="16">
        <f ca="1">IFERROR(__xludf.DUMMYFUNCTION("""COMPUTED_VALUE"""),141345815)</f>
        <v>141345815</v>
      </c>
      <c r="M199" s="16"/>
      <c r="N199" s="21">
        <f ca="1">IFERROR(__xludf.DUMMYFUNCTION("""COMPUTED_VALUE"""),0)</f>
        <v>0</v>
      </c>
      <c r="O199" s="19"/>
      <c r="P199" s="19"/>
      <c r="Q199" s="19"/>
      <c r="R199" s="19"/>
      <c r="S199" s="19"/>
      <c r="T199" s="19"/>
      <c r="U199" s="19"/>
      <c r="V199" s="19"/>
      <c r="W199" s="20">
        <f ca="1">IFERROR(__xludf.DUMMYFUNCTION("""COMPUTED_VALUE"""),141345815)</f>
        <v>141345815</v>
      </c>
      <c r="X199" s="20" t="str">
        <f ca="1">IFERROR(__xludf.DUMMYFUNCTION("""COMPUTED_VALUE""")," MUNICIPALIDAD DE COCHAMÓ ")</f>
        <v xml:space="preserve"> MUNICIPALIDAD DE COCHAMÓ </v>
      </c>
    </row>
    <row r="200" spans="1:24" ht="15.75" customHeight="1" x14ac:dyDescent="0.25">
      <c r="A200" s="16" t="str">
        <f ca="1">IFERROR(__xludf.DUMMYFUNCTION("""COMPUTED_VALUE""")," REGIÓN DE LOS LAGOS ")</f>
        <v xml:space="preserve"> REGIÓN DE LOS LAGOS </v>
      </c>
      <c r="B200" s="16" t="str">
        <f t="shared" ca="1" si="0"/>
        <v xml:space="preserve"> QUEMCHI </v>
      </c>
      <c r="C200" s="16" t="str">
        <f ca="1">IFERROR(__xludf.DUMMYFUNCTION("""COMPUTED_VALUE""")," SATE - HABILITACIÓN LUMINARIAS FOTOVOLTAICAS EN ISLAS CHAUQUES Y CAUCAHUE, ")</f>
        <v xml:space="preserve"> SATE - HABILITACIÓN LUMINARIAS FOTOVOLTAICAS EN ISLAS CHAUQUES Y CAUCAHUE, </v>
      </c>
      <c r="D200" s="16" t="str">
        <f ca="1">IFERROR(__xludf.DUMMYFUNCTION("""COMPUTED_VALUE""")," 1-C-2023-1246 ")</f>
        <v xml:space="preserve"> 1-C-2023-1246 </v>
      </c>
      <c r="E200" s="16" t="str">
        <f ca="1">IFERROR(__xludf.DUMMYFUNCTION("""COMPUTED_VALUE""")," 100% Girado ")</f>
        <v xml:space="preserve"> 100% Girado </v>
      </c>
      <c r="F200" s="17">
        <f ca="1">IFERROR(__xludf.DUMMYFUNCTION("""COMPUTED_VALUE"""),45341)</f>
        <v>45341</v>
      </c>
      <c r="G200" s="16">
        <f ca="1">IFERROR(__xludf.DUMMYFUNCTION("""COMPUTED_VALUE"""),153446930)</f>
        <v>153446930</v>
      </c>
      <c r="H200" s="16" t="str">
        <f ca="1">IFERROR(__xludf.DUMMYFUNCTION("""COMPUTED_VALUE""")," 100% Girado ")</f>
        <v xml:space="preserve"> 100% Girado </v>
      </c>
      <c r="I200" s="16">
        <f ca="1">IFERROR(__xludf.DUMMYFUNCTION("""COMPUTED_VALUE"""),153446930)</f>
        <v>153446930</v>
      </c>
      <c r="J200" s="83" t="s">
        <v>48</v>
      </c>
      <c r="K200" s="16"/>
      <c r="L200" s="16">
        <f ca="1">IFERROR(__xludf.DUMMYFUNCTION("""COMPUTED_VALUE"""),153446930)</f>
        <v>153446930</v>
      </c>
      <c r="M200" s="16"/>
      <c r="N200" s="21">
        <f ca="1">IFERROR(__xludf.DUMMYFUNCTION("""COMPUTED_VALUE"""),0)</f>
        <v>0</v>
      </c>
      <c r="O200" s="19"/>
      <c r="P200" s="19"/>
      <c r="Q200" s="19"/>
      <c r="R200" s="19"/>
      <c r="S200" s="19"/>
      <c r="T200" s="19"/>
      <c r="U200" s="19"/>
      <c r="V200" s="19"/>
      <c r="W200" s="20">
        <f ca="1">IFERROR(__xludf.DUMMYFUNCTION("""COMPUTED_VALUE"""),153446930)</f>
        <v>153446930</v>
      </c>
      <c r="X200" s="20" t="str">
        <f ca="1">IFERROR(__xludf.DUMMYFUNCTION("""COMPUTED_VALUE""")," MUNICIPALIDAD DE QUEMCHI ")</f>
        <v xml:space="preserve"> MUNICIPALIDAD DE QUEMCHI </v>
      </c>
    </row>
    <row r="201" spans="1:24" ht="15.75" customHeight="1" x14ac:dyDescent="0.25">
      <c r="A201" s="16" t="str">
        <f ca="1">IFERROR(__xludf.DUMMYFUNCTION("""COMPUTED_VALUE""")," REGIÓN DE LOS LAGOS ")</f>
        <v xml:space="preserve"> REGIÓN DE LOS LAGOS </v>
      </c>
      <c r="B201" s="16" t="str">
        <f t="shared" ca="1" si="0"/>
        <v xml:space="preserve"> PUQUELDÓN </v>
      </c>
      <c r="C201" s="16" t="str">
        <f ca="1">IFERROR(__xludf.DUMMYFUNCTION("""COMPUTED_VALUE""")," (SATE) CONSERVACION VEREDAS PEATONALES EN LOCALIDADES ICHUAC Y ALDACHILDO - COMUNA PUQUELDON ")</f>
        <v xml:space="preserve"> (SATE) CONSERVACION VEREDAS PEATONALES EN LOCALIDADES ICHUAC Y ALDACHILDO - COMUNA PUQUELDON </v>
      </c>
      <c r="D201" s="16" t="str">
        <f ca="1">IFERROR(__xludf.DUMMYFUNCTION("""COMPUTED_VALUE""")," 1-C-2023-1341 ")</f>
        <v xml:space="preserve"> 1-C-2023-1341 </v>
      </c>
      <c r="E201" s="16" t="str">
        <f ca="1">IFERROR(__xludf.DUMMYFUNCTION("""COMPUTED_VALUE""")," 100% Girado ")</f>
        <v xml:space="preserve"> 100% Girado </v>
      </c>
      <c r="F201" s="17">
        <f ca="1">IFERROR(__xludf.DUMMYFUNCTION("""COMPUTED_VALUE"""),45331)</f>
        <v>45331</v>
      </c>
      <c r="G201" s="16">
        <f ca="1">IFERROR(__xludf.DUMMYFUNCTION("""COMPUTED_VALUE"""),123666834)</f>
        <v>123666834</v>
      </c>
      <c r="H201" s="16" t="str">
        <f ca="1">IFERROR(__xludf.DUMMYFUNCTION("""COMPUTED_VALUE""")," 100% Girado ")</f>
        <v xml:space="preserve"> 100% Girado </v>
      </c>
      <c r="I201" s="16">
        <f ca="1">IFERROR(__xludf.DUMMYFUNCTION("""COMPUTED_VALUE"""),123666834)</f>
        <v>123666834</v>
      </c>
      <c r="J201" s="83" t="s">
        <v>48</v>
      </c>
      <c r="K201" s="16"/>
      <c r="L201" s="16">
        <f ca="1">IFERROR(__xludf.DUMMYFUNCTION("""COMPUTED_VALUE"""),123666834)</f>
        <v>123666834</v>
      </c>
      <c r="M201" s="16"/>
      <c r="N201" s="21">
        <f ca="1">IFERROR(__xludf.DUMMYFUNCTION("""COMPUTED_VALUE"""),0)</f>
        <v>0</v>
      </c>
      <c r="O201" s="19"/>
      <c r="P201" s="19"/>
      <c r="Q201" s="19"/>
      <c r="R201" s="19"/>
      <c r="S201" s="19"/>
      <c r="T201" s="19"/>
      <c r="U201" s="19"/>
      <c r="V201" s="19"/>
      <c r="W201" s="20">
        <f ca="1">IFERROR(__xludf.DUMMYFUNCTION("""COMPUTED_VALUE"""),123666834)</f>
        <v>123666834</v>
      </c>
      <c r="X201" s="20" t="str">
        <f ca="1">IFERROR(__xludf.DUMMYFUNCTION("""COMPUTED_VALUE""")," MUNICIPALIDAD DE PUQUELDÓN ")</f>
        <v xml:space="preserve"> MUNICIPALIDAD DE PUQUELDÓN </v>
      </c>
    </row>
    <row r="202" spans="1:24" ht="15.75" customHeight="1" x14ac:dyDescent="0.25">
      <c r="A202" s="16" t="str">
        <f ca="1">IFERROR(__xludf.DUMMYFUNCTION("""COMPUTED_VALUE""")," REGIÓN DE LOS LAGOS ")</f>
        <v xml:space="preserve"> REGIÓN DE LOS LAGOS </v>
      </c>
      <c r="B202" s="16" t="str">
        <f t="shared" ca="1" si="0"/>
        <v xml:space="preserve"> PUQUELDÓN </v>
      </c>
      <c r="C202" s="16" t="str">
        <f ca="1">IFERROR(__xludf.DUMMYFUNCTION("""COMPUTED_VALUE""")," (SATE) CONSTRUCCION Y REPOSICION DE SEÑALIZACION Y SEGURIDAD VIAL LOCALIDAD DE PUQUELDON ")</f>
        <v xml:space="preserve"> (SATE) CONSTRUCCION Y REPOSICION DE SEÑALIZACION Y SEGURIDAD VIAL LOCALIDAD DE PUQUELDON </v>
      </c>
      <c r="D202" s="16" t="str">
        <f ca="1">IFERROR(__xludf.DUMMYFUNCTION("""COMPUTED_VALUE""")," 1-C-2023-1537 ")</f>
        <v xml:space="preserve"> 1-C-2023-1537 </v>
      </c>
      <c r="E202" s="16" t="str">
        <f ca="1">IFERROR(__xludf.DUMMYFUNCTION("""COMPUTED_VALUE""")," 100% Girado ")</f>
        <v xml:space="preserve"> 100% Girado </v>
      </c>
      <c r="F202" s="17">
        <f ca="1">IFERROR(__xludf.DUMMYFUNCTION("""COMPUTED_VALUE"""),45331)</f>
        <v>45331</v>
      </c>
      <c r="G202" s="16">
        <f ca="1">IFERROR(__xludf.DUMMYFUNCTION("""COMPUTED_VALUE"""),153983796)</f>
        <v>153983796</v>
      </c>
      <c r="H202" s="16" t="str">
        <f ca="1">IFERROR(__xludf.DUMMYFUNCTION("""COMPUTED_VALUE""")," 100% Girado ")</f>
        <v xml:space="preserve"> 100% Girado </v>
      </c>
      <c r="I202" s="16">
        <f ca="1">IFERROR(__xludf.DUMMYFUNCTION("""COMPUTED_VALUE"""),153983796)</f>
        <v>153983796</v>
      </c>
      <c r="J202" s="83" t="s">
        <v>48</v>
      </c>
      <c r="K202" s="16"/>
      <c r="L202" s="16">
        <f ca="1">IFERROR(__xludf.DUMMYFUNCTION("""COMPUTED_VALUE"""),153983796)</f>
        <v>153983796</v>
      </c>
      <c r="M202" s="16"/>
      <c r="N202" s="21">
        <f ca="1">IFERROR(__xludf.DUMMYFUNCTION("""COMPUTED_VALUE"""),0)</f>
        <v>0</v>
      </c>
      <c r="O202" s="19"/>
      <c r="P202" s="19"/>
      <c r="Q202" s="19"/>
      <c r="R202" s="19"/>
      <c r="S202" s="19"/>
      <c r="T202" s="19"/>
      <c r="U202" s="19"/>
      <c r="V202" s="19"/>
      <c r="W202" s="20">
        <f ca="1">IFERROR(__xludf.DUMMYFUNCTION("""COMPUTED_VALUE"""),153983796)</f>
        <v>153983796</v>
      </c>
      <c r="X202" s="20" t="str">
        <f ca="1">IFERROR(__xludf.DUMMYFUNCTION("""COMPUTED_VALUE""")," MUNICIPALIDAD DE PUQUELDÓN ")</f>
        <v xml:space="preserve"> MUNICIPALIDAD DE PUQUELDÓN </v>
      </c>
    </row>
    <row r="203" spans="1:24" ht="15.75" customHeight="1" x14ac:dyDescent="0.25">
      <c r="A203" s="16" t="str">
        <f ca="1">IFERROR(__xludf.DUMMYFUNCTION("""COMPUTED_VALUE""")," REGIÓN DE LOS LAGOS ")</f>
        <v xml:space="preserve"> REGIÓN DE LOS LAGOS </v>
      </c>
      <c r="B203" s="16" t="str">
        <f t="shared" ca="1" si="0"/>
        <v xml:space="preserve"> DALCAHUE </v>
      </c>
      <c r="C203" s="16" t="str">
        <f ca="1">IFERROR(__xludf.DUMMYFUNCTION("""COMPUTED_VALUE""")," [SATE]MEJORAMIENTO DE PLAZA JAIME AMPUERO DE DALCAHUE ")</f>
        <v xml:space="preserve"> [SATE]MEJORAMIENTO DE PLAZA JAIME AMPUERO DE DALCAHUE </v>
      </c>
      <c r="D203" s="16" t="str">
        <f ca="1">IFERROR(__xludf.DUMMYFUNCTION("""COMPUTED_VALUE""")," 1-C-2023-1752 ")</f>
        <v xml:space="preserve"> 1-C-2023-1752 </v>
      </c>
      <c r="E203" s="16" t="str">
        <f ca="1">IFERROR(__xludf.DUMMYFUNCTION("""COMPUTED_VALUE""")," 100% Girado ")</f>
        <v xml:space="preserve"> 100% Girado </v>
      </c>
      <c r="F203" s="17">
        <f ca="1">IFERROR(__xludf.DUMMYFUNCTION("""COMPUTED_VALUE"""),45331)</f>
        <v>45331</v>
      </c>
      <c r="G203" s="16">
        <f ca="1">IFERROR(__xludf.DUMMYFUNCTION("""COMPUTED_VALUE"""),119098889)</f>
        <v>119098889</v>
      </c>
      <c r="H203" s="16" t="str">
        <f ca="1">IFERROR(__xludf.DUMMYFUNCTION("""COMPUTED_VALUE""")," 100% Girado ")</f>
        <v xml:space="preserve"> 100% Girado </v>
      </c>
      <c r="I203" s="16">
        <f ca="1">IFERROR(__xludf.DUMMYFUNCTION("""COMPUTED_VALUE"""),119098889)</f>
        <v>119098889</v>
      </c>
      <c r="J203" s="83" t="s">
        <v>48</v>
      </c>
      <c r="K203" s="16"/>
      <c r="L203" s="16">
        <f ca="1">IFERROR(__xludf.DUMMYFUNCTION("""COMPUTED_VALUE"""),119098889)</f>
        <v>119098889</v>
      </c>
      <c r="M203" s="16"/>
      <c r="N203" s="21">
        <f ca="1">IFERROR(__xludf.DUMMYFUNCTION("""COMPUTED_VALUE"""),0)</f>
        <v>0</v>
      </c>
      <c r="O203" s="19"/>
      <c r="P203" s="19"/>
      <c r="Q203" s="19"/>
      <c r="R203" s="19"/>
      <c r="S203" s="19"/>
      <c r="T203" s="19"/>
      <c r="U203" s="19"/>
      <c r="V203" s="19"/>
      <c r="W203" s="20">
        <f ca="1">IFERROR(__xludf.DUMMYFUNCTION("""COMPUTED_VALUE"""),119098889)</f>
        <v>119098889</v>
      </c>
      <c r="X203" s="20" t="str">
        <f ca="1">IFERROR(__xludf.DUMMYFUNCTION("""COMPUTED_VALUE""")," MUNICIPALIDAD DE DALCAHUE ")</f>
        <v xml:space="preserve"> MUNICIPALIDAD DE DALCAHUE </v>
      </c>
    </row>
    <row r="204" spans="1:24" ht="15.75" customHeight="1" x14ac:dyDescent="0.25">
      <c r="A204" s="16" t="str">
        <f ca="1">IFERROR(__xludf.DUMMYFUNCTION("""COMPUTED_VALUE""")," REGIÓN DE LOS LAGOS ")</f>
        <v xml:space="preserve"> REGIÓN DE LOS LAGOS </v>
      </c>
      <c r="B204" s="16" t="str">
        <f t="shared" ca="1" si="0"/>
        <v xml:space="preserve"> DALCAHUE </v>
      </c>
      <c r="C204" s="16" t="str">
        <f ca="1">IFERROR(__xludf.DUMMYFUNCTION("""COMPUTED_VALUE""")," CONSTRUCCIÓN MIRADOR URBANO COSTANERA, CIUDAD DE DALCAHUE ")</f>
        <v xml:space="preserve"> CONSTRUCCIÓN MIRADOR URBANO COSTANERA, CIUDAD DE DALCAHUE </v>
      </c>
      <c r="D204" s="16" t="str">
        <f ca="1">IFERROR(__xludf.DUMMYFUNCTION("""COMPUTED_VALUE""")," 1-C-2023-2138 ")</f>
        <v xml:space="preserve"> 1-C-2023-2138 </v>
      </c>
      <c r="E204" s="16" t="str">
        <f ca="1">IFERROR(__xludf.DUMMYFUNCTION("""COMPUTED_VALUE""")," 100% Girado ")</f>
        <v xml:space="preserve"> 100% Girado </v>
      </c>
      <c r="F204" s="17">
        <f ca="1">IFERROR(__xludf.DUMMYFUNCTION("""COMPUTED_VALUE"""),45331)</f>
        <v>45331</v>
      </c>
      <c r="G204" s="16">
        <f ca="1">IFERROR(__xludf.DUMMYFUNCTION("""COMPUTED_VALUE"""),154245300)</f>
        <v>154245300</v>
      </c>
      <c r="H204" s="16" t="str">
        <f ca="1">IFERROR(__xludf.DUMMYFUNCTION("""COMPUTED_VALUE""")," 100% Girado ")</f>
        <v xml:space="preserve"> 100% Girado </v>
      </c>
      <c r="I204" s="16">
        <f ca="1">IFERROR(__xludf.DUMMYFUNCTION("""COMPUTED_VALUE"""),154245300)</f>
        <v>154245300</v>
      </c>
      <c r="J204" s="83" t="s">
        <v>48</v>
      </c>
      <c r="K204" s="16"/>
      <c r="L204" s="16">
        <f ca="1">IFERROR(__xludf.DUMMYFUNCTION("""COMPUTED_VALUE"""),154245300)</f>
        <v>154245300</v>
      </c>
      <c r="M204" s="16"/>
      <c r="N204" s="21">
        <f ca="1">IFERROR(__xludf.DUMMYFUNCTION("""COMPUTED_VALUE"""),0)</f>
        <v>0</v>
      </c>
      <c r="O204" s="19"/>
      <c r="P204" s="19"/>
      <c r="Q204" s="19"/>
      <c r="R204" s="19"/>
      <c r="S204" s="19"/>
      <c r="T204" s="19"/>
      <c r="U204" s="19"/>
      <c r="V204" s="19"/>
      <c r="W204" s="20">
        <f ca="1">IFERROR(__xludf.DUMMYFUNCTION("""COMPUTED_VALUE"""),154245300)</f>
        <v>154245300</v>
      </c>
      <c r="X204" s="20" t="str">
        <f ca="1">IFERROR(__xludf.DUMMYFUNCTION("""COMPUTED_VALUE""")," MUNICIPALIDAD DE DALCAHUE ")</f>
        <v xml:space="preserve"> MUNICIPALIDAD DE DALCAHUE </v>
      </c>
    </row>
    <row r="205" spans="1:24" ht="15.75" customHeight="1" x14ac:dyDescent="0.25">
      <c r="A205" s="16" t="str">
        <f ca="1">IFERROR(__xludf.DUMMYFUNCTION("""COMPUTED_VALUE""")," REGIÓN DE AYSÉN DEL GENERAL CARLOS IBÁÑEZ DEL CAMPO ")</f>
        <v xml:space="preserve"> REGIÓN DE AYSÉN DEL GENERAL CARLOS IBÁÑEZ DEL CAMPO </v>
      </c>
      <c r="B205" s="16" t="str">
        <f t="shared" ca="1" si="0"/>
        <v xml:space="preserve"> RÍO IBÁÑEZ </v>
      </c>
      <c r="C205" s="16" t="str">
        <f ca="1">IFERROR(__xludf.DUMMYFUNCTION("""COMPUTED_VALUE""")," MEJORAMIENTO PLAZA HANGA ROA EN PTO. IBÁÑEZ ")</f>
        <v xml:space="preserve"> MEJORAMIENTO PLAZA HANGA ROA EN PTO. IBÁÑEZ </v>
      </c>
      <c r="D205" s="16" t="str">
        <f ca="1">IFERROR(__xludf.DUMMYFUNCTION("""COMPUTED_VALUE""")," 1-C-2020-905 ")</f>
        <v xml:space="preserve"> 1-C-2020-905 </v>
      </c>
      <c r="E205" s="16" t="str">
        <f ca="1">IFERROR(__xludf.DUMMYFUNCTION("""COMPUTED_VALUE""")," 100% Girado ")</f>
        <v xml:space="preserve"> 100% Girado </v>
      </c>
      <c r="F205" s="17">
        <f ca="1">IFERROR(__xludf.DUMMYFUNCTION("""COMPUTED_VALUE"""),44181)</f>
        <v>44181</v>
      </c>
      <c r="G205" s="16">
        <f ca="1">IFERROR(__xludf.DUMMYFUNCTION("""COMPUTED_VALUE"""),77999595)</f>
        <v>77999595</v>
      </c>
      <c r="H205" s="16" t="str">
        <f ca="1">IFERROR(__xludf.DUMMYFUNCTION("""COMPUTED_VALUE""")," 100% Girado ")</f>
        <v xml:space="preserve"> 100% Girado </v>
      </c>
      <c r="I205" s="16">
        <f ca="1">IFERROR(__xludf.DUMMYFUNCTION("""COMPUTED_VALUE"""),35999598)</f>
        <v>35999598</v>
      </c>
      <c r="J205" s="83" t="s">
        <v>48</v>
      </c>
      <c r="K205" s="16"/>
      <c r="L205" s="16">
        <f ca="1">IFERROR(__xludf.DUMMYFUNCTION("""COMPUTED_VALUE"""),35999598)</f>
        <v>35999598</v>
      </c>
      <c r="M205" s="16"/>
      <c r="N205" s="21">
        <f ca="1">IFERROR(__xludf.DUMMYFUNCTION("""COMPUTED_VALUE"""),0)</f>
        <v>0</v>
      </c>
      <c r="O205" s="19"/>
      <c r="P205" s="19"/>
      <c r="Q205" s="19"/>
      <c r="R205" s="19"/>
      <c r="S205" s="19"/>
      <c r="T205" s="19"/>
      <c r="U205" s="19"/>
      <c r="V205" s="19"/>
      <c r="W205" s="20">
        <f ca="1">IFERROR(__xludf.DUMMYFUNCTION("""COMPUTED_VALUE"""),35999598)</f>
        <v>35999598</v>
      </c>
      <c r="X205" s="20" t="str">
        <f ca="1">IFERROR(__xludf.DUMMYFUNCTION("""COMPUTED_VALUE""")," MUNICIPALIDAD DE RÍO IBÁÑEZ ")</f>
        <v xml:space="preserve"> MUNICIPALIDAD DE RÍO IBÁÑEZ </v>
      </c>
    </row>
    <row r="206" spans="1:24" ht="15.75" customHeight="1" x14ac:dyDescent="0.25">
      <c r="A206" s="16" t="str">
        <f ca="1">IFERROR(__xludf.DUMMYFUNCTION("""COMPUTED_VALUE""")," REGIÓN METROPOLITANA ")</f>
        <v xml:space="preserve"> REGIÓN METROPOLITANA </v>
      </c>
      <c r="B206" s="16" t="str">
        <f t="shared" ca="1" si="0"/>
        <v xml:space="preserve"> MAIPÚ </v>
      </c>
      <c r="C206" s="16" t="str">
        <f ca="1">IFERROR(__xludf.DUMMYFUNCTION("""COMPUTED_VALUE""")," MEJORAMIENTO PLAZA BANDEJÓN VICARÍA ENTRE ESPÍRITU SANTO Y CUATRO PONIENTE, BARRIO SOL PONIENTE, MAIPÚ ")</f>
        <v xml:space="preserve"> MEJORAMIENTO PLAZA BANDEJÓN VICARÍA ENTRE ESPÍRITU SANTO Y CUATRO PONIENTE, BARRIO SOL PONIENTE, MAIPÚ </v>
      </c>
      <c r="D206" s="16" t="str">
        <f ca="1">IFERROR(__xludf.DUMMYFUNCTION("""COMPUTED_VALUE""")," 1-C-2022-144 ")</f>
        <v xml:space="preserve"> 1-C-2022-144 </v>
      </c>
      <c r="E206" s="16" t="str">
        <f ca="1">IFERROR(__xludf.DUMMYFUNCTION("""COMPUTED_VALUE""")," 100% Girado ")</f>
        <v xml:space="preserve"> 100% Girado </v>
      </c>
      <c r="F206" s="17">
        <f ca="1">IFERROR(__xludf.DUMMYFUNCTION("""COMPUTED_VALUE"""),45331)</f>
        <v>45331</v>
      </c>
      <c r="G206" s="16">
        <f ca="1">IFERROR(__xludf.DUMMYFUNCTION("""COMPUTED_VALUE"""),92392689)</f>
        <v>92392689</v>
      </c>
      <c r="H206" s="16" t="str">
        <f ca="1">IFERROR(__xludf.DUMMYFUNCTION("""COMPUTED_VALUE""")," 100% Girado ")</f>
        <v xml:space="preserve"> 100% Girado </v>
      </c>
      <c r="I206" s="16">
        <f ca="1">IFERROR(__xludf.DUMMYFUNCTION("""COMPUTED_VALUE"""),92392689)</f>
        <v>92392689</v>
      </c>
      <c r="J206" s="83" t="s">
        <v>48</v>
      </c>
      <c r="K206" s="16"/>
      <c r="L206" s="16">
        <f ca="1">IFERROR(__xludf.DUMMYFUNCTION("""COMPUTED_VALUE"""),92392689)</f>
        <v>92392689</v>
      </c>
      <c r="M206" s="16"/>
      <c r="N206" s="21">
        <f ca="1">IFERROR(__xludf.DUMMYFUNCTION("""COMPUTED_VALUE"""),0)</f>
        <v>0</v>
      </c>
      <c r="O206" s="19"/>
      <c r="P206" s="19"/>
      <c r="Q206" s="19"/>
      <c r="R206" s="19"/>
      <c r="S206" s="19"/>
      <c r="T206" s="19"/>
      <c r="U206" s="19"/>
      <c r="V206" s="19"/>
      <c r="W206" s="20">
        <f ca="1">IFERROR(__xludf.DUMMYFUNCTION("""COMPUTED_VALUE"""),92392689)</f>
        <v>92392689</v>
      </c>
      <c r="X206" s="20" t="str">
        <f ca="1">IFERROR(__xludf.DUMMYFUNCTION("""COMPUTED_VALUE""")," MUNICIPALIDAD DE MAIPÚ ")</f>
        <v xml:space="preserve"> MUNICIPALIDAD DE MAIPÚ </v>
      </c>
    </row>
    <row r="207" spans="1:24" ht="15.75" customHeight="1" x14ac:dyDescent="0.25">
      <c r="A207" s="16" t="str">
        <f ca="1">IFERROR(__xludf.DUMMYFUNCTION("""COMPUTED_VALUE""")," REGIÓN METROPOLITANA ")</f>
        <v xml:space="preserve"> REGIÓN METROPOLITANA </v>
      </c>
      <c r="B207" s="16" t="str">
        <f t="shared" ca="1" si="0"/>
        <v xml:space="preserve"> MELIPILLA </v>
      </c>
      <c r="C207" s="16" t="str">
        <f ca="1">IFERROR(__xludf.DUMMYFUNCTION("""COMPUTED_VALUE""")," MEJORAMIENTO DE ÁREA VERDE VILLA DOÑA FLORENCIA I, COMUNA DE MELIPILLA ")</f>
        <v xml:space="preserve"> MEJORAMIENTO DE ÁREA VERDE VILLA DOÑA FLORENCIA I, COMUNA DE MELIPILLA </v>
      </c>
      <c r="D207" s="16" t="str">
        <f ca="1">IFERROR(__xludf.DUMMYFUNCTION("""COMPUTED_VALUE""")," 1-C-2022-1925 ")</f>
        <v xml:space="preserve"> 1-C-2022-1925 </v>
      </c>
      <c r="E207" s="16" t="str">
        <f ca="1">IFERROR(__xludf.DUMMYFUNCTION("""COMPUTED_VALUE""")," 100% Girado ")</f>
        <v xml:space="preserve"> 100% Girado </v>
      </c>
      <c r="F207" s="17">
        <f ca="1">IFERROR(__xludf.DUMMYFUNCTION("""COMPUTED_VALUE"""),45341)</f>
        <v>45341</v>
      </c>
      <c r="G207" s="16">
        <f ca="1">IFERROR(__xludf.DUMMYFUNCTION("""COMPUTED_VALUE"""),102778079)</f>
        <v>102778079</v>
      </c>
      <c r="H207" s="16" t="str">
        <f ca="1">IFERROR(__xludf.DUMMYFUNCTION("""COMPUTED_VALUE""")," 100% Girado ")</f>
        <v xml:space="preserve"> 100% Girado </v>
      </c>
      <c r="I207" s="16">
        <f ca="1">IFERROR(__xludf.DUMMYFUNCTION("""COMPUTED_VALUE"""),102778079)</f>
        <v>102778079</v>
      </c>
      <c r="J207" s="83" t="s">
        <v>48</v>
      </c>
      <c r="K207" s="16"/>
      <c r="L207" s="16">
        <f ca="1">IFERROR(__xludf.DUMMYFUNCTION("""COMPUTED_VALUE"""),102778079)</f>
        <v>102778079</v>
      </c>
      <c r="M207" s="16"/>
      <c r="N207" s="21">
        <f ca="1">IFERROR(__xludf.DUMMYFUNCTION("""COMPUTED_VALUE"""),0)</f>
        <v>0</v>
      </c>
      <c r="O207" s="19"/>
      <c r="P207" s="19"/>
      <c r="Q207" s="19"/>
      <c r="R207" s="19"/>
      <c r="S207" s="19"/>
      <c r="T207" s="19"/>
      <c r="U207" s="19"/>
      <c r="V207" s="19"/>
      <c r="W207" s="20">
        <f ca="1">IFERROR(__xludf.DUMMYFUNCTION("""COMPUTED_VALUE"""),102778079)</f>
        <v>102778079</v>
      </c>
      <c r="X207" s="20" t="str">
        <f ca="1">IFERROR(__xludf.DUMMYFUNCTION("""COMPUTED_VALUE""")," MUNICIPALIDAD DE MELIPILLA ")</f>
        <v xml:space="preserve"> MUNICIPALIDAD DE MELIPILLA </v>
      </c>
    </row>
    <row r="208" spans="1:24" ht="15.75" customHeight="1" x14ac:dyDescent="0.25">
      <c r="A208" s="16" t="str">
        <f ca="1">IFERROR(__xludf.DUMMYFUNCTION("""COMPUTED_VALUE""")," REGIÓN METROPOLITANA ")</f>
        <v xml:space="preserve"> REGIÓN METROPOLITANA </v>
      </c>
      <c r="B208" s="16" t="str">
        <f t="shared" ca="1" si="0"/>
        <v xml:space="preserve"> LO ESPEJO </v>
      </c>
      <c r="C208" s="16" t="str">
        <f ca="1">IFERROR(__xludf.DUMMYFUNCTION("""COMPUTED_VALUE""")," MEJORAMIENTO MULTICANCHA JUVENTUD 2000 ")</f>
        <v xml:space="preserve"> MEJORAMIENTO MULTICANCHA JUVENTUD 2000 </v>
      </c>
      <c r="D208" s="16" t="str">
        <f ca="1">IFERROR(__xludf.DUMMYFUNCTION("""COMPUTED_VALUE""")," 1-C-2022-2549 ")</f>
        <v xml:space="preserve"> 1-C-2022-2549 </v>
      </c>
      <c r="E208" s="16" t="str">
        <f ca="1">IFERROR(__xludf.DUMMYFUNCTION("""COMPUTED_VALUE""")," 100% Girado ")</f>
        <v xml:space="preserve"> 100% Girado </v>
      </c>
      <c r="F208" s="17">
        <f ca="1">IFERROR(__xludf.DUMMYFUNCTION("""COMPUTED_VALUE"""),45331)</f>
        <v>45331</v>
      </c>
      <c r="G208" s="16">
        <f ca="1">IFERROR(__xludf.DUMMYFUNCTION("""COMPUTED_VALUE"""),154399755)</f>
        <v>154399755</v>
      </c>
      <c r="H208" s="16" t="str">
        <f ca="1">IFERROR(__xludf.DUMMYFUNCTION("""COMPUTED_VALUE""")," 100% Girado ")</f>
        <v xml:space="preserve"> 100% Girado </v>
      </c>
      <c r="I208" s="16">
        <f ca="1">IFERROR(__xludf.DUMMYFUNCTION("""COMPUTED_VALUE"""),154399755)</f>
        <v>154399755</v>
      </c>
      <c r="J208" s="83" t="s">
        <v>48</v>
      </c>
      <c r="K208" s="16"/>
      <c r="L208" s="16">
        <f ca="1">IFERROR(__xludf.DUMMYFUNCTION("""COMPUTED_VALUE"""),154399755)</f>
        <v>154399755</v>
      </c>
      <c r="M208" s="16"/>
      <c r="N208" s="21">
        <f ca="1">IFERROR(__xludf.DUMMYFUNCTION("""COMPUTED_VALUE"""),0)</f>
        <v>0</v>
      </c>
      <c r="O208" s="19"/>
      <c r="P208" s="19"/>
      <c r="Q208" s="19"/>
      <c r="R208" s="19"/>
      <c r="S208" s="19"/>
      <c r="T208" s="19"/>
      <c r="U208" s="19"/>
      <c r="V208" s="19"/>
      <c r="W208" s="20">
        <f ca="1">IFERROR(__xludf.DUMMYFUNCTION("""COMPUTED_VALUE"""),154399755)</f>
        <v>154399755</v>
      </c>
      <c r="X208" s="20" t="str">
        <f ca="1">IFERROR(__xludf.DUMMYFUNCTION("""COMPUTED_VALUE""")," MUNICIPALIDAD DE LO ESPEJO ")</f>
        <v xml:space="preserve"> MUNICIPALIDAD DE LO ESPEJO </v>
      </c>
    </row>
    <row r="209" spans="1:24" ht="15.75" customHeight="1" x14ac:dyDescent="0.25">
      <c r="A209" s="16" t="str">
        <f ca="1">IFERROR(__xludf.DUMMYFUNCTION("""COMPUTED_VALUE""")," REGIÓN METROPOLITANA ")</f>
        <v xml:space="preserve"> REGIÓN METROPOLITANA </v>
      </c>
      <c r="B209" s="16" t="str">
        <f t="shared" ca="1" si="0"/>
        <v xml:space="preserve"> LO ESPEJO </v>
      </c>
      <c r="C209" s="16" t="str">
        <f ca="1">IFERROR(__xludf.DUMMYFUNCTION("""COMPUTED_VALUE""")," CONSTRUCCIÓN, SEÑALIZACIÓN Y DEMARCACIÓN DE RESALTOS REDUCTORES DE VELOCIDAD, COMUNA DE LO ESPEJO ")</f>
        <v xml:space="preserve"> CONSTRUCCIÓN, SEÑALIZACIÓN Y DEMARCACIÓN DE RESALTOS REDUCTORES DE VELOCIDAD, COMUNA DE LO ESPEJO </v>
      </c>
      <c r="D209" s="16" t="str">
        <f ca="1">IFERROR(__xludf.DUMMYFUNCTION("""COMPUTED_VALUE""")," 1-C-2022-2621 ")</f>
        <v xml:space="preserve"> 1-C-2022-2621 </v>
      </c>
      <c r="E209" s="16" t="str">
        <f ca="1">IFERROR(__xludf.DUMMYFUNCTION("""COMPUTED_VALUE""")," 100% Girado ")</f>
        <v xml:space="preserve"> 100% Girado </v>
      </c>
      <c r="F209" s="17">
        <f ca="1">IFERROR(__xludf.DUMMYFUNCTION("""COMPUTED_VALUE"""),45331)</f>
        <v>45331</v>
      </c>
      <c r="G209" s="16">
        <f ca="1">IFERROR(__xludf.DUMMYFUNCTION("""COMPUTED_VALUE"""),148728654)</f>
        <v>148728654</v>
      </c>
      <c r="H209" s="16" t="str">
        <f ca="1">IFERROR(__xludf.DUMMYFUNCTION("""COMPUTED_VALUE""")," 100% Girado ")</f>
        <v xml:space="preserve"> 100% Girado </v>
      </c>
      <c r="I209" s="16">
        <f ca="1">IFERROR(__xludf.DUMMYFUNCTION("""COMPUTED_VALUE"""),148728654)</f>
        <v>148728654</v>
      </c>
      <c r="J209" s="83" t="s">
        <v>48</v>
      </c>
      <c r="K209" s="16"/>
      <c r="L209" s="16">
        <f ca="1">IFERROR(__xludf.DUMMYFUNCTION("""COMPUTED_VALUE"""),148728654)</f>
        <v>148728654</v>
      </c>
      <c r="M209" s="16"/>
      <c r="N209" s="21">
        <f ca="1">IFERROR(__xludf.DUMMYFUNCTION("""COMPUTED_VALUE"""),0)</f>
        <v>0</v>
      </c>
      <c r="O209" s="19"/>
      <c r="P209" s="19"/>
      <c r="Q209" s="19"/>
      <c r="R209" s="19"/>
      <c r="S209" s="19"/>
      <c r="T209" s="19"/>
      <c r="U209" s="19"/>
      <c r="V209" s="19"/>
      <c r="W209" s="20">
        <f ca="1">IFERROR(__xludf.DUMMYFUNCTION("""COMPUTED_VALUE"""),148728654)</f>
        <v>148728654</v>
      </c>
      <c r="X209" s="20" t="str">
        <f ca="1">IFERROR(__xludf.DUMMYFUNCTION("""COMPUTED_VALUE""")," MUNICIPALIDAD DE LO ESPEJO ")</f>
        <v xml:space="preserve"> MUNICIPALIDAD DE LO ESPEJO </v>
      </c>
    </row>
    <row r="210" spans="1:24" ht="15.75" customHeight="1" x14ac:dyDescent="0.25">
      <c r="A210" s="16" t="str">
        <f ca="1">IFERROR(__xludf.DUMMYFUNCTION("""COMPUTED_VALUE""")," REGIÓN METROPOLITANA ")</f>
        <v xml:space="preserve"> REGIÓN METROPOLITANA </v>
      </c>
      <c r="B210" s="16" t="str">
        <f t="shared" ca="1" si="0"/>
        <v xml:space="preserve"> CONCHALÍ </v>
      </c>
      <c r="C210" s="16" t="str">
        <f ca="1">IFERROR(__xludf.DUMMYFUNCTION("""COMPUTED_VALUE""")," REPOSICIÓN DE CALZADAS CATALINA DE LOS RIOS Y ASUNCIÓN, COMUNA DE CONCHALÍ ")</f>
        <v xml:space="preserve"> REPOSICIÓN DE CALZADAS CATALINA DE LOS RIOS Y ASUNCIÓN, COMUNA DE CONCHALÍ </v>
      </c>
      <c r="D210" s="16" t="str">
        <f ca="1">IFERROR(__xludf.DUMMYFUNCTION("""COMPUTED_VALUE""")," 1-C-2023-705 ")</f>
        <v xml:space="preserve"> 1-C-2023-705 </v>
      </c>
      <c r="E210" s="16" t="str">
        <f ca="1">IFERROR(__xludf.DUMMYFUNCTION("""COMPUTED_VALUE""")," 100% Girado ")</f>
        <v xml:space="preserve"> 100% Girado </v>
      </c>
      <c r="F210" s="17">
        <f ca="1">IFERROR(__xludf.DUMMYFUNCTION("""COMPUTED_VALUE"""),45331)</f>
        <v>45331</v>
      </c>
      <c r="G210" s="16">
        <f ca="1">IFERROR(__xludf.DUMMYFUNCTION("""COMPUTED_VALUE"""),111321749)</f>
        <v>111321749</v>
      </c>
      <c r="H210" s="16" t="str">
        <f ca="1">IFERROR(__xludf.DUMMYFUNCTION("""COMPUTED_VALUE""")," 100% Girado ")</f>
        <v xml:space="preserve"> 100% Girado </v>
      </c>
      <c r="I210" s="16">
        <f ca="1">IFERROR(__xludf.DUMMYFUNCTION("""COMPUTED_VALUE"""),111321749)</f>
        <v>111321749</v>
      </c>
      <c r="J210" s="83" t="s">
        <v>48</v>
      </c>
      <c r="K210" s="16"/>
      <c r="L210" s="16">
        <f ca="1">IFERROR(__xludf.DUMMYFUNCTION("""COMPUTED_VALUE"""),111321749)</f>
        <v>111321749</v>
      </c>
      <c r="M210" s="16"/>
      <c r="N210" s="21">
        <f ca="1">IFERROR(__xludf.DUMMYFUNCTION("""COMPUTED_VALUE"""),0)</f>
        <v>0</v>
      </c>
      <c r="O210" s="19"/>
      <c r="P210" s="19"/>
      <c r="Q210" s="19"/>
      <c r="R210" s="19"/>
      <c r="S210" s="19"/>
      <c r="T210" s="19"/>
      <c r="U210" s="19"/>
      <c r="V210" s="19"/>
      <c r="W210" s="20">
        <f ca="1">IFERROR(__xludf.DUMMYFUNCTION("""COMPUTED_VALUE"""),111321749)</f>
        <v>111321749</v>
      </c>
      <c r="X210" s="20" t="str">
        <f ca="1">IFERROR(__xludf.DUMMYFUNCTION("""COMPUTED_VALUE""")," MUNICIPALIDAD DE CONCHALÍ ")</f>
        <v xml:space="preserve"> MUNICIPALIDAD DE CONCHALÍ </v>
      </c>
    </row>
    <row r="211" spans="1:24" ht="15.75" customHeight="1" x14ac:dyDescent="0.25">
      <c r="A211" s="16" t="str">
        <f ca="1">IFERROR(__xludf.DUMMYFUNCTION("""COMPUTED_VALUE""")," REGIÓN METROPOLITANA ")</f>
        <v xml:space="preserve"> REGIÓN METROPOLITANA </v>
      </c>
      <c r="B211" s="16" t="str">
        <f t="shared" ca="1" si="0"/>
        <v xml:space="preserve"> INDEPENDENCIA </v>
      </c>
      <c r="C211" s="16" t="str">
        <f ca="1">IFERROR(__xludf.DUMMYFUNCTION("""COMPUTED_VALUE""")," CSV MEJORAMIENTO ILUMINACIÓN PEATONAL UNIDAD VECINAL 9 ")</f>
        <v xml:space="preserve"> CSV MEJORAMIENTO ILUMINACIÓN PEATONAL UNIDAD VECINAL 9 </v>
      </c>
      <c r="D211" s="16" t="str">
        <f ca="1">IFERROR(__xludf.DUMMYFUNCTION("""COMPUTED_VALUE""")," 1-C-2023-1936 ")</f>
        <v xml:space="preserve"> 1-C-2023-1936 </v>
      </c>
      <c r="E211" s="16" t="str">
        <f ca="1">IFERROR(__xludf.DUMMYFUNCTION("""COMPUTED_VALUE""")," 100% Girado ")</f>
        <v xml:space="preserve"> 100% Girado </v>
      </c>
      <c r="F211" s="17">
        <f ca="1">IFERROR(__xludf.DUMMYFUNCTION("""COMPUTED_VALUE"""),45331)</f>
        <v>45331</v>
      </c>
      <c r="G211" s="16">
        <f ca="1">IFERROR(__xludf.DUMMYFUNCTION("""COMPUTED_VALUE"""),96096289)</f>
        <v>96096289</v>
      </c>
      <c r="H211" s="16" t="str">
        <f ca="1">IFERROR(__xludf.DUMMYFUNCTION("""COMPUTED_VALUE""")," 100% Girado ")</f>
        <v xml:space="preserve"> 100% Girado </v>
      </c>
      <c r="I211" s="16">
        <f ca="1">IFERROR(__xludf.DUMMYFUNCTION("""COMPUTED_VALUE"""),96096289)</f>
        <v>96096289</v>
      </c>
      <c r="J211" s="83" t="s">
        <v>48</v>
      </c>
      <c r="K211" s="16"/>
      <c r="L211" s="16">
        <f ca="1">IFERROR(__xludf.DUMMYFUNCTION("""COMPUTED_VALUE"""),96096289)</f>
        <v>96096289</v>
      </c>
      <c r="M211" s="16"/>
      <c r="N211" s="21">
        <f ca="1">IFERROR(__xludf.DUMMYFUNCTION("""COMPUTED_VALUE"""),0)</f>
        <v>0</v>
      </c>
      <c r="O211" s="19"/>
      <c r="P211" s="19"/>
      <c r="Q211" s="19"/>
      <c r="R211" s="19"/>
      <c r="S211" s="19"/>
      <c r="T211" s="19"/>
      <c r="U211" s="19"/>
      <c r="V211" s="19"/>
      <c r="W211" s="20">
        <f ca="1">IFERROR(__xludf.DUMMYFUNCTION("""COMPUTED_VALUE"""),96096289)</f>
        <v>96096289</v>
      </c>
      <c r="X211" s="20" t="str">
        <f ca="1">IFERROR(__xludf.DUMMYFUNCTION("""COMPUTED_VALUE""")," MUNICIPALIDAD DE INDEPENDENCIA ")</f>
        <v xml:space="preserve"> MUNICIPALIDAD DE INDEPENDENCIA </v>
      </c>
    </row>
    <row r="212" spans="1:24" ht="15.75" customHeight="1" x14ac:dyDescent="0.25">
      <c r="A212" s="16" t="str">
        <f ca="1">IFERROR(__xludf.DUMMYFUNCTION("""COMPUTED_VALUE""")," REGIÓN METROPOLITANA ")</f>
        <v xml:space="preserve"> REGIÓN METROPOLITANA </v>
      </c>
      <c r="B212" s="16" t="str">
        <f t="shared" ca="1" si="0"/>
        <v xml:space="preserve"> EL BOSQUE </v>
      </c>
      <c r="C212" s="16" t="str">
        <f ca="1">IFERROR(__xludf.DUMMYFUNCTION("""COMPUTED_VALUE""")," CSV, MEJORAMIENTO DE TRAMOS DE ILUMINACIÓN PÚBLICA DE LA COMUNA DE EL BOSQUE SECTOR VILLA LAS ACACIAS PONIENTE I ")</f>
        <v xml:space="preserve"> CSV, MEJORAMIENTO DE TRAMOS DE ILUMINACIÓN PÚBLICA DE LA COMUNA DE EL BOSQUE SECTOR VILLA LAS ACACIAS PONIENTE I </v>
      </c>
      <c r="D212" s="16" t="str">
        <f ca="1">IFERROR(__xludf.DUMMYFUNCTION("""COMPUTED_VALUE""")," 1-C-2023-1980 ")</f>
        <v xml:space="preserve"> 1-C-2023-1980 </v>
      </c>
      <c r="E212" s="16" t="str">
        <f ca="1">IFERROR(__xludf.DUMMYFUNCTION("""COMPUTED_VALUE""")," 100% Girado ")</f>
        <v xml:space="preserve"> 100% Girado </v>
      </c>
      <c r="F212" s="17">
        <f ca="1">IFERROR(__xludf.DUMMYFUNCTION("""COMPUTED_VALUE"""),45320)</f>
        <v>45320</v>
      </c>
      <c r="G212" s="16">
        <f ca="1">IFERROR(__xludf.DUMMYFUNCTION("""COMPUTED_VALUE"""),75052043)</f>
        <v>75052043</v>
      </c>
      <c r="H212" s="16" t="str">
        <f ca="1">IFERROR(__xludf.DUMMYFUNCTION("""COMPUTED_VALUE""")," 100% Girado ")</f>
        <v xml:space="preserve"> 100% Girado </v>
      </c>
      <c r="I212" s="16">
        <f ca="1">IFERROR(__xludf.DUMMYFUNCTION("""COMPUTED_VALUE"""),75052043)</f>
        <v>75052043</v>
      </c>
      <c r="J212" s="83" t="s">
        <v>48</v>
      </c>
      <c r="K212" s="16"/>
      <c r="L212" s="16">
        <f ca="1">IFERROR(__xludf.DUMMYFUNCTION("""COMPUTED_VALUE"""),75052043)</f>
        <v>75052043</v>
      </c>
      <c r="M212" s="16"/>
      <c r="N212" s="21">
        <f ca="1">IFERROR(__xludf.DUMMYFUNCTION("""COMPUTED_VALUE"""),0)</f>
        <v>0</v>
      </c>
      <c r="O212" s="19"/>
      <c r="P212" s="19"/>
      <c r="Q212" s="19"/>
      <c r="R212" s="19"/>
      <c r="S212" s="19"/>
      <c r="T212" s="19"/>
      <c r="U212" s="19"/>
      <c r="V212" s="19"/>
      <c r="W212" s="20">
        <f ca="1">IFERROR(__xludf.DUMMYFUNCTION("""COMPUTED_VALUE"""),75052043)</f>
        <v>75052043</v>
      </c>
      <c r="X212" s="20" t="str">
        <f ca="1">IFERROR(__xludf.DUMMYFUNCTION("""COMPUTED_VALUE""")," MUNICIPALIDAD DE EL BOSQUE ")</f>
        <v xml:space="preserve"> MUNICIPALIDAD DE EL BOSQUE </v>
      </c>
    </row>
    <row r="213" spans="1:24" ht="15.75" customHeight="1" x14ac:dyDescent="0.25">
      <c r="A213" s="16" t="str">
        <f ca="1">IFERROR(__xludf.DUMMYFUNCTION("""COMPUTED_VALUE""")," REGIÓN METROPOLITANA ")</f>
        <v xml:space="preserve"> REGIÓN METROPOLITANA </v>
      </c>
      <c r="B213" s="16" t="str">
        <f t="shared" ca="1" si="0"/>
        <v xml:space="preserve"> EL BOSQUE </v>
      </c>
      <c r="C213" s="16" t="str">
        <f ca="1">IFERROR(__xludf.DUMMYFUNCTION("""COMPUTED_VALUE""")," CSV, MEJORAMIENTO DE TRAMOS DE ILUMINACIÓN PÚBLICA DE LA COMUNA DE EL BOSQUE SECTOR VILLA EL TEPUAL ")</f>
        <v xml:space="preserve"> CSV, MEJORAMIENTO DE TRAMOS DE ILUMINACIÓN PÚBLICA DE LA COMUNA DE EL BOSQUE SECTOR VILLA EL TEPUAL </v>
      </c>
      <c r="D213" s="16" t="str">
        <f ca="1">IFERROR(__xludf.DUMMYFUNCTION("""COMPUTED_VALUE""")," 1-C-2023-1983 ")</f>
        <v xml:space="preserve"> 1-C-2023-1983 </v>
      </c>
      <c r="E213" s="16" t="str">
        <f ca="1">IFERROR(__xludf.DUMMYFUNCTION("""COMPUTED_VALUE""")," 100% Girado ")</f>
        <v xml:space="preserve"> 100% Girado </v>
      </c>
      <c r="F213" s="17">
        <f ca="1">IFERROR(__xludf.DUMMYFUNCTION("""COMPUTED_VALUE"""),45320)</f>
        <v>45320</v>
      </c>
      <c r="G213" s="16">
        <f ca="1">IFERROR(__xludf.DUMMYFUNCTION("""COMPUTED_VALUE"""),71369394)</f>
        <v>71369394</v>
      </c>
      <c r="H213" s="16" t="str">
        <f ca="1">IFERROR(__xludf.DUMMYFUNCTION("""COMPUTED_VALUE""")," 100% Girado ")</f>
        <v xml:space="preserve"> 100% Girado </v>
      </c>
      <c r="I213" s="16">
        <f ca="1">IFERROR(__xludf.DUMMYFUNCTION("""COMPUTED_VALUE"""),71369394)</f>
        <v>71369394</v>
      </c>
      <c r="J213" s="83" t="s">
        <v>48</v>
      </c>
      <c r="K213" s="16"/>
      <c r="L213" s="16">
        <f ca="1">IFERROR(__xludf.DUMMYFUNCTION("""COMPUTED_VALUE"""),71369394)</f>
        <v>71369394</v>
      </c>
      <c r="M213" s="16"/>
      <c r="N213" s="21">
        <f ca="1">IFERROR(__xludf.DUMMYFUNCTION("""COMPUTED_VALUE"""),0)</f>
        <v>0</v>
      </c>
      <c r="O213" s="19"/>
      <c r="P213" s="19"/>
      <c r="Q213" s="19"/>
      <c r="R213" s="19"/>
      <c r="S213" s="19"/>
      <c r="T213" s="19"/>
      <c r="U213" s="19"/>
      <c r="V213" s="19"/>
      <c r="W213" s="20">
        <f ca="1">IFERROR(__xludf.DUMMYFUNCTION("""COMPUTED_VALUE"""),71369394)</f>
        <v>71369394</v>
      </c>
      <c r="X213" s="20" t="str">
        <f ca="1">IFERROR(__xludf.DUMMYFUNCTION("""COMPUTED_VALUE""")," MUNICIPALIDAD DE EL BOSQUE ")</f>
        <v xml:space="preserve"> MUNICIPALIDAD DE EL BOSQUE </v>
      </c>
    </row>
    <row r="214" spans="1:24" ht="15.75" customHeight="1" x14ac:dyDescent="0.25">
      <c r="A214" s="16" t="str">
        <f ca="1">IFERROR(__xludf.DUMMYFUNCTION("""COMPUTED_VALUE""")," REGIÓN METROPOLITANA ")</f>
        <v xml:space="preserve"> REGIÓN METROPOLITANA </v>
      </c>
      <c r="B214" s="16" t="str">
        <f t="shared" ca="1" si="0"/>
        <v xml:space="preserve"> SAN BERNARDO </v>
      </c>
      <c r="C214" s="16" t="str">
        <f ca="1">IFERROR(__xludf.DUMMYFUNCTION("""COMPUTED_VALUE""")," “CSV AMPLIACIÓN ILUMINACIÓN PEATONAL COLEGIOS FIDEL PINOCHET, ELVIRA BRADY, SECTOR SAN ALFONSO Y ESMERALDA, COMUNA DE SAN BERNARDO” ")</f>
        <v xml:space="preserve"> “CSV AMPLIACIÓN ILUMINACIÓN PEATONAL COLEGIOS FIDEL PINOCHET, ELVIRA BRADY, SECTOR SAN ALFONSO Y ESMERALDA, COMUNA DE SAN BERNARDO” </v>
      </c>
      <c r="D214" s="16" t="str">
        <f ca="1">IFERROR(__xludf.DUMMYFUNCTION("""COMPUTED_VALUE""")," 1-C-2023-2253 ")</f>
        <v xml:space="preserve"> 1-C-2023-2253 </v>
      </c>
      <c r="E214" s="16" t="str">
        <f ca="1">IFERROR(__xludf.DUMMYFUNCTION("""COMPUTED_VALUE""")," 100% Girado ")</f>
        <v xml:space="preserve"> 100% Girado </v>
      </c>
      <c r="F214" s="17">
        <f ca="1">IFERROR(__xludf.DUMMYFUNCTION("""COMPUTED_VALUE"""),45331)</f>
        <v>45331</v>
      </c>
      <c r="G214" s="16">
        <f ca="1">IFERROR(__xludf.DUMMYFUNCTION("""COMPUTED_VALUE"""),143532374)</f>
        <v>143532374</v>
      </c>
      <c r="H214" s="16" t="str">
        <f ca="1">IFERROR(__xludf.DUMMYFUNCTION("""COMPUTED_VALUE""")," 100% Girado ")</f>
        <v xml:space="preserve"> 100% Girado </v>
      </c>
      <c r="I214" s="16">
        <f ca="1">IFERROR(__xludf.DUMMYFUNCTION("""COMPUTED_VALUE"""),143532374)</f>
        <v>143532374</v>
      </c>
      <c r="J214" s="83" t="s">
        <v>48</v>
      </c>
      <c r="K214" s="16"/>
      <c r="L214" s="16">
        <f ca="1">IFERROR(__xludf.DUMMYFUNCTION("""COMPUTED_VALUE"""),143532374)</f>
        <v>143532374</v>
      </c>
      <c r="M214" s="16"/>
      <c r="N214" s="21">
        <f ca="1">IFERROR(__xludf.DUMMYFUNCTION("""COMPUTED_VALUE"""),0)</f>
        <v>0</v>
      </c>
      <c r="O214" s="19"/>
      <c r="P214" s="19"/>
      <c r="Q214" s="19"/>
      <c r="R214" s="19"/>
      <c r="S214" s="19"/>
      <c r="T214" s="19"/>
      <c r="U214" s="19"/>
      <c r="V214" s="19"/>
      <c r="W214" s="20">
        <f ca="1">IFERROR(__xludf.DUMMYFUNCTION("""COMPUTED_VALUE"""),143532374)</f>
        <v>143532374</v>
      </c>
      <c r="X214" s="20" t="str">
        <f ca="1">IFERROR(__xludf.DUMMYFUNCTION("""COMPUTED_VALUE""")," MUNICIPALIDAD DE SAN BERNARDO ")</f>
        <v xml:space="preserve"> MUNICIPALIDAD DE SAN BERNARDO </v>
      </c>
    </row>
    <row r="215" spans="1:24" ht="15.75" customHeight="1" x14ac:dyDescent="0.25">
      <c r="A215" s="16" t="str">
        <f ca="1">IFERROR(__xludf.DUMMYFUNCTION("""COMPUTED_VALUE""")," REGIÓN METROPOLITANA ")</f>
        <v xml:space="preserve"> REGIÓN METROPOLITANA </v>
      </c>
      <c r="B215" s="16" t="str">
        <f t="shared" ca="1" si="0"/>
        <v xml:space="preserve"> SAN BERNARDO </v>
      </c>
      <c r="C215" s="16" t="str">
        <f ca="1">IFERROR(__xludf.DUMMYFUNCTION("""COMPUTED_VALUE""")," “CSV AMPLIACIÓN ILUMINACIÓN PEATONAL SECTOR ELIODORO YAÑEZ, LO HERRERA, COMUNA DE SAN BERNARDO” ")</f>
        <v xml:space="preserve"> “CSV AMPLIACIÓN ILUMINACIÓN PEATONAL SECTOR ELIODORO YAÑEZ, LO HERRERA, COMUNA DE SAN BERNARDO” </v>
      </c>
      <c r="D215" s="16" t="str">
        <f ca="1">IFERROR(__xludf.DUMMYFUNCTION("""COMPUTED_VALUE""")," 1-C-2023-2254 ")</f>
        <v xml:space="preserve"> 1-C-2023-2254 </v>
      </c>
      <c r="E215" s="16" t="str">
        <f ca="1">IFERROR(__xludf.DUMMYFUNCTION("""COMPUTED_VALUE""")," 100% Girado ")</f>
        <v xml:space="preserve"> 100% Girado </v>
      </c>
      <c r="F215" s="17">
        <f ca="1">IFERROR(__xludf.DUMMYFUNCTION("""COMPUTED_VALUE"""),45331)</f>
        <v>45331</v>
      </c>
      <c r="G215" s="16">
        <f ca="1">IFERROR(__xludf.DUMMYFUNCTION("""COMPUTED_VALUE"""),128146405)</f>
        <v>128146405</v>
      </c>
      <c r="H215" s="16" t="str">
        <f ca="1">IFERROR(__xludf.DUMMYFUNCTION("""COMPUTED_VALUE""")," 100% Girado ")</f>
        <v xml:space="preserve"> 100% Girado </v>
      </c>
      <c r="I215" s="16">
        <f ca="1">IFERROR(__xludf.DUMMYFUNCTION("""COMPUTED_VALUE"""),128146405)</f>
        <v>128146405</v>
      </c>
      <c r="J215" s="83" t="s">
        <v>48</v>
      </c>
      <c r="K215" s="16"/>
      <c r="L215" s="16">
        <f ca="1">IFERROR(__xludf.DUMMYFUNCTION("""COMPUTED_VALUE"""),128146405)</f>
        <v>128146405</v>
      </c>
      <c r="M215" s="16"/>
      <c r="N215" s="21">
        <f ca="1">IFERROR(__xludf.DUMMYFUNCTION("""COMPUTED_VALUE"""),0)</f>
        <v>0</v>
      </c>
      <c r="O215" s="19"/>
      <c r="P215" s="19"/>
      <c r="Q215" s="19"/>
      <c r="R215" s="19"/>
      <c r="S215" s="19"/>
      <c r="T215" s="19"/>
      <c r="U215" s="19"/>
      <c r="V215" s="19"/>
      <c r="W215" s="20">
        <f ca="1">IFERROR(__xludf.DUMMYFUNCTION("""COMPUTED_VALUE"""),128146405)</f>
        <v>128146405</v>
      </c>
      <c r="X215" s="20" t="str">
        <f ca="1">IFERROR(__xludf.DUMMYFUNCTION("""COMPUTED_VALUE""")," MUNICIPALIDAD DE SAN BERNARDO ")</f>
        <v xml:space="preserve"> MUNICIPALIDAD DE SAN BERNARDO </v>
      </c>
    </row>
    <row r="216" spans="1:24" ht="15.75" customHeight="1" x14ac:dyDescent="0.25">
      <c r="A216" s="16" t="str">
        <f ca="1">IFERROR(__xludf.DUMMYFUNCTION("""COMPUTED_VALUE""")," REGIÓN METROPOLITANA ")</f>
        <v xml:space="preserve"> REGIÓN METROPOLITANA </v>
      </c>
      <c r="B216" s="16" t="str">
        <f t="shared" ca="1" si="0"/>
        <v xml:space="preserve"> SAN BERNARDO </v>
      </c>
      <c r="C216" s="16" t="str">
        <f ca="1">IFERROR(__xludf.DUMMYFUNCTION("""COMPUTED_VALUE""")," “CSV AMPLIACIÓN ILUMINACIÓN PEATONAL POBLACIÓN TEJAS DE CHENA, COMUNA DE SAN BERNARDO” ")</f>
        <v xml:space="preserve"> “CSV AMPLIACIÓN ILUMINACIÓN PEATONAL POBLACIÓN TEJAS DE CHENA, COMUNA DE SAN BERNARDO” </v>
      </c>
      <c r="D216" s="16" t="str">
        <f ca="1">IFERROR(__xludf.DUMMYFUNCTION("""COMPUTED_VALUE""")," 1-C-2023-2255 ")</f>
        <v xml:space="preserve"> 1-C-2023-2255 </v>
      </c>
      <c r="E216" s="16" t="str">
        <f ca="1">IFERROR(__xludf.DUMMYFUNCTION("""COMPUTED_VALUE""")," 100% Girado ")</f>
        <v xml:space="preserve"> 100% Girado </v>
      </c>
      <c r="F216" s="17">
        <f ca="1">IFERROR(__xludf.DUMMYFUNCTION("""COMPUTED_VALUE"""),45331)</f>
        <v>45331</v>
      </c>
      <c r="G216" s="16">
        <f ca="1">IFERROR(__xludf.DUMMYFUNCTION("""COMPUTED_VALUE"""),112482364)</f>
        <v>112482364</v>
      </c>
      <c r="H216" s="16" t="str">
        <f ca="1">IFERROR(__xludf.DUMMYFUNCTION("""COMPUTED_VALUE""")," 100% Girado ")</f>
        <v xml:space="preserve"> 100% Girado </v>
      </c>
      <c r="I216" s="16">
        <f ca="1">IFERROR(__xludf.DUMMYFUNCTION("""COMPUTED_VALUE"""),112482364)</f>
        <v>112482364</v>
      </c>
      <c r="J216" s="83" t="s">
        <v>48</v>
      </c>
      <c r="K216" s="16"/>
      <c r="L216" s="16">
        <f ca="1">IFERROR(__xludf.DUMMYFUNCTION("""COMPUTED_VALUE"""),112482364)</f>
        <v>112482364</v>
      </c>
      <c r="M216" s="16"/>
      <c r="N216" s="21">
        <f ca="1">IFERROR(__xludf.DUMMYFUNCTION("""COMPUTED_VALUE"""),0)</f>
        <v>0</v>
      </c>
      <c r="O216" s="19"/>
      <c r="P216" s="19"/>
      <c r="Q216" s="19"/>
      <c r="R216" s="19"/>
      <c r="S216" s="19"/>
      <c r="T216" s="19"/>
      <c r="U216" s="19"/>
      <c r="V216" s="19"/>
      <c r="W216" s="20">
        <f ca="1">IFERROR(__xludf.DUMMYFUNCTION("""COMPUTED_VALUE"""),112482364)</f>
        <v>112482364</v>
      </c>
      <c r="X216" s="20" t="str">
        <f ca="1">IFERROR(__xludf.DUMMYFUNCTION("""COMPUTED_VALUE""")," MUNICIPALIDAD DE SAN BERNARDO ")</f>
        <v xml:space="preserve"> MUNICIPALIDAD DE SAN BERNARDO </v>
      </c>
    </row>
    <row r="217" spans="1:24" ht="15.75" customHeight="1" x14ac:dyDescent="0.25">
      <c r="A217" s="16" t="str">
        <f ca="1">IFERROR(__xludf.DUMMYFUNCTION("""COMPUTED_VALUE""")," REGIÓN METROPOLITANA ")</f>
        <v xml:space="preserve"> REGIÓN METROPOLITANA </v>
      </c>
      <c r="B217" s="16" t="str">
        <f t="shared" ca="1" si="0"/>
        <v xml:space="preserve"> SAN BERNARDO </v>
      </c>
      <c r="C217" s="16" t="str">
        <f ca="1">IFERROR(__xludf.DUMMYFUNCTION("""COMPUTED_VALUE""")," “CSV AMPLIACIÓN ILUMINACIÓN PEATONAL COLEGIOS Y CESFAM POBLACION EL OLIVO A, EL OLIVO B, LA PORTADA Y CONFRATERNIDAD, COMUNA DE SAN BERNARDO” ")</f>
        <v xml:space="preserve"> “CSV AMPLIACIÓN ILUMINACIÓN PEATONAL COLEGIOS Y CESFAM POBLACION EL OLIVO A, EL OLIVO B, LA PORTADA Y CONFRATERNIDAD, COMUNA DE SAN BERNARDO” </v>
      </c>
      <c r="D217" s="16" t="str">
        <f ca="1">IFERROR(__xludf.DUMMYFUNCTION("""COMPUTED_VALUE""")," 1-C-2023-2256 ")</f>
        <v xml:space="preserve"> 1-C-2023-2256 </v>
      </c>
      <c r="E217" s="16" t="str">
        <f ca="1">IFERROR(__xludf.DUMMYFUNCTION("""COMPUTED_VALUE""")," 100% Girado ")</f>
        <v xml:space="preserve"> 100% Girado </v>
      </c>
      <c r="F217" s="17">
        <f ca="1">IFERROR(__xludf.DUMMYFUNCTION("""COMPUTED_VALUE"""),45341)</f>
        <v>45341</v>
      </c>
      <c r="G217" s="16">
        <f ca="1">IFERROR(__xludf.DUMMYFUNCTION("""COMPUTED_VALUE"""),100836625)</f>
        <v>100836625</v>
      </c>
      <c r="H217" s="16" t="str">
        <f ca="1">IFERROR(__xludf.DUMMYFUNCTION("""COMPUTED_VALUE""")," 100% Girado ")</f>
        <v xml:space="preserve"> 100% Girado </v>
      </c>
      <c r="I217" s="16">
        <f ca="1">IFERROR(__xludf.DUMMYFUNCTION("""COMPUTED_VALUE"""),100836625)</f>
        <v>100836625</v>
      </c>
      <c r="J217" s="83" t="s">
        <v>48</v>
      </c>
      <c r="K217" s="16"/>
      <c r="L217" s="16">
        <f ca="1">IFERROR(__xludf.DUMMYFUNCTION("""COMPUTED_VALUE"""),100836625)</f>
        <v>100836625</v>
      </c>
      <c r="M217" s="16"/>
      <c r="N217" s="21">
        <f ca="1">IFERROR(__xludf.DUMMYFUNCTION("""COMPUTED_VALUE"""),0)</f>
        <v>0</v>
      </c>
      <c r="O217" s="19"/>
      <c r="P217" s="19"/>
      <c r="Q217" s="19"/>
      <c r="R217" s="19"/>
      <c r="S217" s="19"/>
      <c r="T217" s="19"/>
      <c r="U217" s="19"/>
      <c r="V217" s="19"/>
      <c r="W217" s="20">
        <f ca="1">IFERROR(__xludf.DUMMYFUNCTION("""COMPUTED_VALUE"""),100836625)</f>
        <v>100836625</v>
      </c>
      <c r="X217" s="20" t="str">
        <f ca="1">IFERROR(__xludf.DUMMYFUNCTION("""COMPUTED_VALUE""")," MUNICIPALIDAD DE SAN BERNARDO ")</f>
        <v xml:space="preserve"> MUNICIPALIDAD DE SAN BERNARDO </v>
      </c>
    </row>
    <row r="218" spans="1:24" ht="15.75" customHeight="1" x14ac:dyDescent="0.25">
      <c r="A218" s="16" t="str">
        <f ca="1">IFERROR(__xludf.DUMMYFUNCTION("""COMPUTED_VALUE""")," REGIÓN METROPOLITANA ")</f>
        <v xml:space="preserve"> REGIÓN METROPOLITANA </v>
      </c>
      <c r="B218" s="16" t="str">
        <f t="shared" ca="1" si="0"/>
        <v xml:space="preserve"> LA GRANJA </v>
      </c>
      <c r="C218" s="16" t="str">
        <f ca="1">IFERROR(__xludf.DUMMYFUNCTION("""COMPUTED_VALUE""")," MEJORAMIENTO PLAZA RENATO SOTO MARÍN PCSV ")</f>
        <v xml:space="preserve"> MEJORAMIENTO PLAZA RENATO SOTO MARÍN PCSV </v>
      </c>
      <c r="D218" s="16" t="str">
        <f ca="1">IFERROR(__xludf.DUMMYFUNCTION("""COMPUTED_VALUE""")," 1-C-2023-2312 ")</f>
        <v xml:space="preserve"> 1-C-2023-2312 </v>
      </c>
      <c r="E218" s="16" t="str">
        <f ca="1">IFERROR(__xludf.DUMMYFUNCTION("""COMPUTED_VALUE""")," 100% Girado ")</f>
        <v xml:space="preserve"> 100% Girado </v>
      </c>
      <c r="F218" s="17">
        <f ca="1">IFERROR(__xludf.DUMMYFUNCTION("""COMPUTED_VALUE"""),45316)</f>
        <v>45316</v>
      </c>
      <c r="G218" s="16">
        <f ca="1">IFERROR(__xludf.DUMMYFUNCTION("""COMPUTED_VALUE"""),153919434)</f>
        <v>153919434</v>
      </c>
      <c r="H218" s="16" t="str">
        <f ca="1">IFERROR(__xludf.DUMMYFUNCTION("""COMPUTED_VALUE""")," 100% Girado ")</f>
        <v xml:space="preserve"> 100% Girado </v>
      </c>
      <c r="I218" s="16">
        <f ca="1">IFERROR(__xludf.DUMMYFUNCTION("""COMPUTED_VALUE"""),153919434)</f>
        <v>153919434</v>
      </c>
      <c r="J218" s="83" t="s">
        <v>48</v>
      </c>
      <c r="K218" s="16"/>
      <c r="L218" s="16">
        <f ca="1">IFERROR(__xludf.DUMMYFUNCTION("""COMPUTED_VALUE"""),153919434)</f>
        <v>153919434</v>
      </c>
      <c r="M218" s="16"/>
      <c r="N218" s="21">
        <f ca="1">IFERROR(__xludf.DUMMYFUNCTION("""COMPUTED_VALUE"""),0)</f>
        <v>0</v>
      </c>
      <c r="O218" s="19"/>
      <c r="P218" s="19"/>
      <c r="Q218" s="19"/>
      <c r="R218" s="19"/>
      <c r="S218" s="19"/>
      <c r="T218" s="19"/>
      <c r="U218" s="19"/>
      <c r="V218" s="19"/>
      <c r="W218" s="20">
        <f ca="1">IFERROR(__xludf.DUMMYFUNCTION("""COMPUTED_VALUE"""),153919434)</f>
        <v>153919434</v>
      </c>
      <c r="X218" s="20" t="str">
        <f ca="1">IFERROR(__xludf.DUMMYFUNCTION("""COMPUTED_VALUE""")," MUNICIPALIDAD DE LA GRANJA ")</f>
        <v xml:space="preserve"> MUNICIPALIDAD DE LA GRANJA </v>
      </c>
    </row>
    <row r="219" spans="1:24" ht="15.75" customHeight="1" x14ac:dyDescent="0.25">
      <c r="A219" s="16" t="str">
        <f ca="1">IFERROR(__xludf.DUMMYFUNCTION("""COMPUTED_VALUE""")," REGIÓN METROPOLITANA ")</f>
        <v xml:space="preserve"> REGIÓN METROPOLITANA </v>
      </c>
      <c r="B219" s="16" t="str">
        <f t="shared" ca="1" si="0"/>
        <v xml:space="preserve"> LA GRANJA </v>
      </c>
      <c r="C219" s="16" t="str">
        <f ca="1">IFERROR(__xludf.DUMMYFUNCTION("""COMPUTED_VALUE""")," MEJORAMIENTO ESPACIO PÚBLICO EISENHOWER PCSV ")</f>
        <v xml:space="preserve"> MEJORAMIENTO ESPACIO PÚBLICO EISENHOWER PCSV </v>
      </c>
      <c r="D219" s="16" t="str">
        <f ca="1">IFERROR(__xludf.DUMMYFUNCTION("""COMPUTED_VALUE""")," 1-C-2023-2314 ")</f>
        <v xml:space="preserve"> 1-C-2023-2314 </v>
      </c>
      <c r="E219" s="16" t="str">
        <f ca="1">IFERROR(__xludf.DUMMYFUNCTION("""COMPUTED_VALUE""")," 100% Girado ")</f>
        <v xml:space="preserve"> 100% Girado </v>
      </c>
      <c r="F219" s="17">
        <f ca="1">IFERROR(__xludf.DUMMYFUNCTION("""COMPUTED_VALUE"""),45316)</f>
        <v>45316</v>
      </c>
      <c r="G219" s="16">
        <f ca="1">IFERROR(__xludf.DUMMYFUNCTION("""COMPUTED_VALUE"""),109988066)</f>
        <v>109988066</v>
      </c>
      <c r="H219" s="16" t="str">
        <f ca="1">IFERROR(__xludf.DUMMYFUNCTION("""COMPUTED_VALUE""")," 100% Girado ")</f>
        <v xml:space="preserve"> 100% Girado </v>
      </c>
      <c r="I219" s="16">
        <f ca="1">IFERROR(__xludf.DUMMYFUNCTION("""COMPUTED_VALUE"""),109988066)</f>
        <v>109988066</v>
      </c>
      <c r="J219" s="83" t="s">
        <v>48</v>
      </c>
      <c r="K219" s="16"/>
      <c r="L219" s="16">
        <f ca="1">IFERROR(__xludf.DUMMYFUNCTION("""COMPUTED_VALUE"""),109988066)</f>
        <v>109988066</v>
      </c>
      <c r="M219" s="16"/>
      <c r="N219" s="21">
        <f ca="1">IFERROR(__xludf.DUMMYFUNCTION("""COMPUTED_VALUE"""),0)</f>
        <v>0</v>
      </c>
      <c r="O219" s="19"/>
      <c r="P219" s="19"/>
      <c r="Q219" s="19"/>
      <c r="R219" s="19"/>
      <c r="S219" s="19"/>
      <c r="T219" s="19"/>
      <c r="U219" s="19"/>
      <c r="V219" s="19"/>
      <c r="W219" s="20">
        <f ca="1">IFERROR(__xludf.DUMMYFUNCTION("""COMPUTED_VALUE"""),109988066)</f>
        <v>109988066</v>
      </c>
      <c r="X219" s="20" t="str">
        <f ca="1">IFERROR(__xludf.DUMMYFUNCTION("""COMPUTED_VALUE""")," MUNICIPALIDAD DE LA GRANJA ")</f>
        <v xml:space="preserve"> MUNICIPALIDAD DE LA GRANJA </v>
      </c>
    </row>
    <row r="220" spans="1:24" ht="15.75" customHeight="1" x14ac:dyDescent="0.25">
      <c r="A220" s="16" t="str">
        <f ca="1">IFERROR(__xludf.DUMMYFUNCTION("""COMPUTED_VALUE""")," REGIÓN METROPOLITANA ")</f>
        <v xml:space="preserve"> REGIÓN METROPOLITANA </v>
      </c>
      <c r="B220" s="16" t="str">
        <f t="shared" ca="1" si="0"/>
        <v xml:space="preserve"> PEÑALOLÉN </v>
      </c>
      <c r="C220" s="16" t="str">
        <f ca="1">IFERROR(__xludf.DUMMYFUNCTION("""COMPUTED_VALUE""")," (CSV) REPOSICIÓN CIERRO PERIMETRAL Y DEMARCACIÓN MULTICANCHA ESPACIO RECREATIVO Y CULTURAL VÍCTOR JARA ")</f>
        <v xml:space="preserve"> (CSV) REPOSICIÓN CIERRO PERIMETRAL Y DEMARCACIÓN MULTICANCHA ESPACIO RECREATIVO Y CULTURAL VÍCTOR JARA </v>
      </c>
      <c r="D220" s="16" t="str">
        <f ca="1">IFERROR(__xludf.DUMMYFUNCTION("""COMPUTED_VALUE""")," 1-C-2023-2322 ")</f>
        <v xml:space="preserve"> 1-C-2023-2322 </v>
      </c>
      <c r="E220" s="16" t="str">
        <f ca="1">IFERROR(__xludf.DUMMYFUNCTION("""COMPUTED_VALUE""")," 100% Girado ")</f>
        <v xml:space="preserve"> 100% Girado </v>
      </c>
      <c r="F220" s="17">
        <f ca="1">IFERROR(__xludf.DUMMYFUNCTION("""COMPUTED_VALUE"""),45316)</f>
        <v>45316</v>
      </c>
      <c r="G220" s="16">
        <f ca="1">IFERROR(__xludf.DUMMYFUNCTION("""COMPUTED_VALUE"""),28329503)</f>
        <v>28329503</v>
      </c>
      <c r="H220" s="16" t="str">
        <f ca="1">IFERROR(__xludf.DUMMYFUNCTION("""COMPUTED_VALUE""")," 100% Girado ")</f>
        <v xml:space="preserve"> 100% Girado </v>
      </c>
      <c r="I220" s="16">
        <f ca="1">IFERROR(__xludf.DUMMYFUNCTION("""COMPUTED_VALUE"""),28329503)</f>
        <v>28329503</v>
      </c>
      <c r="J220" s="83" t="s">
        <v>48</v>
      </c>
      <c r="K220" s="16"/>
      <c r="L220" s="16">
        <f ca="1">IFERROR(__xludf.DUMMYFUNCTION("""COMPUTED_VALUE"""),28329503)</f>
        <v>28329503</v>
      </c>
      <c r="M220" s="16"/>
      <c r="N220" s="21">
        <f ca="1">IFERROR(__xludf.DUMMYFUNCTION("""COMPUTED_VALUE"""),0)</f>
        <v>0</v>
      </c>
      <c r="O220" s="19"/>
      <c r="P220" s="19"/>
      <c r="Q220" s="19"/>
      <c r="R220" s="19"/>
      <c r="S220" s="19"/>
      <c r="T220" s="19"/>
      <c r="U220" s="19"/>
      <c r="V220" s="19"/>
      <c r="W220" s="20">
        <f ca="1">IFERROR(__xludf.DUMMYFUNCTION("""COMPUTED_VALUE"""),28329503)</f>
        <v>28329503</v>
      </c>
      <c r="X220" s="20" t="str">
        <f ca="1">IFERROR(__xludf.DUMMYFUNCTION("""COMPUTED_VALUE""")," MUNICIPALIDAD DE PEÑALOLÉN ")</f>
        <v xml:space="preserve"> MUNICIPALIDAD DE PEÑALOLÉN </v>
      </c>
    </row>
    <row r="221" spans="1:24" ht="15.75" customHeight="1" x14ac:dyDescent="0.25">
      <c r="A221" s="16" t="str">
        <f ca="1">IFERROR(__xludf.DUMMYFUNCTION("""COMPUTED_VALUE""")," REGIÓN METROPOLITANA ")</f>
        <v xml:space="preserve"> REGIÓN METROPOLITANA </v>
      </c>
      <c r="B221" s="16" t="str">
        <f t="shared" ca="1" si="0"/>
        <v xml:space="preserve"> SAN JOAQUÍN </v>
      </c>
      <c r="C221" s="16" t="str">
        <f ca="1">IFERROR(__xludf.DUMMYFUNCTION("""COMPUTED_VALUE""")," MEJORAMIENTO DE ILUMINACIÓN EN COPROPIEDADES SECTOR INGENIERO MARIO DÍAZ, SAN JOAQUÍN ")</f>
        <v xml:space="preserve"> MEJORAMIENTO DE ILUMINACIÓN EN COPROPIEDADES SECTOR INGENIERO MARIO DÍAZ, SAN JOAQUÍN </v>
      </c>
      <c r="D221" s="16" t="str">
        <f ca="1">IFERROR(__xludf.DUMMYFUNCTION("""COMPUTED_VALUE""")," 1-C-2023-2339 ")</f>
        <v xml:space="preserve"> 1-C-2023-2339 </v>
      </c>
      <c r="E221" s="16" t="str">
        <f ca="1">IFERROR(__xludf.DUMMYFUNCTION("""COMPUTED_VALUE""")," 100% Girado ")</f>
        <v xml:space="preserve"> 100% Girado </v>
      </c>
      <c r="F221" s="17">
        <f ca="1">IFERROR(__xludf.DUMMYFUNCTION("""COMPUTED_VALUE"""),45320)</f>
        <v>45320</v>
      </c>
      <c r="G221" s="16">
        <f ca="1">IFERROR(__xludf.DUMMYFUNCTION("""COMPUTED_VALUE"""),68704696)</f>
        <v>68704696</v>
      </c>
      <c r="H221" s="16" t="str">
        <f ca="1">IFERROR(__xludf.DUMMYFUNCTION("""COMPUTED_VALUE""")," 100% Girado ")</f>
        <v xml:space="preserve"> 100% Girado </v>
      </c>
      <c r="I221" s="16">
        <f ca="1">IFERROR(__xludf.DUMMYFUNCTION("""COMPUTED_VALUE"""),68704696)</f>
        <v>68704696</v>
      </c>
      <c r="J221" s="83" t="s">
        <v>48</v>
      </c>
      <c r="K221" s="16"/>
      <c r="L221" s="16">
        <f ca="1">IFERROR(__xludf.DUMMYFUNCTION("""COMPUTED_VALUE"""),68704696)</f>
        <v>68704696</v>
      </c>
      <c r="M221" s="16"/>
      <c r="N221" s="21">
        <f ca="1">IFERROR(__xludf.DUMMYFUNCTION("""COMPUTED_VALUE"""),0)</f>
        <v>0</v>
      </c>
      <c r="O221" s="19"/>
      <c r="P221" s="19"/>
      <c r="Q221" s="19"/>
      <c r="R221" s="19"/>
      <c r="S221" s="19"/>
      <c r="T221" s="19"/>
      <c r="U221" s="19"/>
      <c r="V221" s="19"/>
      <c r="W221" s="20">
        <f ca="1">IFERROR(__xludf.DUMMYFUNCTION("""COMPUTED_VALUE"""),68704696)</f>
        <v>68704696</v>
      </c>
      <c r="X221" s="20" t="str">
        <f ca="1">IFERROR(__xludf.DUMMYFUNCTION("""COMPUTED_VALUE""")," MUNICIPALIDAD DE SAN JOAQUÍN ")</f>
        <v xml:space="preserve"> MUNICIPALIDAD DE SAN JOAQUÍN </v>
      </c>
    </row>
    <row r="222" spans="1:24" ht="15.75" customHeight="1" x14ac:dyDescent="0.25">
      <c r="A222" s="16" t="str">
        <f ca="1">IFERROR(__xludf.DUMMYFUNCTION("""COMPUTED_VALUE""")," REGIÓN METROPOLITANA ")</f>
        <v xml:space="preserve"> REGIÓN METROPOLITANA </v>
      </c>
      <c r="B222" s="16" t="str">
        <f t="shared" ca="1" si="0"/>
        <v xml:space="preserve"> SAN JOAQUÍN </v>
      </c>
      <c r="C222" s="16" t="str">
        <f ca="1">IFERROR(__xludf.DUMMYFUNCTION("""COMPUTED_VALUE""")," MEJORAMIENTO ILUMINACIÓN PEATONAL EN DIVERSOS PUNTOS DE SAN JOAQUÍN ")</f>
        <v xml:space="preserve"> MEJORAMIENTO ILUMINACIÓN PEATONAL EN DIVERSOS PUNTOS DE SAN JOAQUÍN </v>
      </c>
      <c r="D222" s="16" t="str">
        <f ca="1">IFERROR(__xludf.DUMMYFUNCTION("""COMPUTED_VALUE""")," 1-C-2023-2342 ")</f>
        <v xml:space="preserve"> 1-C-2023-2342 </v>
      </c>
      <c r="E222" s="16" t="str">
        <f ca="1">IFERROR(__xludf.DUMMYFUNCTION("""COMPUTED_VALUE""")," 100% Girado ")</f>
        <v xml:space="preserve"> 100% Girado </v>
      </c>
      <c r="F222" s="17">
        <f ca="1">IFERROR(__xludf.DUMMYFUNCTION("""COMPUTED_VALUE"""),45341)</f>
        <v>45341</v>
      </c>
      <c r="G222" s="16">
        <f ca="1">IFERROR(__xludf.DUMMYFUNCTION("""COMPUTED_VALUE"""),151222487)</f>
        <v>151222487</v>
      </c>
      <c r="H222" s="16" t="str">
        <f ca="1">IFERROR(__xludf.DUMMYFUNCTION("""COMPUTED_VALUE""")," 100% Girado ")</f>
        <v xml:space="preserve"> 100% Girado </v>
      </c>
      <c r="I222" s="16">
        <f ca="1">IFERROR(__xludf.DUMMYFUNCTION("""COMPUTED_VALUE"""),151222487)</f>
        <v>151222487</v>
      </c>
      <c r="J222" s="83" t="s">
        <v>48</v>
      </c>
      <c r="K222" s="16"/>
      <c r="L222" s="16">
        <f ca="1">IFERROR(__xludf.DUMMYFUNCTION("""COMPUTED_VALUE"""),151222487)</f>
        <v>151222487</v>
      </c>
      <c r="M222" s="16"/>
      <c r="N222" s="21">
        <f ca="1">IFERROR(__xludf.DUMMYFUNCTION("""COMPUTED_VALUE"""),0)</f>
        <v>0</v>
      </c>
      <c r="O222" s="19"/>
      <c r="P222" s="19"/>
      <c r="Q222" s="19"/>
      <c r="R222" s="19"/>
      <c r="S222" s="19"/>
      <c r="T222" s="19"/>
      <c r="U222" s="19"/>
      <c r="V222" s="19"/>
      <c r="W222" s="20">
        <f ca="1">IFERROR(__xludf.DUMMYFUNCTION("""COMPUTED_VALUE"""),151222487)</f>
        <v>151222487</v>
      </c>
      <c r="X222" s="20" t="str">
        <f ca="1">IFERROR(__xludf.DUMMYFUNCTION("""COMPUTED_VALUE""")," MUNICIPALIDAD DE SAN JOAQUÍN ")</f>
        <v xml:space="preserve"> MUNICIPALIDAD DE SAN JOAQUÍN </v>
      </c>
    </row>
    <row r="223" spans="1:24" ht="15.75" customHeight="1" x14ac:dyDescent="0.25">
      <c r="A223" s="16" t="str">
        <f ca="1">IFERROR(__xludf.DUMMYFUNCTION("""COMPUTED_VALUE""")," REGIÓN METROPOLITANA ")</f>
        <v xml:space="preserve"> REGIÓN METROPOLITANA </v>
      </c>
      <c r="B223" s="16" t="str">
        <f t="shared" ca="1" si="0"/>
        <v xml:space="preserve"> SAN JOAQUÍN </v>
      </c>
      <c r="C223" s="16" t="str">
        <f ca="1">IFERROR(__xludf.DUMMYFUNCTION("""COMPUTED_VALUE""")," MEJORAMIENTO DE ILUMINACIÓN AV. LO OVALLE, SAN JOAQUÍN ")</f>
        <v xml:space="preserve"> MEJORAMIENTO DE ILUMINACIÓN AV. LO OVALLE, SAN JOAQUÍN </v>
      </c>
      <c r="D223" s="16" t="str">
        <f ca="1">IFERROR(__xludf.DUMMYFUNCTION("""COMPUTED_VALUE""")," 1-C-2023-2343 ")</f>
        <v xml:space="preserve"> 1-C-2023-2343 </v>
      </c>
      <c r="E223" s="16" t="str">
        <f ca="1">IFERROR(__xludf.DUMMYFUNCTION("""COMPUTED_VALUE""")," 100% Girado ")</f>
        <v xml:space="preserve"> 100% Girado </v>
      </c>
      <c r="F223" s="17">
        <f ca="1">IFERROR(__xludf.DUMMYFUNCTION("""COMPUTED_VALUE"""),45320)</f>
        <v>45320</v>
      </c>
      <c r="G223" s="16">
        <f ca="1">IFERROR(__xludf.DUMMYFUNCTION("""COMPUTED_VALUE"""),82620796)</f>
        <v>82620796</v>
      </c>
      <c r="H223" s="16" t="str">
        <f ca="1">IFERROR(__xludf.DUMMYFUNCTION("""COMPUTED_VALUE""")," 100% Girado ")</f>
        <v xml:space="preserve"> 100% Girado </v>
      </c>
      <c r="I223" s="16">
        <f ca="1">IFERROR(__xludf.DUMMYFUNCTION("""COMPUTED_VALUE"""),82620796)</f>
        <v>82620796</v>
      </c>
      <c r="J223" s="83" t="s">
        <v>48</v>
      </c>
      <c r="K223" s="16"/>
      <c r="L223" s="16">
        <f ca="1">IFERROR(__xludf.DUMMYFUNCTION("""COMPUTED_VALUE"""),82620796)</f>
        <v>82620796</v>
      </c>
      <c r="M223" s="16"/>
      <c r="N223" s="21">
        <f ca="1">IFERROR(__xludf.DUMMYFUNCTION("""COMPUTED_VALUE"""),0)</f>
        <v>0</v>
      </c>
      <c r="O223" s="19"/>
      <c r="P223" s="19"/>
      <c r="Q223" s="19"/>
      <c r="R223" s="19"/>
      <c r="S223" s="19"/>
      <c r="T223" s="19"/>
      <c r="U223" s="19"/>
      <c r="V223" s="19"/>
      <c r="W223" s="20">
        <f ca="1">IFERROR(__xludf.DUMMYFUNCTION("""COMPUTED_VALUE"""),82620796)</f>
        <v>82620796</v>
      </c>
      <c r="X223" s="20" t="str">
        <f ca="1">IFERROR(__xludf.DUMMYFUNCTION("""COMPUTED_VALUE""")," MUNICIPALIDAD DE SAN JOAQUÍN ")</f>
        <v xml:space="preserve"> MUNICIPALIDAD DE SAN JOAQUÍN </v>
      </c>
    </row>
    <row r="224" spans="1:24" ht="15.75" customHeight="1" x14ac:dyDescent="0.25">
      <c r="A224" s="16" t="str">
        <f ca="1">IFERROR(__xludf.DUMMYFUNCTION("""COMPUTED_VALUE""")," REGIÓN METROPOLITANA ")</f>
        <v xml:space="preserve"> REGIÓN METROPOLITANA </v>
      </c>
      <c r="B224" s="16" t="str">
        <f t="shared" ca="1" si="0"/>
        <v xml:space="preserve"> CERRO NAVIA </v>
      </c>
      <c r="C224" s="16" t="str">
        <f ca="1">IFERROR(__xludf.DUMMYFUNCTION("""COMPUTED_VALUE""")," INSTALACIÓN DE LUMINARIAS PEATONALES LED EN CALLE MAR DE CHILE, ENTRE COSTANERA SUR Y RÍO DOURO ")</f>
        <v xml:space="preserve"> INSTALACIÓN DE LUMINARIAS PEATONALES LED EN CALLE MAR DE CHILE, ENTRE COSTANERA SUR Y RÍO DOURO </v>
      </c>
      <c r="D224" s="16" t="str">
        <f ca="1">IFERROR(__xludf.DUMMYFUNCTION("""COMPUTED_VALUE""")," 1-C-2023-2358 ")</f>
        <v xml:space="preserve"> 1-C-2023-2358 </v>
      </c>
      <c r="E224" s="16" t="str">
        <f ca="1">IFERROR(__xludf.DUMMYFUNCTION("""COMPUTED_VALUE""")," 100% Girado ")</f>
        <v xml:space="preserve"> 100% Girado </v>
      </c>
      <c r="F224" s="17">
        <f ca="1">IFERROR(__xludf.DUMMYFUNCTION("""COMPUTED_VALUE"""),45320)</f>
        <v>45320</v>
      </c>
      <c r="G224" s="16">
        <f ca="1">IFERROR(__xludf.DUMMYFUNCTION("""COMPUTED_VALUE"""),118724999)</f>
        <v>118724999</v>
      </c>
      <c r="H224" s="16" t="str">
        <f ca="1">IFERROR(__xludf.DUMMYFUNCTION("""COMPUTED_VALUE""")," 100% Girado ")</f>
        <v xml:space="preserve"> 100% Girado </v>
      </c>
      <c r="I224" s="16">
        <f ca="1">IFERROR(__xludf.DUMMYFUNCTION("""COMPUTED_VALUE"""),118724999)</f>
        <v>118724999</v>
      </c>
      <c r="J224" s="83" t="s">
        <v>48</v>
      </c>
      <c r="K224" s="16"/>
      <c r="L224" s="16">
        <f ca="1">IFERROR(__xludf.DUMMYFUNCTION("""COMPUTED_VALUE"""),118724999)</f>
        <v>118724999</v>
      </c>
      <c r="M224" s="16"/>
      <c r="N224" s="21">
        <f ca="1">IFERROR(__xludf.DUMMYFUNCTION("""COMPUTED_VALUE"""),0)</f>
        <v>0</v>
      </c>
      <c r="O224" s="19"/>
      <c r="P224" s="19"/>
      <c r="Q224" s="19"/>
      <c r="R224" s="19"/>
      <c r="S224" s="19"/>
      <c r="T224" s="19"/>
      <c r="U224" s="19"/>
      <c r="V224" s="19"/>
      <c r="W224" s="20">
        <f ca="1">IFERROR(__xludf.DUMMYFUNCTION("""COMPUTED_VALUE"""),118724999)</f>
        <v>118724999</v>
      </c>
      <c r="X224" s="20" t="str">
        <f ca="1">IFERROR(__xludf.DUMMYFUNCTION("""COMPUTED_VALUE""")," MUNICIPALIDAD DE CERRO NAVIA ")</f>
        <v xml:space="preserve"> MUNICIPALIDAD DE CERRO NAVIA </v>
      </c>
    </row>
    <row r="225" spans="1:24" ht="15.75" customHeight="1" x14ac:dyDescent="0.25">
      <c r="A225" s="16" t="str">
        <f ca="1">IFERROR(__xludf.DUMMYFUNCTION("""COMPUTED_VALUE""")," REGIÓN METROPOLITANA ")</f>
        <v xml:space="preserve"> REGIÓN METROPOLITANA </v>
      </c>
      <c r="B225" s="16" t="str">
        <f t="shared" ca="1" si="0"/>
        <v xml:space="preserve"> CERRO NAVIA </v>
      </c>
      <c r="C225" s="16" t="str">
        <f ca="1">IFERROR(__xludf.DUMMYFUNCTION("""COMPUTED_VALUE""")," INSTALACIÓN DE LUMINARIAS PEATONALES LED EN CALLE SERRANO, ENTRE COSTANERA SUR Y RÍO DOURO ")</f>
        <v xml:space="preserve"> INSTALACIÓN DE LUMINARIAS PEATONALES LED EN CALLE SERRANO, ENTRE COSTANERA SUR Y RÍO DOURO </v>
      </c>
      <c r="D225" s="16" t="str">
        <f ca="1">IFERROR(__xludf.DUMMYFUNCTION("""COMPUTED_VALUE""")," 1-C-2023-2360 ")</f>
        <v xml:space="preserve"> 1-C-2023-2360 </v>
      </c>
      <c r="E225" s="16" t="str">
        <f ca="1">IFERROR(__xludf.DUMMYFUNCTION("""COMPUTED_VALUE""")," 100% Girado ")</f>
        <v xml:space="preserve"> 100% Girado </v>
      </c>
      <c r="F225" s="17">
        <f ca="1">IFERROR(__xludf.DUMMYFUNCTION("""COMPUTED_VALUE"""),45320)</f>
        <v>45320</v>
      </c>
      <c r="G225" s="16">
        <f ca="1">IFERROR(__xludf.DUMMYFUNCTION("""COMPUTED_VALUE"""),109267332)</f>
        <v>109267332</v>
      </c>
      <c r="H225" s="16" t="str">
        <f ca="1">IFERROR(__xludf.DUMMYFUNCTION("""COMPUTED_VALUE""")," 100% Girado ")</f>
        <v xml:space="preserve"> 100% Girado </v>
      </c>
      <c r="I225" s="16">
        <f ca="1">IFERROR(__xludf.DUMMYFUNCTION("""COMPUTED_VALUE"""),109267332)</f>
        <v>109267332</v>
      </c>
      <c r="J225" s="83" t="s">
        <v>48</v>
      </c>
      <c r="K225" s="16"/>
      <c r="L225" s="16">
        <f ca="1">IFERROR(__xludf.DUMMYFUNCTION("""COMPUTED_VALUE"""),109267332)</f>
        <v>109267332</v>
      </c>
      <c r="M225" s="16"/>
      <c r="N225" s="21">
        <f ca="1">IFERROR(__xludf.DUMMYFUNCTION("""COMPUTED_VALUE"""),0)</f>
        <v>0</v>
      </c>
      <c r="O225" s="19"/>
      <c r="P225" s="19"/>
      <c r="Q225" s="19"/>
      <c r="R225" s="19"/>
      <c r="S225" s="19"/>
      <c r="T225" s="19"/>
      <c r="U225" s="19"/>
      <c r="V225" s="19"/>
      <c r="W225" s="20">
        <f ca="1">IFERROR(__xludf.DUMMYFUNCTION("""COMPUTED_VALUE"""),109267332)</f>
        <v>109267332</v>
      </c>
      <c r="X225" s="20" t="str">
        <f ca="1">IFERROR(__xludf.DUMMYFUNCTION("""COMPUTED_VALUE""")," MUNICIPALIDAD DE CERRO NAVIA ")</f>
        <v xml:space="preserve"> MUNICIPALIDAD DE CERRO NAVIA </v>
      </c>
    </row>
    <row r="226" spans="1:24" ht="15.75" customHeight="1" x14ac:dyDescent="0.25">
      <c r="A226" s="16" t="str">
        <f ca="1">IFERROR(__xludf.DUMMYFUNCTION("""COMPUTED_VALUE""")," REGIÓN METROPOLITANA ")</f>
        <v xml:space="preserve"> REGIÓN METROPOLITANA </v>
      </c>
      <c r="B226" s="16" t="str">
        <f t="shared" ca="1" si="0"/>
        <v xml:space="preserve"> CERRO NAVIA </v>
      </c>
      <c r="C226" s="16" t="str">
        <f ca="1">IFERROR(__xludf.DUMMYFUNCTION("""COMPUTED_VALUE""")," INSTALACIÓN DE LUMINARIAS PEATONALES LED EN CALLE DOCTOR AVENDAÑO, ENTRE COSTANERA SUR Y FANALOZA ")</f>
        <v xml:space="preserve"> INSTALACIÓN DE LUMINARIAS PEATONALES LED EN CALLE DOCTOR AVENDAÑO, ENTRE COSTANERA SUR Y FANALOZA </v>
      </c>
      <c r="D226" s="16" t="str">
        <f ca="1">IFERROR(__xludf.DUMMYFUNCTION("""COMPUTED_VALUE""")," 1-C-2023-2361 ")</f>
        <v xml:space="preserve"> 1-C-2023-2361 </v>
      </c>
      <c r="E226" s="16" t="str">
        <f ca="1">IFERROR(__xludf.DUMMYFUNCTION("""COMPUTED_VALUE""")," 100% Girado ")</f>
        <v xml:space="preserve"> 100% Girado </v>
      </c>
      <c r="F226" s="17">
        <f ca="1">IFERROR(__xludf.DUMMYFUNCTION("""COMPUTED_VALUE"""),45320)</f>
        <v>45320</v>
      </c>
      <c r="G226" s="16">
        <f ca="1">IFERROR(__xludf.DUMMYFUNCTION("""COMPUTED_VALUE"""),110928084)</f>
        <v>110928084</v>
      </c>
      <c r="H226" s="16" t="str">
        <f ca="1">IFERROR(__xludf.DUMMYFUNCTION("""COMPUTED_VALUE""")," 100% Girado ")</f>
        <v xml:space="preserve"> 100% Girado </v>
      </c>
      <c r="I226" s="16">
        <f ca="1">IFERROR(__xludf.DUMMYFUNCTION("""COMPUTED_VALUE"""),110928084)</f>
        <v>110928084</v>
      </c>
      <c r="J226" s="83" t="s">
        <v>48</v>
      </c>
      <c r="K226" s="16"/>
      <c r="L226" s="16">
        <f ca="1">IFERROR(__xludf.DUMMYFUNCTION("""COMPUTED_VALUE"""),110928084)</f>
        <v>110928084</v>
      </c>
      <c r="M226" s="16"/>
      <c r="N226" s="21">
        <f ca="1">IFERROR(__xludf.DUMMYFUNCTION("""COMPUTED_VALUE"""),0)</f>
        <v>0</v>
      </c>
      <c r="O226" s="19"/>
      <c r="P226" s="19"/>
      <c r="Q226" s="19"/>
      <c r="R226" s="19"/>
      <c r="S226" s="19"/>
      <c r="T226" s="19"/>
      <c r="U226" s="19"/>
      <c r="V226" s="19"/>
      <c r="W226" s="20">
        <f ca="1">IFERROR(__xludf.DUMMYFUNCTION("""COMPUTED_VALUE"""),110928084)</f>
        <v>110928084</v>
      </c>
      <c r="X226" s="20" t="str">
        <f ca="1">IFERROR(__xludf.DUMMYFUNCTION("""COMPUTED_VALUE""")," MUNICIPALIDAD DE CERRO NAVIA ")</f>
        <v xml:space="preserve"> MUNICIPALIDAD DE CERRO NAVIA </v>
      </c>
    </row>
    <row r="227" spans="1:24" ht="15.75" customHeight="1" x14ac:dyDescent="0.25">
      <c r="A227" s="16" t="str">
        <f ca="1">IFERROR(__xludf.DUMMYFUNCTION("""COMPUTED_VALUE""")," REGIÓN METROPOLITANA ")</f>
        <v xml:space="preserve"> REGIÓN METROPOLITANA </v>
      </c>
      <c r="B227" s="16" t="str">
        <f t="shared" ca="1" si="0"/>
        <v xml:space="preserve"> CERRO NAVIA </v>
      </c>
      <c r="C227" s="16" t="str">
        <f ca="1">IFERROR(__xludf.DUMMYFUNCTION("""COMPUTED_VALUE""")," INSTALACIÓN DE LUMINARIAS PEATONALES LED EN CALLE SANTOS LUIS MEDEL, ENTRE COSTANERA SUR Y MAPOCHO ")</f>
        <v xml:space="preserve"> INSTALACIÓN DE LUMINARIAS PEATONALES LED EN CALLE SANTOS LUIS MEDEL, ENTRE COSTANERA SUR Y MAPOCHO </v>
      </c>
      <c r="D227" s="16" t="str">
        <f ca="1">IFERROR(__xludf.DUMMYFUNCTION("""COMPUTED_VALUE""")," 1-C-2023-2362 ")</f>
        <v xml:space="preserve"> 1-C-2023-2362 </v>
      </c>
      <c r="E227" s="16" t="str">
        <f ca="1">IFERROR(__xludf.DUMMYFUNCTION("""COMPUTED_VALUE""")," 100% Girado ")</f>
        <v xml:space="preserve"> 100% Girado </v>
      </c>
      <c r="F227" s="17">
        <f ca="1">IFERROR(__xludf.DUMMYFUNCTION("""COMPUTED_VALUE"""),45320)</f>
        <v>45320</v>
      </c>
      <c r="G227" s="16">
        <f ca="1">IFERROR(__xludf.DUMMYFUNCTION("""COMPUTED_VALUE"""),144233392)</f>
        <v>144233392</v>
      </c>
      <c r="H227" s="16" t="str">
        <f ca="1">IFERROR(__xludf.DUMMYFUNCTION("""COMPUTED_VALUE""")," 100% Girado ")</f>
        <v xml:space="preserve"> 100% Girado </v>
      </c>
      <c r="I227" s="16">
        <f ca="1">IFERROR(__xludf.DUMMYFUNCTION("""COMPUTED_VALUE"""),144233392)</f>
        <v>144233392</v>
      </c>
      <c r="J227" s="83" t="s">
        <v>48</v>
      </c>
      <c r="K227" s="16"/>
      <c r="L227" s="16">
        <f ca="1">IFERROR(__xludf.DUMMYFUNCTION("""COMPUTED_VALUE"""),144233392)</f>
        <v>144233392</v>
      </c>
      <c r="M227" s="16"/>
      <c r="N227" s="21">
        <f ca="1">IFERROR(__xludf.DUMMYFUNCTION("""COMPUTED_VALUE"""),0)</f>
        <v>0</v>
      </c>
      <c r="O227" s="19"/>
      <c r="P227" s="19"/>
      <c r="Q227" s="19"/>
      <c r="R227" s="19"/>
      <c r="S227" s="19"/>
      <c r="T227" s="19"/>
      <c r="U227" s="19"/>
      <c r="V227" s="19"/>
      <c r="W227" s="20">
        <f ca="1">IFERROR(__xludf.DUMMYFUNCTION("""COMPUTED_VALUE"""),144233392)</f>
        <v>144233392</v>
      </c>
      <c r="X227" s="20" t="str">
        <f ca="1">IFERROR(__xludf.DUMMYFUNCTION("""COMPUTED_VALUE""")," MUNICIPALIDAD DE CERRO NAVIA ")</f>
        <v xml:space="preserve"> MUNICIPALIDAD DE CERRO NAVIA </v>
      </c>
    </row>
    <row r="228" spans="1:24" ht="15.75" customHeight="1" x14ac:dyDescent="0.25">
      <c r="A228" s="16" t="str">
        <f ca="1">IFERROR(__xludf.DUMMYFUNCTION("""COMPUTED_VALUE""")," REGIÓN METROPOLITANA ")</f>
        <v xml:space="preserve"> REGIÓN METROPOLITANA </v>
      </c>
      <c r="B228" s="16" t="str">
        <f t="shared" ca="1" si="0"/>
        <v xml:space="preserve"> PEÑALOLÉN </v>
      </c>
      <c r="C228" s="16" t="str">
        <f ca="1">IFERROR(__xludf.DUMMYFUNCTION("""COMPUTED_VALUE""")," CSV MEJORAMIENTO DE ILUMINACIÓN SANCHEZ FONTECILLA ENTRE AV GRECIA Y CAMILO MORI ")</f>
        <v xml:space="preserve"> CSV MEJORAMIENTO DE ILUMINACIÓN SANCHEZ FONTECILLA ENTRE AV GRECIA Y CAMILO MORI </v>
      </c>
      <c r="D228" s="16" t="str">
        <f ca="1">IFERROR(__xludf.DUMMYFUNCTION("""COMPUTED_VALUE""")," 1-C-2023-2379 ")</f>
        <v xml:space="preserve"> 1-C-2023-2379 </v>
      </c>
      <c r="E228" s="16" t="str">
        <f ca="1">IFERROR(__xludf.DUMMYFUNCTION("""COMPUTED_VALUE""")," 100% Girado ")</f>
        <v xml:space="preserve"> 100% Girado </v>
      </c>
      <c r="F228" s="17">
        <f ca="1">IFERROR(__xludf.DUMMYFUNCTION("""COMPUTED_VALUE"""),45316)</f>
        <v>45316</v>
      </c>
      <c r="G228" s="16">
        <f ca="1">IFERROR(__xludf.DUMMYFUNCTION("""COMPUTED_VALUE"""),117736097)</f>
        <v>117736097</v>
      </c>
      <c r="H228" s="16" t="str">
        <f ca="1">IFERROR(__xludf.DUMMYFUNCTION("""COMPUTED_VALUE""")," 100% Girado ")</f>
        <v xml:space="preserve"> 100% Girado </v>
      </c>
      <c r="I228" s="16">
        <f ca="1">IFERROR(__xludf.DUMMYFUNCTION("""COMPUTED_VALUE"""),117736097)</f>
        <v>117736097</v>
      </c>
      <c r="J228" s="83" t="s">
        <v>48</v>
      </c>
      <c r="K228" s="16"/>
      <c r="L228" s="16">
        <f ca="1">IFERROR(__xludf.DUMMYFUNCTION("""COMPUTED_VALUE"""),117736097)</f>
        <v>117736097</v>
      </c>
      <c r="M228" s="16"/>
      <c r="N228" s="21">
        <f ca="1">IFERROR(__xludf.DUMMYFUNCTION("""COMPUTED_VALUE"""),0)</f>
        <v>0</v>
      </c>
      <c r="O228" s="19"/>
      <c r="P228" s="19"/>
      <c r="Q228" s="19"/>
      <c r="R228" s="19"/>
      <c r="S228" s="19"/>
      <c r="T228" s="19"/>
      <c r="U228" s="19"/>
      <c r="V228" s="19"/>
      <c r="W228" s="20">
        <f ca="1">IFERROR(__xludf.DUMMYFUNCTION("""COMPUTED_VALUE"""),117736097)</f>
        <v>117736097</v>
      </c>
      <c r="X228" s="20" t="str">
        <f ca="1">IFERROR(__xludf.DUMMYFUNCTION("""COMPUTED_VALUE""")," MUNICIPALIDAD DE PEÑALOLÉN ")</f>
        <v xml:space="preserve"> MUNICIPALIDAD DE PEÑALOLÉN </v>
      </c>
    </row>
    <row r="229" spans="1:24" ht="15.75" customHeight="1" x14ac:dyDescent="0.25">
      <c r="A229" s="16" t="str">
        <f ca="1">IFERROR(__xludf.DUMMYFUNCTION("""COMPUTED_VALUE""")," REGIÓN METROPOLITANA ")</f>
        <v xml:space="preserve"> REGIÓN METROPOLITANA </v>
      </c>
      <c r="B229" s="16" t="str">
        <f t="shared" ca="1" si="0"/>
        <v xml:space="preserve"> LA PINTANA </v>
      </c>
      <c r="C229" s="16" t="str">
        <f ca="1">IFERROR(__xludf.DUMMYFUNCTION("""COMPUTED_VALUE""")," MEJORAMIENTO DE ILUMINACIÓN EN ÁREAS VERDES CUADRANTE VENANCIA LEIVA- AV. SANTA ROSA - AV. OBSERVATORIO Y LA BANDERA, LA PINTANA ")</f>
        <v xml:space="preserve"> MEJORAMIENTO DE ILUMINACIÓN EN ÁREAS VERDES CUADRANTE VENANCIA LEIVA- AV. SANTA ROSA - AV. OBSERVATORIO Y LA BANDERA, LA PINTANA </v>
      </c>
      <c r="D229" s="16" t="str">
        <f ca="1">IFERROR(__xludf.DUMMYFUNCTION("""COMPUTED_VALUE""")," 1-C-2023-2411 ")</f>
        <v xml:space="preserve"> 1-C-2023-2411 </v>
      </c>
      <c r="E229" s="16" t="str">
        <f ca="1">IFERROR(__xludf.DUMMYFUNCTION("""COMPUTED_VALUE""")," 100% Girado ")</f>
        <v xml:space="preserve"> 100% Girado </v>
      </c>
      <c r="F229" s="17">
        <f ca="1">IFERROR(__xludf.DUMMYFUNCTION("""COMPUTED_VALUE"""),45331)</f>
        <v>45331</v>
      </c>
      <c r="G229" s="16">
        <f ca="1">IFERROR(__xludf.DUMMYFUNCTION("""COMPUTED_VALUE"""),100967009)</f>
        <v>100967009</v>
      </c>
      <c r="H229" s="16" t="str">
        <f ca="1">IFERROR(__xludf.DUMMYFUNCTION("""COMPUTED_VALUE""")," 100% Girado ")</f>
        <v xml:space="preserve"> 100% Girado </v>
      </c>
      <c r="I229" s="16">
        <f ca="1">IFERROR(__xludf.DUMMYFUNCTION("""COMPUTED_VALUE"""),100967009)</f>
        <v>100967009</v>
      </c>
      <c r="J229" s="83" t="s">
        <v>48</v>
      </c>
      <c r="K229" s="16"/>
      <c r="L229" s="16">
        <f ca="1">IFERROR(__xludf.DUMMYFUNCTION("""COMPUTED_VALUE"""),100967009)</f>
        <v>100967009</v>
      </c>
      <c r="M229" s="16"/>
      <c r="N229" s="21">
        <f ca="1">IFERROR(__xludf.DUMMYFUNCTION("""COMPUTED_VALUE"""),0)</f>
        <v>0</v>
      </c>
      <c r="O229" s="19"/>
      <c r="P229" s="19"/>
      <c r="Q229" s="19"/>
      <c r="R229" s="19"/>
      <c r="S229" s="19"/>
      <c r="T229" s="19"/>
      <c r="U229" s="19"/>
      <c r="V229" s="19"/>
      <c r="W229" s="20">
        <f ca="1">IFERROR(__xludf.DUMMYFUNCTION("""COMPUTED_VALUE"""),100967009)</f>
        <v>100967009</v>
      </c>
      <c r="X229" s="20" t="str">
        <f ca="1">IFERROR(__xludf.DUMMYFUNCTION("""COMPUTED_VALUE""")," MUNICIPALIDAD DE LA PINTANA ")</f>
        <v xml:space="preserve"> MUNICIPALIDAD DE LA PINTANA </v>
      </c>
    </row>
    <row r="230" spans="1:24" ht="15.75" customHeight="1" x14ac:dyDescent="0.25">
      <c r="A230" s="16" t="str">
        <f ca="1">IFERROR(__xludf.DUMMYFUNCTION("""COMPUTED_VALUE""")," REGIÓN METROPOLITANA ")</f>
        <v xml:space="preserve"> REGIÓN METROPOLITANA </v>
      </c>
      <c r="B230" s="16" t="str">
        <f t="shared" ca="1" si="0"/>
        <v xml:space="preserve"> LA PINTANA </v>
      </c>
      <c r="C230" s="16" t="str">
        <f ca="1">IFERROR(__xludf.DUMMYFUNCTION("""COMPUTED_VALUE""")," MEJORAMIENTO DE ILUMINACIÓN EN ÁREAS VERDES CUADRANTE VENANCIA LEIVA- LA BANDERA- AV. OBSERVATORIO Y SAN FRANCISCO, LA PINTANA ")</f>
        <v xml:space="preserve"> MEJORAMIENTO DE ILUMINACIÓN EN ÁREAS VERDES CUADRANTE VENANCIA LEIVA- LA BANDERA- AV. OBSERVATORIO Y SAN FRANCISCO, LA PINTANA </v>
      </c>
      <c r="D230" s="16" t="str">
        <f ca="1">IFERROR(__xludf.DUMMYFUNCTION("""COMPUTED_VALUE""")," 1-C-2023-2412 ")</f>
        <v xml:space="preserve"> 1-C-2023-2412 </v>
      </c>
      <c r="E230" s="16" t="str">
        <f ca="1">IFERROR(__xludf.DUMMYFUNCTION("""COMPUTED_VALUE""")," 100% Girado ")</f>
        <v xml:space="preserve"> 100% Girado </v>
      </c>
      <c r="F230" s="17">
        <f ca="1">IFERROR(__xludf.DUMMYFUNCTION("""COMPUTED_VALUE"""),45331)</f>
        <v>45331</v>
      </c>
      <c r="G230" s="16">
        <f ca="1">IFERROR(__xludf.DUMMYFUNCTION("""COMPUTED_VALUE"""),105536167)</f>
        <v>105536167</v>
      </c>
      <c r="H230" s="16" t="str">
        <f ca="1">IFERROR(__xludf.DUMMYFUNCTION("""COMPUTED_VALUE""")," 100% Girado ")</f>
        <v xml:space="preserve"> 100% Girado </v>
      </c>
      <c r="I230" s="16">
        <f ca="1">IFERROR(__xludf.DUMMYFUNCTION("""COMPUTED_VALUE"""),105536167)</f>
        <v>105536167</v>
      </c>
      <c r="J230" s="83" t="s">
        <v>48</v>
      </c>
      <c r="K230" s="16"/>
      <c r="L230" s="16">
        <f ca="1">IFERROR(__xludf.DUMMYFUNCTION("""COMPUTED_VALUE"""),105536167)</f>
        <v>105536167</v>
      </c>
      <c r="M230" s="16"/>
      <c r="N230" s="21">
        <f ca="1">IFERROR(__xludf.DUMMYFUNCTION("""COMPUTED_VALUE"""),0)</f>
        <v>0</v>
      </c>
      <c r="O230" s="19"/>
      <c r="P230" s="19"/>
      <c r="Q230" s="19"/>
      <c r="R230" s="19"/>
      <c r="S230" s="19"/>
      <c r="T230" s="19"/>
      <c r="U230" s="19"/>
      <c r="V230" s="19"/>
      <c r="W230" s="20">
        <f ca="1">IFERROR(__xludf.DUMMYFUNCTION("""COMPUTED_VALUE"""),105536167)</f>
        <v>105536167</v>
      </c>
      <c r="X230" s="20" t="str">
        <f ca="1">IFERROR(__xludf.DUMMYFUNCTION("""COMPUTED_VALUE""")," MUNICIPALIDAD DE LA PINTANA ")</f>
        <v xml:space="preserve"> MUNICIPALIDAD DE LA PINTANA </v>
      </c>
    </row>
    <row r="231" spans="1:24" ht="15.75" customHeight="1" x14ac:dyDescent="0.25">
      <c r="A231" s="16" t="str">
        <f ca="1">IFERROR(__xludf.DUMMYFUNCTION("""COMPUTED_VALUE""")," REGIÓN METROPOLITANA ")</f>
        <v xml:space="preserve"> REGIÓN METROPOLITANA </v>
      </c>
      <c r="B231" s="16" t="str">
        <f t="shared" ca="1" si="0"/>
        <v xml:space="preserve"> LA PINTANA </v>
      </c>
      <c r="C231" s="16" t="str">
        <f ca="1">IFERROR(__xludf.DUMMYFUNCTION("""COMPUTED_VALUE""")," MEJORAMIENTO DE ILUMINACIÓN EN ÁREAS VERDES CUADRANTE SANTO TOMÁS- BAHÍA CATALINA- AV. OBSERVATORIO Y JOAQUÍN EDWARDS BELLO, LA PINTANA ")</f>
        <v xml:space="preserve"> MEJORAMIENTO DE ILUMINACIÓN EN ÁREAS VERDES CUADRANTE SANTO TOMÁS- BAHÍA CATALINA- AV. OBSERVATORIO Y JOAQUÍN EDWARDS BELLO, LA PINTANA </v>
      </c>
      <c r="D231" s="16" t="str">
        <f ca="1">IFERROR(__xludf.DUMMYFUNCTION("""COMPUTED_VALUE""")," 1-C-2023-2413 ")</f>
        <v xml:space="preserve"> 1-C-2023-2413 </v>
      </c>
      <c r="E231" s="16" t="str">
        <f ca="1">IFERROR(__xludf.DUMMYFUNCTION("""COMPUTED_VALUE""")," 100% Girado ")</f>
        <v xml:space="preserve"> 100% Girado </v>
      </c>
      <c r="F231" s="17">
        <f ca="1">IFERROR(__xludf.DUMMYFUNCTION("""COMPUTED_VALUE"""),45331)</f>
        <v>45331</v>
      </c>
      <c r="G231" s="16">
        <f ca="1">IFERROR(__xludf.DUMMYFUNCTION("""COMPUTED_VALUE"""),154228699)</f>
        <v>154228699</v>
      </c>
      <c r="H231" s="16" t="str">
        <f ca="1">IFERROR(__xludf.DUMMYFUNCTION("""COMPUTED_VALUE""")," 100% Girado ")</f>
        <v xml:space="preserve"> 100% Girado </v>
      </c>
      <c r="I231" s="16">
        <f ca="1">IFERROR(__xludf.DUMMYFUNCTION("""COMPUTED_VALUE"""),154228699)</f>
        <v>154228699</v>
      </c>
      <c r="J231" s="83" t="s">
        <v>48</v>
      </c>
      <c r="K231" s="16"/>
      <c r="L231" s="16">
        <f ca="1">IFERROR(__xludf.DUMMYFUNCTION("""COMPUTED_VALUE"""),154228699)</f>
        <v>154228699</v>
      </c>
      <c r="M231" s="16"/>
      <c r="N231" s="21">
        <f ca="1">IFERROR(__xludf.DUMMYFUNCTION("""COMPUTED_VALUE"""),0)</f>
        <v>0</v>
      </c>
      <c r="O231" s="19"/>
      <c r="P231" s="19"/>
      <c r="Q231" s="19"/>
      <c r="R231" s="19"/>
      <c r="S231" s="19"/>
      <c r="T231" s="19"/>
      <c r="U231" s="19"/>
      <c r="V231" s="19"/>
      <c r="W231" s="20">
        <f ca="1">IFERROR(__xludf.DUMMYFUNCTION("""COMPUTED_VALUE"""),154228699)</f>
        <v>154228699</v>
      </c>
      <c r="X231" s="20" t="str">
        <f ca="1">IFERROR(__xludf.DUMMYFUNCTION("""COMPUTED_VALUE""")," MUNICIPALIDAD DE LA PINTANA ")</f>
        <v xml:space="preserve"> MUNICIPALIDAD DE LA PINTANA </v>
      </c>
    </row>
    <row r="232" spans="1:24" ht="15.75" customHeight="1" x14ac:dyDescent="0.25">
      <c r="A232" s="16" t="str">
        <f ca="1">IFERROR(__xludf.DUMMYFUNCTION("""COMPUTED_VALUE""")," REGIÓN METROPOLITANA ")</f>
        <v xml:space="preserve"> REGIÓN METROPOLITANA </v>
      </c>
      <c r="B232" s="16" t="str">
        <f t="shared" ca="1" si="0"/>
        <v xml:space="preserve"> LA PINTANA </v>
      </c>
      <c r="C232" s="16" t="str">
        <f ca="1">IFERROR(__xludf.DUMMYFUNCTION("""COMPUTED_VALUE""")," MEJORAMIENTO DE ILUMINACIÓN EN ÁREAS VERDES CUADRANTE SANTO TOMÁS- JOAQUÍN EDWARDS BELLO- AV. OBSERVATORIO Y AV. SANTA ROSA, LA PINTANA ")</f>
        <v xml:space="preserve"> MEJORAMIENTO DE ILUMINACIÓN EN ÁREAS VERDES CUADRANTE SANTO TOMÁS- JOAQUÍN EDWARDS BELLO- AV. OBSERVATORIO Y AV. SANTA ROSA, LA PINTANA </v>
      </c>
      <c r="D232" s="16" t="str">
        <f ca="1">IFERROR(__xludf.DUMMYFUNCTION("""COMPUTED_VALUE""")," 1-C-2023-2414 ")</f>
        <v xml:space="preserve"> 1-C-2023-2414 </v>
      </c>
      <c r="E232" s="16" t="str">
        <f ca="1">IFERROR(__xludf.DUMMYFUNCTION("""COMPUTED_VALUE""")," 100% Girado ")</f>
        <v xml:space="preserve"> 100% Girado </v>
      </c>
      <c r="F232" s="17">
        <f ca="1">IFERROR(__xludf.DUMMYFUNCTION("""COMPUTED_VALUE"""),45331)</f>
        <v>45331</v>
      </c>
      <c r="G232" s="16">
        <f ca="1">IFERROR(__xludf.DUMMYFUNCTION("""COMPUTED_VALUE"""),113398991)</f>
        <v>113398991</v>
      </c>
      <c r="H232" s="16" t="str">
        <f ca="1">IFERROR(__xludf.DUMMYFUNCTION("""COMPUTED_VALUE""")," 100% Girado ")</f>
        <v xml:space="preserve"> 100% Girado </v>
      </c>
      <c r="I232" s="16">
        <f ca="1">IFERROR(__xludf.DUMMYFUNCTION("""COMPUTED_VALUE"""),113398991)</f>
        <v>113398991</v>
      </c>
      <c r="J232" s="83" t="s">
        <v>48</v>
      </c>
      <c r="K232" s="16"/>
      <c r="L232" s="16">
        <f ca="1">IFERROR(__xludf.DUMMYFUNCTION("""COMPUTED_VALUE"""),113398991)</f>
        <v>113398991</v>
      </c>
      <c r="M232" s="16"/>
      <c r="N232" s="21">
        <f ca="1">IFERROR(__xludf.DUMMYFUNCTION("""COMPUTED_VALUE"""),0)</f>
        <v>0</v>
      </c>
      <c r="O232" s="19"/>
      <c r="P232" s="19"/>
      <c r="Q232" s="19"/>
      <c r="R232" s="19"/>
      <c r="S232" s="19"/>
      <c r="T232" s="19"/>
      <c r="U232" s="19"/>
      <c r="V232" s="19"/>
      <c r="W232" s="20">
        <f ca="1">IFERROR(__xludf.DUMMYFUNCTION("""COMPUTED_VALUE"""),113398991)</f>
        <v>113398991</v>
      </c>
      <c r="X232" s="20" t="str">
        <f ca="1">IFERROR(__xludf.DUMMYFUNCTION("""COMPUTED_VALUE""")," MUNICIPALIDAD DE LA PINTANA ")</f>
        <v xml:space="preserve"> MUNICIPALIDAD DE LA PINTANA </v>
      </c>
    </row>
    <row r="233" spans="1:24" ht="15.75" customHeight="1" x14ac:dyDescent="0.25">
      <c r="A233" s="16" t="str">
        <f ca="1">IFERROR(__xludf.DUMMYFUNCTION("""COMPUTED_VALUE""")," REGIÓN METROPOLITANA ")</f>
        <v xml:space="preserve"> REGIÓN METROPOLITANA </v>
      </c>
      <c r="B233" s="16" t="str">
        <f t="shared" ca="1" si="0"/>
        <v xml:space="preserve"> ESTACIÓN CENTRAL </v>
      </c>
      <c r="C233" s="16" t="str">
        <f ca="1">IFERROR(__xludf.DUMMYFUNCTION("""COMPUTED_VALUE""")," MEJORAMIENTO PLAZA EL TRIÁNGULO ")</f>
        <v xml:space="preserve"> MEJORAMIENTO PLAZA EL TRIÁNGULO </v>
      </c>
      <c r="D233" s="16" t="str">
        <f ca="1">IFERROR(__xludf.DUMMYFUNCTION("""COMPUTED_VALUE""")," 1-C-2023-2437 ")</f>
        <v xml:space="preserve"> 1-C-2023-2437 </v>
      </c>
      <c r="E233" s="16" t="str">
        <f ca="1">IFERROR(__xludf.DUMMYFUNCTION("""COMPUTED_VALUE""")," 100% Girado ")</f>
        <v xml:space="preserve"> 100% Girado </v>
      </c>
      <c r="F233" s="17">
        <f ca="1">IFERROR(__xludf.DUMMYFUNCTION("""COMPUTED_VALUE"""),45331)</f>
        <v>45331</v>
      </c>
      <c r="G233" s="16">
        <f ca="1">IFERROR(__xludf.DUMMYFUNCTION("""COMPUTED_VALUE"""),152157856)</f>
        <v>152157856</v>
      </c>
      <c r="H233" s="16" t="str">
        <f ca="1">IFERROR(__xludf.DUMMYFUNCTION("""COMPUTED_VALUE""")," 100% Girado ")</f>
        <v xml:space="preserve"> 100% Girado </v>
      </c>
      <c r="I233" s="16">
        <f ca="1">IFERROR(__xludf.DUMMYFUNCTION("""COMPUTED_VALUE"""),152157856)</f>
        <v>152157856</v>
      </c>
      <c r="J233" s="83" t="s">
        <v>48</v>
      </c>
      <c r="K233" s="16"/>
      <c r="L233" s="16">
        <f ca="1">IFERROR(__xludf.DUMMYFUNCTION("""COMPUTED_VALUE"""),152157856)</f>
        <v>152157856</v>
      </c>
      <c r="M233" s="16"/>
      <c r="N233" s="21">
        <f ca="1">IFERROR(__xludf.DUMMYFUNCTION("""COMPUTED_VALUE"""),0)</f>
        <v>0</v>
      </c>
      <c r="O233" s="19"/>
      <c r="P233" s="19"/>
      <c r="Q233" s="19"/>
      <c r="R233" s="19"/>
      <c r="S233" s="19"/>
      <c r="T233" s="19"/>
      <c r="U233" s="19"/>
      <c r="V233" s="19"/>
      <c r="W233" s="20">
        <f ca="1">IFERROR(__xludf.DUMMYFUNCTION("""COMPUTED_VALUE"""),152157856)</f>
        <v>152157856</v>
      </c>
      <c r="X233" s="20" t="str">
        <f ca="1">IFERROR(__xludf.DUMMYFUNCTION("""COMPUTED_VALUE""")," MUNICIPALIDAD DE ESTACIÓN CENTRAL ")</f>
        <v xml:space="preserve"> MUNICIPALIDAD DE ESTACIÓN CENTRAL </v>
      </c>
    </row>
    <row r="234" spans="1:24" ht="15.75" customHeight="1" x14ac:dyDescent="0.25">
      <c r="A234" s="16" t="str">
        <f ca="1">IFERROR(__xludf.DUMMYFUNCTION("""COMPUTED_VALUE""")," REGIÓN METROPOLITANA ")</f>
        <v xml:space="preserve"> REGIÓN METROPOLITANA </v>
      </c>
      <c r="B234" s="16" t="str">
        <f t="shared" ca="1" si="0"/>
        <v xml:space="preserve"> RENCA </v>
      </c>
      <c r="C234" s="16" t="str">
        <f ca="1">IFERROR(__xludf.DUMMYFUNCTION("""COMPUTED_VALUE""")," MEJORAMIENTO DE ILUMINACIÓN ORNAMENTAL DE 21 ÁREAS VERDES, RENCA ")</f>
        <v xml:space="preserve"> MEJORAMIENTO DE ILUMINACIÓN ORNAMENTAL DE 21 ÁREAS VERDES, RENCA </v>
      </c>
      <c r="D234" s="16" t="str">
        <f ca="1">IFERROR(__xludf.DUMMYFUNCTION("""COMPUTED_VALUE""")," 1-C-2023-2443 ")</f>
        <v xml:space="preserve"> 1-C-2023-2443 </v>
      </c>
      <c r="E234" s="16" t="str">
        <f ca="1">IFERROR(__xludf.DUMMYFUNCTION("""COMPUTED_VALUE""")," 100% Girado ")</f>
        <v xml:space="preserve"> 100% Girado </v>
      </c>
      <c r="F234" s="17">
        <f ca="1">IFERROR(__xludf.DUMMYFUNCTION("""COMPUTED_VALUE"""),45320)</f>
        <v>45320</v>
      </c>
      <c r="G234" s="16">
        <f ca="1">IFERROR(__xludf.DUMMYFUNCTION("""COMPUTED_VALUE"""),122880095)</f>
        <v>122880095</v>
      </c>
      <c r="H234" s="16" t="str">
        <f ca="1">IFERROR(__xludf.DUMMYFUNCTION("""COMPUTED_VALUE""")," 100% Girado ")</f>
        <v xml:space="preserve"> 100% Girado </v>
      </c>
      <c r="I234" s="16">
        <f ca="1">IFERROR(__xludf.DUMMYFUNCTION("""COMPUTED_VALUE"""),122880095)</f>
        <v>122880095</v>
      </c>
      <c r="J234" s="83" t="s">
        <v>48</v>
      </c>
      <c r="K234" s="16"/>
      <c r="L234" s="16">
        <f ca="1">IFERROR(__xludf.DUMMYFUNCTION("""COMPUTED_VALUE"""),122880095)</f>
        <v>122880095</v>
      </c>
      <c r="M234" s="16"/>
      <c r="N234" s="21">
        <f ca="1">IFERROR(__xludf.DUMMYFUNCTION("""COMPUTED_VALUE"""),0)</f>
        <v>0</v>
      </c>
      <c r="O234" s="19"/>
      <c r="P234" s="19"/>
      <c r="Q234" s="19"/>
      <c r="R234" s="19"/>
      <c r="S234" s="19"/>
      <c r="T234" s="19"/>
      <c r="U234" s="19"/>
      <c r="V234" s="19"/>
      <c r="W234" s="20">
        <f ca="1">IFERROR(__xludf.DUMMYFUNCTION("""COMPUTED_VALUE"""),122880095)</f>
        <v>122880095</v>
      </c>
      <c r="X234" s="20" t="str">
        <f ca="1">IFERROR(__xludf.DUMMYFUNCTION("""COMPUTED_VALUE""")," MUNICIPALIDAD DE RENCA ")</f>
        <v xml:space="preserve"> MUNICIPALIDAD DE RENCA </v>
      </c>
    </row>
    <row r="235" spans="1:24" ht="15.75" customHeight="1" x14ac:dyDescent="0.25">
      <c r="A235" s="16" t="str">
        <f ca="1">IFERROR(__xludf.DUMMYFUNCTION("""COMPUTED_VALUE""")," REGIÓN METROPOLITANA ")</f>
        <v xml:space="preserve"> REGIÓN METROPOLITANA </v>
      </c>
      <c r="B235" s="16" t="str">
        <f t="shared" ca="1" si="0"/>
        <v xml:space="preserve"> RENCA </v>
      </c>
      <c r="C235" s="16" t="str">
        <f ca="1">IFERROR(__xludf.DUMMYFUNCTION("""COMPUTED_VALUE""")," MEJORAMIENTO DE ILUMINACIÓN PEATONAL DE TRAMOS DE 3 EJES VIALES, RENCA ")</f>
        <v xml:space="preserve"> MEJORAMIENTO DE ILUMINACIÓN PEATONAL DE TRAMOS DE 3 EJES VIALES, RENCA </v>
      </c>
      <c r="D235" s="16" t="str">
        <f ca="1">IFERROR(__xludf.DUMMYFUNCTION("""COMPUTED_VALUE""")," 1-C-2023-2444 ")</f>
        <v xml:space="preserve"> 1-C-2023-2444 </v>
      </c>
      <c r="E235" s="16" t="str">
        <f ca="1">IFERROR(__xludf.DUMMYFUNCTION("""COMPUTED_VALUE""")," 100% Girado ")</f>
        <v xml:space="preserve"> 100% Girado </v>
      </c>
      <c r="F235" s="17">
        <f ca="1">IFERROR(__xludf.DUMMYFUNCTION("""COMPUTED_VALUE"""),45320)</f>
        <v>45320</v>
      </c>
      <c r="G235" s="16">
        <f ca="1">IFERROR(__xludf.DUMMYFUNCTION("""COMPUTED_VALUE"""),141809185)</f>
        <v>141809185</v>
      </c>
      <c r="H235" s="16" t="str">
        <f ca="1">IFERROR(__xludf.DUMMYFUNCTION("""COMPUTED_VALUE""")," 100% Girado ")</f>
        <v xml:space="preserve"> 100% Girado </v>
      </c>
      <c r="I235" s="16">
        <f ca="1">IFERROR(__xludf.DUMMYFUNCTION("""COMPUTED_VALUE"""),141809185)</f>
        <v>141809185</v>
      </c>
      <c r="J235" s="83" t="s">
        <v>48</v>
      </c>
      <c r="K235" s="16"/>
      <c r="L235" s="16">
        <f ca="1">IFERROR(__xludf.DUMMYFUNCTION("""COMPUTED_VALUE"""),141809185)</f>
        <v>141809185</v>
      </c>
      <c r="M235" s="16"/>
      <c r="N235" s="21">
        <f ca="1">IFERROR(__xludf.DUMMYFUNCTION("""COMPUTED_VALUE"""),0)</f>
        <v>0</v>
      </c>
      <c r="O235" s="19"/>
      <c r="P235" s="19"/>
      <c r="Q235" s="19"/>
      <c r="R235" s="19"/>
      <c r="S235" s="19"/>
      <c r="T235" s="19"/>
      <c r="U235" s="19"/>
      <c r="V235" s="19"/>
      <c r="W235" s="20">
        <f ca="1">IFERROR(__xludf.DUMMYFUNCTION("""COMPUTED_VALUE"""),141809185)</f>
        <v>141809185</v>
      </c>
      <c r="X235" s="20" t="str">
        <f ca="1">IFERROR(__xludf.DUMMYFUNCTION("""COMPUTED_VALUE""")," MUNICIPALIDAD DE RENCA ")</f>
        <v xml:space="preserve"> MUNICIPALIDAD DE RENCA </v>
      </c>
    </row>
    <row r="236" spans="1:24" ht="15.75" customHeight="1" x14ac:dyDescent="0.25">
      <c r="A236" s="16" t="str">
        <f ca="1">IFERROR(__xludf.DUMMYFUNCTION("""COMPUTED_VALUE""")," REGIÓN METROPOLITANA ")</f>
        <v xml:space="preserve"> REGIÓN METROPOLITANA </v>
      </c>
      <c r="B236" s="16" t="str">
        <f t="shared" ca="1" si="0"/>
        <v xml:space="preserve"> RENCA </v>
      </c>
      <c r="C236" s="16" t="str">
        <f ca="1">IFERROR(__xludf.DUMMYFUNCTION("""COMPUTED_VALUE""")," MEJORAMIENTO INTEGRAL DE ÁREA VERDE PLAZA DE LA CULTURA OSCAR CASTRO, RENCA ")</f>
        <v xml:space="preserve"> MEJORAMIENTO INTEGRAL DE ÁREA VERDE PLAZA DE LA CULTURA OSCAR CASTRO, RENCA </v>
      </c>
      <c r="D236" s="16" t="str">
        <f ca="1">IFERROR(__xludf.DUMMYFUNCTION("""COMPUTED_VALUE""")," 1-C-2023-2445 ")</f>
        <v xml:space="preserve"> 1-C-2023-2445 </v>
      </c>
      <c r="E236" s="16" t="str">
        <f ca="1">IFERROR(__xludf.DUMMYFUNCTION("""COMPUTED_VALUE""")," 100% Girado ")</f>
        <v xml:space="preserve"> 100% Girado </v>
      </c>
      <c r="F236" s="17">
        <f ca="1">IFERROR(__xludf.DUMMYFUNCTION("""COMPUTED_VALUE"""),45320)</f>
        <v>45320</v>
      </c>
      <c r="G236" s="16">
        <f ca="1">IFERROR(__xludf.DUMMYFUNCTION("""COMPUTED_VALUE"""),153691672)</f>
        <v>153691672</v>
      </c>
      <c r="H236" s="16" t="str">
        <f ca="1">IFERROR(__xludf.DUMMYFUNCTION("""COMPUTED_VALUE""")," 100% Girado ")</f>
        <v xml:space="preserve"> 100% Girado </v>
      </c>
      <c r="I236" s="16">
        <f ca="1">IFERROR(__xludf.DUMMYFUNCTION("""COMPUTED_VALUE"""),153691672)</f>
        <v>153691672</v>
      </c>
      <c r="J236" s="83" t="s">
        <v>48</v>
      </c>
      <c r="K236" s="16"/>
      <c r="L236" s="16">
        <f ca="1">IFERROR(__xludf.DUMMYFUNCTION("""COMPUTED_VALUE"""),153691672)</f>
        <v>153691672</v>
      </c>
      <c r="M236" s="16"/>
      <c r="N236" s="21">
        <f ca="1">IFERROR(__xludf.DUMMYFUNCTION("""COMPUTED_VALUE"""),0)</f>
        <v>0</v>
      </c>
      <c r="O236" s="19"/>
      <c r="P236" s="19"/>
      <c r="Q236" s="19"/>
      <c r="R236" s="19"/>
      <c r="S236" s="19"/>
      <c r="T236" s="19"/>
      <c r="U236" s="19"/>
      <c r="V236" s="19"/>
      <c r="W236" s="20">
        <f ca="1">IFERROR(__xludf.DUMMYFUNCTION("""COMPUTED_VALUE"""),153691672)</f>
        <v>153691672</v>
      </c>
      <c r="X236" s="20" t="str">
        <f ca="1">IFERROR(__xludf.DUMMYFUNCTION("""COMPUTED_VALUE""")," MUNICIPALIDAD DE RENCA ")</f>
        <v xml:space="preserve"> MUNICIPALIDAD DE RENCA </v>
      </c>
    </row>
    <row r="237" spans="1:24" ht="15.75" customHeight="1" x14ac:dyDescent="0.25">
      <c r="A237" s="16" t="str">
        <f ca="1">IFERROR(__xludf.DUMMYFUNCTION("""COMPUTED_VALUE""")," REGIÓN METROPOLITANA ")</f>
        <v xml:space="preserve"> REGIÓN METROPOLITANA </v>
      </c>
      <c r="B237" s="16" t="str">
        <f t="shared" ca="1" si="0"/>
        <v xml:space="preserve"> QUINTA NORMAL </v>
      </c>
      <c r="C237" s="16" t="str">
        <f ca="1">IFERROR(__xludf.DUMMYFUNCTION("""COMPUTED_VALUE""")," CONSTRUCCION DE LA ILUMINACION PEATONAL SANTA PETRONILA ")</f>
        <v xml:space="preserve"> CONSTRUCCION DE LA ILUMINACION PEATONAL SANTA PETRONILA </v>
      </c>
      <c r="D237" s="16" t="str">
        <f ca="1">IFERROR(__xludf.DUMMYFUNCTION("""COMPUTED_VALUE""")," 1-C-2023-2456 ")</f>
        <v xml:space="preserve"> 1-C-2023-2456 </v>
      </c>
      <c r="E237" s="16" t="str">
        <f ca="1">IFERROR(__xludf.DUMMYFUNCTION("""COMPUTED_VALUE""")," 100% Girado ")</f>
        <v xml:space="preserve"> 100% Girado </v>
      </c>
      <c r="F237" s="17">
        <f ca="1">IFERROR(__xludf.DUMMYFUNCTION("""COMPUTED_VALUE"""),45320)</f>
        <v>45320</v>
      </c>
      <c r="G237" s="16">
        <f ca="1">IFERROR(__xludf.DUMMYFUNCTION("""COMPUTED_VALUE"""),126417945)</f>
        <v>126417945</v>
      </c>
      <c r="H237" s="16" t="str">
        <f ca="1">IFERROR(__xludf.DUMMYFUNCTION("""COMPUTED_VALUE""")," 100% Girado ")</f>
        <v xml:space="preserve"> 100% Girado </v>
      </c>
      <c r="I237" s="16">
        <f ca="1">IFERROR(__xludf.DUMMYFUNCTION("""COMPUTED_VALUE"""),126417945)</f>
        <v>126417945</v>
      </c>
      <c r="J237" s="83" t="s">
        <v>48</v>
      </c>
      <c r="K237" s="16"/>
      <c r="L237" s="16">
        <f ca="1">IFERROR(__xludf.DUMMYFUNCTION("""COMPUTED_VALUE"""),126417945)</f>
        <v>126417945</v>
      </c>
      <c r="M237" s="16"/>
      <c r="N237" s="21">
        <f ca="1">IFERROR(__xludf.DUMMYFUNCTION("""COMPUTED_VALUE"""),0)</f>
        <v>0</v>
      </c>
      <c r="O237" s="19"/>
      <c r="P237" s="19"/>
      <c r="Q237" s="19"/>
      <c r="R237" s="19"/>
      <c r="S237" s="19"/>
      <c r="T237" s="19"/>
      <c r="U237" s="19"/>
      <c r="V237" s="19"/>
      <c r="W237" s="20">
        <f ca="1">IFERROR(__xludf.DUMMYFUNCTION("""COMPUTED_VALUE"""),126417945)</f>
        <v>126417945</v>
      </c>
      <c r="X237" s="20" t="str">
        <f ca="1">IFERROR(__xludf.DUMMYFUNCTION("""COMPUTED_VALUE""")," MUNICIPALIDAD DE QUINTA NORMAL ")</f>
        <v xml:space="preserve"> MUNICIPALIDAD DE QUINTA NORMAL </v>
      </c>
    </row>
    <row r="238" spans="1:24" ht="15.75" customHeight="1" x14ac:dyDescent="0.25">
      <c r="A238" s="16" t="str">
        <f ca="1">IFERROR(__xludf.DUMMYFUNCTION("""COMPUTED_VALUE""")," REGIÓN METROPOLITANA ")</f>
        <v xml:space="preserve"> REGIÓN METROPOLITANA </v>
      </c>
      <c r="B238" s="16" t="str">
        <f t="shared" ca="1" si="0"/>
        <v xml:space="preserve"> MELIPILLA </v>
      </c>
      <c r="C238" s="16" t="str">
        <f ca="1">IFERROR(__xludf.DUMMYFUNCTION("""COMPUTED_VALUE""")," CSV CONSTRUCCION Y REPOSICION DE ILUMINACION PEATONAL CALLE ORTUZAR,COMUNA DE MELIPILLA ")</f>
        <v xml:space="preserve"> CSV CONSTRUCCION Y REPOSICION DE ILUMINACION PEATONAL CALLE ORTUZAR,COMUNA DE MELIPILLA </v>
      </c>
      <c r="D238" s="16" t="str">
        <f ca="1">IFERROR(__xludf.DUMMYFUNCTION("""COMPUTED_VALUE""")," 1-C-2023-2517 ")</f>
        <v xml:space="preserve"> 1-C-2023-2517 </v>
      </c>
      <c r="E238" s="16" t="str">
        <f ca="1">IFERROR(__xludf.DUMMYFUNCTION("""COMPUTED_VALUE""")," 100% Girado ")</f>
        <v xml:space="preserve"> 100% Girado </v>
      </c>
      <c r="F238" s="17">
        <f ca="1">IFERROR(__xludf.DUMMYFUNCTION("""COMPUTED_VALUE"""),45331)</f>
        <v>45331</v>
      </c>
      <c r="G238" s="16">
        <f ca="1">IFERROR(__xludf.DUMMYFUNCTION("""COMPUTED_VALUE"""),96776002)</f>
        <v>96776002</v>
      </c>
      <c r="H238" s="16" t="str">
        <f ca="1">IFERROR(__xludf.DUMMYFUNCTION("""COMPUTED_VALUE""")," 100% Girado ")</f>
        <v xml:space="preserve"> 100% Girado </v>
      </c>
      <c r="I238" s="16">
        <f ca="1">IFERROR(__xludf.DUMMYFUNCTION("""COMPUTED_VALUE"""),96776002)</f>
        <v>96776002</v>
      </c>
      <c r="J238" s="83" t="s">
        <v>48</v>
      </c>
      <c r="K238" s="16"/>
      <c r="L238" s="16">
        <f ca="1">IFERROR(__xludf.DUMMYFUNCTION("""COMPUTED_VALUE"""),96776002)</f>
        <v>96776002</v>
      </c>
      <c r="M238" s="16"/>
      <c r="N238" s="21">
        <f ca="1">IFERROR(__xludf.DUMMYFUNCTION("""COMPUTED_VALUE"""),0)</f>
        <v>0</v>
      </c>
      <c r="O238" s="19"/>
      <c r="P238" s="19"/>
      <c r="Q238" s="19"/>
      <c r="R238" s="19"/>
      <c r="S238" s="19"/>
      <c r="T238" s="19"/>
      <c r="U238" s="19"/>
      <c r="V238" s="19"/>
      <c r="W238" s="20">
        <f ca="1">IFERROR(__xludf.DUMMYFUNCTION("""COMPUTED_VALUE"""),96776002)</f>
        <v>96776002</v>
      </c>
      <c r="X238" s="20" t="str">
        <f ca="1">IFERROR(__xludf.DUMMYFUNCTION("""COMPUTED_VALUE""")," MUNICIPALIDAD DE MELIPILLA ")</f>
        <v xml:space="preserve"> MUNICIPALIDAD DE MELIPILLA </v>
      </c>
    </row>
    <row r="239" spans="1:24" ht="15.75" customHeight="1" x14ac:dyDescent="0.25">
      <c r="A239" s="16" t="str">
        <f ca="1">IFERROR(__xludf.DUMMYFUNCTION("""COMPUTED_VALUE""")," REGIÓN METROPOLITANA ")</f>
        <v xml:space="preserve"> REGIÓN METROPOLITANA </v>
      </c>
      <c r="B239" s="16" t="str">
        <f t="shared" ca="1" si="0"/>
        <v xml:space="preserve"> ESTACIÓN CENTRAL </v>
      </c>
      <c r="C239" s="16" t="str">
        <f ca="1">IFERROR(__xludf.DUMMYFUNCTION("""COMPUTED_VALUE""")," CONSTRUCCIÓN CIERRE PERIMETRAL CANAL ORTUZANO, COMUNA ESTACIÓN CENTRAL ")</f>
        <v xml:space="preserve"> CONSTRUCCIÓN CIERRE PERIMETRAL CANAL ORTUZANO, COMUNA ESTACIÓN CENTRAL </v>
      </c>
      <c r="D239" s="16" t="str">
        <f ca="1">IFERROR(__xludf.DUMMYFUNCTION("""COMPUTED_VALUE""")," 1-C-2023-2540 ")</f>
        <v xml:space="preserve"> 1-C-2023-2540 </v>
      </c>
      <c r="E239" s="16" t="str">
        <f ca="1">IFERROR(__xludf.DUMMYFUNCTION("""COMPUTED_VALUE""")," 100% Girado ")</f>
        <v xml:space="preserve"> 100% Girado </v>
      </c>
      <c r="F239" s="17">
        <f ca="1">IFERROR(__xludf.DUMMYFUNCTION("""COMPUTED_VALUE"""),45331)</f>
        <v>45331</v>
      </c>
      <c r="G239" s="16">
        <f ca="1">IFERROR(__xludf.DUMMYFUNCTION("""COMPUTED_VALUE"""),153510780)</f>
        <v>153510780</v>
      </c>
      <c r="H239" s="16" t="str">
        <f ca="1">IFERROR(__xludf.DUMMYFUNCTION("""COMPUTED_VALUE""")," 100% Girado ")</f>
        <v xml:space="preserve"> 100% Girado </v>
      </c>
      <c r="I239" s="16">
        <f ca="1">IFERROR(__xludf.DUMMYFUNCTION("""COMPUTED_VALUE"""),153510780)</f>
        <v>153510780</v>
      </c>
      <c r="J239" s="83" t="s">
        <v>48</v>
      </c>
      <c r="K239" s="16"/>
      <c r="L239" s="16">
        <f ca="1">IFERROR(__xludf.DUMMYFUNCTION("""COMPUTED_VALUE"""),153510780)</f>
        <v>153510780</v>
      </c>
      <c r="M239" s="16"/>
      <c r="N239" s="21">
        <f ca="1">IFERROR(__xludf.DUMMYFUNCTION("""COMPUTED_VALUE"""),0)</f>
        <v>0</v>
      </c>
      <c r="O239" s="19"/>
      <c r="P239" s="19"/>
      <c r="Q239" s="19"/>
      <c r="R239" s="19"/>
      <c r="S239" s="19"/>
      <c r="T239" s="19"/>
      <c r="U239" s="19"/>
      <c r="V239" s="19"/>
      <c r="W239" s="20">
        <f ca="1">IFERROR(__xludf.DUMMYFUNCTION("""COMPUTED_VALUE"""),153510780)</f>
        <v>153510780</v>
      </c>
      <c r="X239" s="20" t="str">
        <f ca="1">IFERROR(__xludf.DUMMYFUNCTION("""COMPUTED_VALUE""")," MUNICIPALIDAD DE ESTACIÓN CENTRAL ")</f>
        <v xml:space="preserve"> MUNICIPALIDAD DE ESTACIÓN CENTRAL </v>
      </c>
    </row>
    <row r="240" spans="1:24" ht="15.75" customHeight="1" x14ac:dyDescent="0.25">
      <c r="A240" s="16" t="str">
        <f ca="1">IFERROR(__xludf.DUMMYFUNCTION("""COMPUTED_VALUE""")," REGIÓN METROPOLITANA ")</f>
        <v xml:space="preserve"> REGIÓN METROPOLITANA </v>
      </c>
      <c r="B240" s="16" t="str">
        <f t="shared" ca="1" si="0"/>
        <v xml:space="preserve"> RECOLETA </v>
      </c>
      <c r="C240" s="16" t="str">
        <f ca="1">IFERROR(__xludf.DUMMYFUNCTION("""COMPUTED_VALUE""")," MEJORAMIENTO PLAZA LOS HISTORIADORES ")</f>
        <v xml:space="preserve"> MEJORAMIENTO PLAZA LOS HISTORIADORES </v>
      </c>
      <c r="D240" s="16" t="str">
        <f ca="1">IFERROR(__xludf.DUMMYFUNCTION("""COMPUTED_VALUE""")," 1-C-2023-2551 ")</f>
        <v xml:space="preserve"> 1-C-2023-2551 </v>
      </c>
      <c r="E240" s="16" t="str">
        <f ca="1">IFERROR(__xludf.DUMMYFUNCTION("""COMPUTED_VALUE""")," 100% Girado ")</f>
        <v xml:space="preserve"> 100% Girado </v>
      </c>
      <c r="F240" s="17">
        <f ca="1">IFERROR(__xludf.DUMMYFUNCTION("""COMPUTED_VALUE"""),45331)</f>
        <v>45331</v>
      </c>
      <c r="G240" s="16">
        <f ca="1">IFERROR(__xludf.DUMMYFUNCTION("""COMPUTED_VALUE"""),151585552)</f>
        <v>151585552</v>
      </c>
      <c r="H240" s="16" t="str">
        <f ca="1">IFERROR(__xludf.DUMMYFUNCTION("""COMPUTED_VALUE""")," 100% Girado ")</f>
        <v xml:space="preserve"> 100% Girado </v>
      </c>
      <c r="I240" s="16">
        <f ca="1">IFERROR(__xludf.DUMMYFUNCTION("""COMPUTED_VALUE"""),151585552)</f>
        <v>151585552</v>
      </c>
      <c r="J240" s="83" t="s">
        <v>48</v>
      </c>
      <c r="K240" s="16"/>
      <c r="L240" s="16">
        <f ca="1">IFERROR(__xludf.DUMMYFUNCTION("""COMPUTED_VALUE"""),151585552)</f>
        <v>151585552</v>
      </c>
      <c r="M240" s="16"/>
      <c r="N240" s="21">
        <f ca="1">IFERROR(__xludf.DUMMYFUNCTION("""COMPUTED_VALUE"""),0)</f>
        <v>0</v>
      </c>
      <c r="O240" s="19"/>
      <c r="P240" s="19"/>
      <c r="Q240" s="19"/>
      <c r="R240" s="19"/>
      <c r="S240" s="19"/>
      <c r="T240" s="19"/>
      <c r="U240" s="19"/>
      <c r="V240" s="19"/>
      <c r="W240" s="20">
        <f ca="1">IFERROR(__xludf.DUMMYFUNCTION("""COMPUTED_VALUE"""),151585552)</f>
        <v>151585552</v>
      </c>
      <c r="X240" s="20" t="str">
        <f ca="1">IFERROR(__xludf.DUMMYFUNCTION("""COMPUTED_VALUE""")," MUNICIPALIDAD DE RECOLETA ")</f>
        <v xml:space="preserve"> MUNICIPALIDAD DE RECOLETA </v>
      </c>
    </row>
    <row r="241" spans="1:24" ht="15.75" customHeight="1" x14ac:dyDescent="0.25">
      <c r="A241" s="16" t="str">
        <f ca="1">IFERROR(__xludf.DUMMYFUNCTION("""COMPUTED_VALUE""")," REGIÓN METROPOLITANA ")</f>
        <v xml:space="preserve"> REGIÓN METROPOLITANA </v>
      </c>
      <c r="B241" s="16" t="str">
        <f t="shared" ca="1" si="0"/>
        <v xml:space="preserve"> RECOLETA </v>
      </c>
      <c r="C241" s="16" t="str">
        <f ca="1">IFERROR(__xludf.DUMMYFUNCTION("""COMPUTED_VALUE""")," MEJORAMIENTO PLAZA JUAN ZAMORANO CHACON ")</f>
        <v xml:space="preserve"> MEJORAMIENTO PLAZA JUAN ZAMORANO CHACON </v>
      </c>
      <c r="D241" s="16" t="str">
        <f ca="1">IFERROR(__xludf.DUMMYFUNCTION("""COMPUTED_VALUE""")," 1-C-2023-2558 ")</f>
        <v xml:space="preserve"> 1-C-2023-2558 </v>
      </c>
      <c r="E241" s="16" t="str">
        <f ca="1">IFERROR(__xludf.DUMMYFUNCTION("""COMPUTED_VALUE""")," 100% Girado ")</f>
        <v xml:space="preserve"> 100% Girado </v>
      </c>
      <c r="F241" s="17">
        <f ca="1">IFERROR(__xludf.DUMMYFUNCTION("""COMPUTED_VALUE"""),45315)</f>
        <v>45315</v>
      </c>
      <c r="G241" s="16">
        <f ca="1">IFERROR(__xludf.DUMMYFUNCTION("""COMPUTED_VALUE"""),130389837)</f>
        <v>130389837</v>
      </c>
      <c r="H241" s="16" t="str">
        <f ca="1">IFERROR(__xludf.DUMMYFUNCTION("""COMPUTED_VALUE""")," 100% Girado ")</f>
        <v xml:space="preserve"> 100% Girado </v>
      </c>
      <c r="I241" s="16">
        <f ca="1">IFERROR(__xludf.DUMMYFUNCTION("""COMPUTED_VALUE"""),130389837)</f>
        <v>130389837</v>
      </c>
      <c r="J241" s="83" t="s">
        <v>48</v>
      </c>
      <c r="K241" s="16"/>
      <c r="L241" s="16">
        <f ca="1">IFERROR(__xludf.DUMMYFUNCTION("""COMPUTED_VALUE"""),130389837)</f>
        <v>130389837</v>
      </c>
      <c r="M241" s="16"/>
      <c r="N241" s="21">
        <f ca="1">IFERROR(__xludf.DUMMYFUNCTION("""COMPUTED_VALUE"""),0)</f>
        <v>0</v>
      </c>
      <c r="O241" s="19"/>
      <c r="P241" s="19"/>
      <c r="Q241" s="19"/>
      <c r="R241" s="19"/>
      <c r="S241" s="19"/>
      <c r="T241" s="19"/>
      <c r="U241" s="19"/>
      <c r="V241" s="19"/>
      <c r="W241" s="20">
        <f ca="1">IFERROR(__xludf.DUMMYFUNCTION("""COMPUTED_VALUE"""),130389837)</f>
        <v>130389837</v>
      </c>
      <c r="X241" s="20" t="str">
        <f ca="1">IFERROR(__xludf.DUMMYFUNCTION("""COMPUTED_VALUE""")," MUNICIPALIDAD DE RECOLETA ")</f>
        <v xml:space="preserve"> MUNICIPALIDAD DE RECOLETA </v>
      </c>
    </row>
    <row r="242" spans="1:24" ht="15.75" customHeight="1" x14ac:dyDescent="0.25">
      <c r="A242" s="16" t="str">
        <f ca="1">IFERROR(__xludf.DUMMYFUNCTION("""COMPUTED_VALUE""")," REGIÓN METROPOLITANA ")</f>
        <v xml:space="preserve"> REGIÓN METROPOLITANA </v>
      </c>
      <c r="B242" s="16" t="str">
        <f t="shared" ca="1" si="0"/>
        <v xml:space="preserve"> RECOLETA </v>
      </c>
      <c r="C242" s="16" t="str">
        <f ca="1">IFERROR(__xludf.DUMMYFUNCTION("""COMPUTED_VALUE""")," MEJORAMIENTO PLAZOLETA FRAY ANDRESITO ")</f>
        <v xml:space="preserve"> MEJORAMIENTO PLAZOLETA FRAY ANDRESITO </v>
      </c>
      <c r="D242" s="16" t="str">
        <f ca="1">IFERROR(__xludf.DUMMYFUNCTION("""COMPUTED_VALUE""")," 1-C-2023-2559 ")</f>
        <v xml:space="preserve"> 1-C-2023-2559 </v>
      </c>
      <c r="E242" s="16" t="str">
        <f ca="1">IFERROR(__xludf.DUMMYFUNCTION("""COMPUTED_VALUE""")," 100% Girado ")</f>
        <v xml:space="preserve"> 100% Girado </v>
      </c>
      <c r="F242" s="17">
        <f ca="1">IFERROR(__xludf.DUMMYFUNCTION("""COMPUTED_VALUE"""),45331)</f>
        <v>45331</v>
      </c>
      <c r="G242" s="16">
        <f ca="1">IFERROR(__xludf.DUMMYFUNCTION("""COMPUTED_VALUE"""),36644075)</f>
        <v>36644075</v>
      </c>
      <c r="H242" s="16" t="str">
        <f ca="1">IFERROR(__xludf.DUMMYFUNCTION("""COMPUTED_VALUE""")," 100% Girado ")</f>
        <v xml:space="preserve"> 100% Girado </v>
      </c>
      <c r="I242" s="16">
        <f ca="1">IFERROR(__xludf.DUMMYFUNCTION("""COMPUTED_VALUE"""),36644075)</f>
        <v>36644075</v>
      </c>
      <c r="J242" s="83" t="s">
        <v>48</v>
      </c>
      <c r="K242" s="16"/>
      <c r="L242" s="16">
        <f ca="1">IFERROR(__xludf.DUMMYFUNCTION("""COMPUTED_VALUE"""),36644075)</f>
        <v>36644075</v>
      </c>
      <c r="M242" s="16"/>
      <c r="N242" s="21">
        <f ca="1">IFERROR(__xludf.DUMMYFUNCTION("""COMPUTED_VALUE"""),0)</f>
        <v>0</v>
      </c>
      <c r="O242" s="19"/>
      <c r="P242" s="19"/>
      <c r="Q242" s="19"/>
      <c r="R242" s="19"/>
      <c r="S242" s="19"/>
      <c r="T242" s="19"/>
      <c r="U242" s="19"/>
      <c r="V242" s="19"/>
      <c r="W242" s="20">
        <f ca="1">IFERROR(__xludf.DUMMYFUNCTION("""COMPUTED_VALUE"""),36644075)</f>
        <v>36644075</v>
      </c>
      <c r="X242" s="20" t="str">
        <f ca="1">IFERROR(__xludf.DUMMYFUNCTION("""COMPUTED_VALUE""")," MUNICIPALIDAD DE RECOLETA ")</f>
        <v xml:space="preserve"> MUNICIPALIDAD DE RECOLETA </v>
      </c>
    </row>
    <row r="243" spans="1:24" ht="15.75" customHeight="1" x14ac:dyDescent="0.25">
      <c r="A243" s="16" t="str">
        <f ca="1">IFERROR(__xludf.DUMMYFUNCTION("""COMPUTED_VALUE""")," REGIÓN METROPOLITANA ")</f>
        <v xml:space="preserve"> REGIÓN METROPOLITANA </v>
      </c>
      <c r="B243" s="16" t="str">
        <f t="shared" ca="1" si="0"/>
        <v xml:space="preserve"> QUINTA NORMAL </v>
      </c>
      <c r="C243" s="16" t="str">
        <f ca="1">IFERROR(__xludf.DUMMYFUNCTION("""COMPUTED_VALUE""")," CONSTRUCCION DE LA ILUMINACION PEATONAL NUEVA PLATON ")</f>
        <v xml:space="preserve"> CONSTRUCCION DE LA ILUMINACION PEATONAL NUEVA PLATON </v>
      </c>
      <c r="D243" s="16" t="str">
        <f ca="1">IFERROR(__xludf.DUMMYFUNCTION("""COMPUTED_VALUE""")," 1-C-2023-2583 ")</f>
        <v xml:space="preserve"> 1-C-2023-2583 </v>
      </c>
      <c r="E243" s="16" t="str">
        <f ca="1">IFERROR(__xludf.DUMMYFUNCTION("""COMPUTED_VALUE""")," 100% Girado ")</f>
        <v xml:space="preserve"> 100% Girado </v>
      </c>
      <c r="F243" s="17">
        <f ca="1">IFERROR(__xludf.DUMMYFUNCTION("""COMPUTED_VALUE"""),45320)</f>
        <v>45320</v>
      </c>
      <c r="G243" s="16">
        <f ca="1">IFERROR(__xludf.DUMMYFUNCTION("""COMPUTED_VALUE"""),74718948)</f>
        <v>74718948</v>
      </c>
      <c r="H243" s="16" t="str">
        <f ca="1">IFERROR(__xludf.DUMMYFUNCTION("""COMPUTED_VALUE""")," 100% Girado ")</f>
        <v xml:space="preserve"> 100% Girado </v>
      </c>
      <c r="I243" s="16">
        <f ca="1">IFERROR(__xludf.DUMMYFUNCTION("""COMPUTED_VALUE"""),74718948)</f>
        <v>74718948</v>
      </c>
      <c r="J243" s="83" t="s">
        <v>48</v>
      </c>
      <c r="K243" s="16"/>
      <c r="L243" s="16">
        <f ca="1">IFERROR(__xludf.DUMMYFUNCTION("""COMPUTED_VALUE"""),74718948)</f>
        <v>74718948</v>
      </c>
      <c r="M243" s="16"/>
      <c r="N243" s="21">
        <f ca="1">IFERROR(__xludf.DUMMYFUNCTION("""COMPUTED_VALUE"""),0)</f>
        <v>0</v>
      </c>
      <c r="O243" s="19"/>
      <c r="P243" s="19"/>
      <c r="Q243" s="19"/>
      <c r="R243" s="19"/>
      <c r="S243" s="19"/>
      <c r="T243" s="19"/>
      <c r="U243" s="19"/>
      <c r="V243" s="19"/>
      <c r="W243" s="20">
        <f ca="1">IFERROR(__xludf.DUMMYFUNCTION("""COMPUTED_VALUE"""),74718948)</f>
        <v>74718948</v>
      </c>
      <c r="X243" s="20" t="str">
        <f ca="1">IFERROR(__xludf.DUMMYFUNCTION("""COMPUTED_VALUE""")," MUNICIPALIDAD DE QUINTA NORMAL ")</f>
        <v xml:space="preserve"> MUNICIPALIDAD DE QUINTA NORMAL </v>
      </c>
    </row>
    <row r="244" spans="1:24" ht="15.75" customHeight="1" x14ac:dyDescent="0.25">
      <c r="A244" s="16" t="str">
        <f ca="1">IFERROR(__xludf.DUMMYFUNCTION("""COMPUTED_VALUE""")," REGIÓN METROPOLITANA ")</f>
        <v xml:space="preserve"> REGIÓN METROPOLITANA </v>
      </c>
      <c r="B244" s="16" t="str">
        <f t="shared" ca="1" si="0"/>
        <v xml:space="preserve"> QUINTA NORMAL </v>
      </c>
      <c r="C244" s="16" t="str">
        <f ca="1">IFERROR(__xludf.DUMMYFUNCTION("""COMPUTED_VALUE""")," MEJORAMIENTO PLATABANDA CALLE JUJUY, COMUNA DE QUINTA NORMAL ")</f>
        <v xml:space="preserve"> MEJORAMIENTO PLATABANDA CALLE JUJUY, COMUNA DE QUINTA NORMAL </v>
      </c>
      <c r="D244" s="16" t="str">
        <f ca="1">IFERROR(__xludf.DUMMYFUNCTION("""COMPUTED_VALUE""")," 1-C-2023-2594 ")</f>
        <v xml:space="preserve"> 1-C-2023-2594 </v>
      </c>
      <c r="E244" s="16" t="str">
        <f ca="1">IFERROR(__xludf.DUMMYFUNCTION("""COMPUTED_VALUE""")," 100% Girado ")</f>
        <v xml:space="preserve"> 100% Girado </v>
      </c>
      <c r="F244" s="17">
        <f ca="1">IFERROR(__xludf.DUMMYFUNCTION("""COMPUTED_VALUE"""),45331)</f>
        <v>45331</v>
      </c>
      <c r="G244" s="16">
        <f ca="1">IFERROR(__xludf.DUMMYFUNCTION("""COMPUTED_VALUE"""),154348211)</f>
        <v>154348211</v>
      </c>
      <c r="H244" s="16" t="str">
        <f ca="1">IFERROR(__xludf.DUMMYFUNCTION("""COMPUTED_VALUE""")," 100% Girado ")</f>
        <v xml:space="preserve"> 100% Girado </v>
      </c>
      <c r="I244" s="16">
        <f ca="1">IFERROR(__xludf.DUMMYFUNCTION("""COMPUTED_VALUE"""),154348211)</f>
        <v>154348211</v>
      </c>
      <c r="J244" s="83" t="s">
        <v>48</v>
      </c>
      <c r="K244" s="16"/>
      <c r="L244" s="16">
        <f ca="1">IFERROR(__xludf.DUMMYFUNCTION("""COMPUTED_VALUE"""),154348211)</f>
        <v>154348211</v>
      </c>
      <c r="M244" s="16"/>
      <c r="N244" s="21">
        <f ca="1">IFERROR(__xludf.DUMMYFUNCTION("""COMPUTED_VALUE"""),0)</f>
        <v>0</v>
      </c>
      <c r="O244" s="19"/>
      <c r="P244" s="19"/>
      <c r="Q244" s="19"/>
      <c r="R244" s="19"/>
      <c r="S244" s="19"/>
      <c r="T244" s="19"/>
      <c r="U244" s="19"/>
      <c r="V244" s="19"/>
      <c r="W244" s="20">
        <f ca="1">IFERROR(__xludf.DUMMYFUNCTION("""COMPUTED_VALUE"""),154348211)</f>
        <v>154348211</v>
      </c>
      <c r="X244" s="20" t="str">
        <f ca="1">IFERROR(__xludf.DUMMYFUNCTION("""COMPUTED_VALUE""")," MUNICIPALIDAD DE QUINTA NORMAL ")</f>
        <v xml:space="preserve"> MUNICIPALIDAD DE QUINTA NORMAL </v>
      </c>
    </row>
    <row r="245" spans="1:24" ht="15.75" customHeight="1" x14ac:dyDescent="0.25">
      <c r="A245" s="16" t="str">
        <f ca="1">IFERROR(__xludf.DUMMYFUNCTION("""COMPUTED_VALUE""")," REGIÓN METROPOLITANA ")</f>
        <v xml:space="preserve"> REGIÓN METROPOLITANA </v>
      </c>
      <c r="B245" s="16" t="str">
        <f t="shared" ca="1" si="0"/>
        <v xml:space="preserve"> SAN RAMÓN </v>
      </c>
      <c r="C245" s="16" t="str">
        <f ca="1">IFERROR(__xludf.DUMMYFUNCTION("""COMPUTED_VALUE""")," MEJORAMIENTO PLAZA LAS LILAS, UNIDAD VECINAL 11, SAN RAMÓN ")</f>
        <v xml:space="preserve"> MEJORAMIENTO PLAZA LAS LILAS, UNIDAD VECINAL 11, SAN RAMÓN </v>
      </c>
      <c r="D245" s="16" t="str">
        <f ca="1">IFERROR(__xludf.DUMMYFUNCTION("""COMPUTED_VALUE""")," 1-C-2023-2601 ")</f>
        <v xml:space="preserve"> 1-C-2023-2601 </v>
      </c>
      <c r="E245" s="16" t="str">
        <f ca="1">IFERROR(__xludf.DUMMYFUNCTION("""COMPUTED_VALUE""")," 100% Girado ")</f>
        <v xml:space="preserve"> 100% Girado </v>
      </c>
      <c r="F245" s="17">
        <f ca="1">IFERROR(__xludf.DUMMYFUNCTION("""COMPUTED_VALUE"""),45320)</f>
        <v>45320</v>
      </c>
      <c r="G245" s="16">
        <f ca="1">IFERROR(__xludf.DUMMYFUNCTION("""COMPUTED_VALUE"""),154451907)</f>
        <v>154451907</v>
      </c>
      <c r="H245" s="16" t="str">
        <f ca="1">IFERROR(__xludf.DUMMYFUNCTION("""COMPUTED_VALUE""")," 100% Girado ")</f>
        <v xml:space="preserve"> 100% Girado </v>
      </c>
      <c r="I245" s="16">
        <f ca="1">IFERROR(__xludf.DUMMYFUNCTION("""COMPUTED_VALUE"""),154451907)</f>
        <v>154451907</v>
      </c>
      <c r="J245" s="83" t="s">
        <v>48</v>
      </c>
      <c r="K245" s="16"/>
      <c r="L245" s="16">
        <f ca="1">IFERROR(__xludf.DUMMYFUNCTION("""COMPUTED_VALUE"""),154451907)</f>
        <v>154451907</v>
      </c>
      <c r="M245" s="16"/>
      <c r="N245" s="21">
        <f ca="1">IFERROR(__xludf.DUMMYFUNCTION("""COMPUTED_VALUE"""),0)</f>
        <v>0</v>
      </c>
      <c r="O245" s="19"/>
      <c r="P245" s="19"/>
      <c r="Q245" s="19"/>
      <c r="R245" s="19"/>
      <c r="S245" s="19"/>
      <c r="T245" s="19"/>
      <c r="U245" s="19"/>
      <c r="V245" s="19"/>
      <c r="W245" s="20">
        <f ca="1">IFERROR(__xludf.DUMMYFUNCTION("""COMPUTED_VALUE"""),154451907)</f>
        <v>154451907</v>
      </c>
      <c r="X245" s="20" t="str">
        <f ca="1">IFERROR(__xludf.DUMMYFUNCTION("""COMPUTED_VALUE""")," MUNICIPALIDAD DE SAN RAMÓN ")</f>
        <v xml:space="preserve"> MUNICIPALIDAD DE SAN RAMÓN </v>
      </c>
    </row>
    <row r="246" spans="1:24" ht="15.75" customHeight="1" x14ac:dyDescent="0.25">
      <c r="A246" s="16" t="str">
        <f ca="1">IFERROR(__xludf.DUMMYFUNCTION("""COMPUTED_VALUE""")," REGIÓN METROPOLITANA ")</f>
        <v xml:space="preserve"> REGIÓN METROPOLITANA </v>
      </c>
      <c r="B246" s="16" t="str">
        <f t="shared" ca="1" si="0"/>
        <v xml:space="preserve"> PUDAHUEL </v>
      </c>
      <c r="C246" s="16" t="str">
        <f ca="1">IFERROR(__xludf.DUMMYFUNCTION("""COMPUTED_VALUE""")," MEJORAMIENTO ESPACIO PÚBLICO PASAJE CASTOR - ALFA DE LA CRUZ, COMUNA DE PUDAHUEL ")</f>
        <v xml:space="preserve"> MEJORAMIENTO ESPACIO PÚBLICO PASAJE CASTOR - ALFA DE LA CRUZ, COMUNA DE PUDAHUEL </v>
      </c>
      <c r="D246" s="16" t="str">
        <f ca="1">IFERROR(__xludf.DUMMYFUNCTION("""COMPUTED_VALUE""")," 1-C-2023-2602 ")</f>
        <v xml:space="preserve"> 1-C-2023-2602 </v>
      </c>
      <c r="E246" s="16" t="str">
        <f ca="1">IFERROR(__xludf.DUMMYFUNCTION("""COMPUTED_VALUE""")," 100% Girado ")</f>
        <v xml:space="preserve"> 100% Girado </v>
      </c>
      <c r="F246" s="17">
        <f ca="1">IFERROR(__xludf.DUMMYFUNCTION("""COMPUTED_VALUE"""),45331)</f>
        <v>45331</v>
      </c>
      <c r="G246" s="16">
        <f ca="1">IFERROR(__xludf.DUMMYFUNCTION("""COMPUTED_VALUE"""),154017977)</f>
        <v>154017977</v>
      </c>
      <c r="H246" s="16" t="str">
        <f ca="1">IFERROR(__xludf.DUMMYFUNCTION("""COMPUTED_VALUE""")," 100% Girado ")</f>
        <v xml:space="preserve"> 100% Girado </v>
      </c>
      <c r="I246" s="16">
        <f ca="1">IFERROR(__xludf.DUMMYFUNCTION("""COMPUTED_VALUE"""),154017977)</f>
        <v>154017977</v>
      </c>
      <c r="J246" s="83" t="s">
        <v>48</v>
      </c>
      <c r="K246" s="16"/>
      <c r="L246" s="16">
        <f ca="1">IFERROR(__xludf.DUMMYFUNCTION("""COMPUTED_VALUE"""),154017977)</f>
        <v>154017977</v>
      </c>
      <c r="M246" s="16"/>
      <c r="N246" s="21">
        <f ca="1">IFERROR(__xludf.DUMMYFUNCTION("""COMPUTED_VALUE"""),0)</f>
        <v>0</v>
      </c>
      <c r="O246" s="19"/>
      <c r="P246" s="19"/>
      <c r="Q246" s="19"/>
      <c r="R246" s="19"/>
      <c r="S246" s="19"/>
      <c r="T246" s="19"/>
      <c r="U246" s="19"/>
      <c r="V246" s="19"/>
      <c r="W246" s="20">
        <f ca="1">IFERROR(__xludf.DUMMYFUNCTION("""COMPUTED_VALUE"""),154017977)</f>
        <v>154017977</v>
      </c>
      <c r="X246" s="20" t="str">
        <f ca="1">IFERROR(__xludf.DUMMYFUNCTION("""COMPUTED_VALUE""")," MUNICIPALIDAD DE PUDAHUEL ")</f>
        <v xml:space="preserve"> MUNICIPALIDAD DE PUDAHUEL </v>
      </c>
    </row>
    <row r="247" spans="1:24" ht="15.75" customHeight="1" x14ac:dyDescent="0.25">
      <c r="A247" s="16" t="str">
        <f ca="1">IFERROR(__xludf.DUMMYFUNCTION("""COMPUTED_VALUE""")," REGIÓN METROPOLITANA ")</f>
        <v xml:space="preserve"> REGIÓN METROPOLITANA </v>
      </c>
      <c r="B247" s="16" t="str">
        <f t="shared" ca="1" si="0"/>
        <v xml:space="preserve"> PUDAHUEL </v>
      </c>
      <c r="C247" s="16" t="str">
        <f ca="1">IFERROR(__xludf.DUMMYFUNCTION("""COMPUTED_VALUE""")," CONSTRUCCIÓN DEL ESPACIO PÚBLICO EN PASAJE RENCA CON ISLAS VIRGENES ")</f>
        <v xml:space="preserve"> CONSTRUCCIÓN DEL ESPACIO PÚBLICO EN PASAJE RENCA CON ISLAS VIRGENES </v>
      </c>
      <c r="D247" s="16" t="str">
        <f ca="1">IFERROR(__xludf.DUMMYFUNCTION("""COMPUTED_VALUE""")," 1-C-2023-2605 ")</f>
        <v xml:space="preserve"> 1-C-2023-2605 </v>
      </c>
      <c r="E247" s="16" t="str">
        <f ca="1">IFERROR(__xludf.DUMMYFUNCTION("""COMPUTED_VALUE""")," 100% Girado ")</f>
        <v xml:space="preserve"> 100% Girado </v>
      </c>
      <c r="F247" s="17">
        <f ca="1">IFERROR(__xludf.DUMMYFUNCTION("""COMPUTED_VALUE"""),45331)</f>
        <v>45331</v>
      </c>
      <c r="G247" s="16">
        <f ca="1">IFERROR(__xludf.DUMMYFUNCTION("""COMPUTED_VALUE"""),131368917)</f>
        <v>131368917</v>
      </c>
      <c r="H247" s="16" t="str">
        <f ca="1">IFERROR(__xludf.DUMMYFUNCTION("""COMPUTED_VALUE""")," 100% Girado ")</f>
        <v xml:space="preserve"> 100% Girado </v>
      </c>
      <c r="I247" s="16">
        <f ca="1">IFERROR(__xludf.DUMMYFUNCTION("""COMPUTED_VALUE"""),131368917)</f>
        <v>131368917</v>
      </c>
      <c r="J247" s="83" t="s">
        <v>48</v>
      </c>
      <c r="K247" s="16"/>
      <c r="L247" s="16">
        <f ca="1">IFERROR(__xludf.DUMMYFUNCTION("""COMPUTED_VALUE"""),131368917)</f>
        <v>131368917</v>
      </c>
      <c r="M247" s="16"/>
      <c r="N247" s="21">
        <f ca="1">IFERROR(__xludf.DUMMYFUNCTION("""COMPUTED_VALUE"""),0)</f>
        <v>0</v>
      </c>
      <c r="O247" s="19"/>
      <c r="P247" s="19"/>
      <c r="Q247" s="19"/>
      <c r="R247" s="19"/>
      <c r="S247" s="19"/>
      <c r="T247" s="19"/>
      <c r="U247" s="19"/>
      <c r="V247" s="19"/>
      <c r="W247" s="20">
        <f ca="1">IFERROR(__xludf.DUMMYFUNCTION("""COMPUTED_VALUE"""),131368917)</f>
        <v>131368917</v>
      </c>
      <c r="X247" s="20" t="str">
        <f ca="1">IFERROR(__xludf.DUMMYFUNCTION("""COMPUTED_VALUE""")," MUNICIPALIDAD DE PUDAHUEL ")</f>
        <v xml:space="preserve"> MUNICIPALIDAD DE PUDAHUEL </v>
      </c>
    </row>
    <row r="248" spans="1:24" ht="15.75" customHeight="1" x14ac:dyDescent="0.25">
      <c r="A248" s="16" t="str">
        <f ca="1">IFERROR(__xludf.DUMMYFUNCTION("""COMPUTED_VALUE""")," REGIÓN METROPOLITANA ")</f>
        <v xml:space="preserve"> REGIÓN METROPOLITANA </v>
      </c>
      <c r="B248" s="16" t="str">
        <f t="shared" ca="1" si="0"/>
        <v xml:space="preserve"> SAN RAMÓN </v>
      </c>
      <c r="C248" s="16" t="str">
        <f ca="1">IFERROR(__xludf.DUMMYFUNCTION("""COMPUTED_VALUE""")," MEJORAMIENTO DE ILUMINACIÓN PEATONAL EN DISTINTOS PUNTOS, COMUNA DE SAN RAMÓN ")</f>
        <v xml:space="preserve"> MEJORAMIENTO DE ILUMINACIÓN PEATONAL EN DISTINTOS PUNTOS, COMUNA DE SAN RAMÓN </v>
      </c>
      <c r="D248" s="16" t="str">
        <f ca="1">IFERROR(__xludf.DUMMYFUNCTION("""COMPUTED_VALUE""")," 1-C-2023-2606 ")</f>
        <v xml:space="preserve"> 1-C-2023-2606 </v>
      </c>
      <c r="E248" s="16" t="str">
        <f ca="1">IFERROR(__xludf.DUMMYFUNCTION("""COMPUTED_VALUE""")," 100% Girado ")</f>
        <v xml:space="preserve"> 100% Girado </v>
      </c>
      <c r="F248" s="17">
        <f ca="1">IFERROR(__xludf.DUMMYFUNCTION("""COMPUTED_VALUE"""),45320)</f>
        <v>45320</v>
      </c>
      <c r="G248" s="16">
        <f ca="1">IFERROR(__xludf.DUMMYFUNCTION("""COMPUTED_VALUE"""),154421540)</f>
        <v>154421540</v>
      </c>
      <c r="H248" s="16" t="str">
        <f ca="1">IFERROR(__xludf.DUMMYFUNCTION("""COMPUTED_VALUE""")," 100% Girado ")</f>
        <v xml:space="preserve"> 100% Girado </v>
      </c>
      <c r="I248" s="16">
        <f ca="1">IFERROR(__xludf.DUMMYFUNCTION("""COMPUTED_VALUE"""),154421540)</f>
        <v>154421540</v>
      </c>
      <c r="J248" s="83" t="s">
        <v>48</v>
      </c>
      <c r="K248" s="16"/>
      <c r="L248" s="16">
        <f ca="1">IFERROR(__xludf.DUMMYFUNCTION("""COMPUTED_VALUE"""),154421540)</f>
        <v>154421540</v>
      </c>
      <c r="M248" s="16"/>
      <c r="N248" s="21">
        <f ca="1">IFERROR(__xludf.DUMMYFUNCTION("""COMPUTED_VALUE"""),0)</f>
        <v>0</v>
      </c>
      <c r="O248" s="19"/>
      <c r="P248" s="19"/>
      <c r="Q248" s="19"/>
      <c r="R248" s="19"/>
      <c r="S248" s="19"/>
      <c r="T248" s="19"/>
      <c r="U248" s="19"/>
      <c r="V248" s="19"/>
      <c r="W248" s="20">
        <f ca="1">IFERROR(__xludf.DUMMYFUNCTION("""COMPUTED_VALUE"""),154421540)</f>
        <v>154421540</v>
      </c>
      <c r="X248" s="20" t="str">
        <f ca="1">IFERROR(__xludf.DUMMYFUNCTION("""COMPUTED_VALUE""")," MUNICIPALIDAD DE SAN RAMÓN ")</f>
        <v xml:space="preserve"> MUNICIPALIDAD DE SAN RAMÓN </v>
      </c>
    </row>
    <row r="249" spans="1:24" ht="15.75" customHeight="1" x14ac:dyDescent="0.25">
      <c r="A249" s="16" t="str">
        <f ca="1">IFERROR(__xludf.DUMMYFUNCTION("""COMPUTED_VALUE""")," REGIÓN METROPOLITANA ")</f>
        <v xml:space="preserve"> REGIÓN METROPOLITANA </v>
      </c>
      <c r="B249" s="16" t="str">
        <f t="shared" ca="1" si="0"/>
        <v xml:space="preserve"> SAN RAMÓN </v>
      </c>
      <c r="C249" s="16" t="str">
        <f ca="1">IFERROR(__xludf.DUMMYFUNCTION("""COMPUTED_VALUE""")," MEJORAMIENTO ESPACIO PÚBLICO SECTOR CERRO NEGRO CON GOYCOLEA, SAN RAMÓN ")</f>
        <v xml:space="preserve"> MEJORAMIENTO ESPACIO PÚBLICO SECTOR CERRO NEGRO CON GOYCOLEA, SAN RAMÓN </v>
      </c>
      <c r="D249" s="16" t="str">
        <f ca="1">IFERROR(__xludf.DUMMYFUNCTION("""COMPUTED_VALUE""")," 1-C-2023-2608 ")</f>
        <v xml:space="preserve"> 1-C-2023-2608 </v>
      </c>
      <c r="E249" s="16" t="str">
        <f ca="1">IFERROR(__xludf.DUMMYFUNCTION("""COMPUTED_VALUE""")," 100% Girado ")</f>
        <v xml:space="preserve"> 100% Girado </v>
      </c>
      <c r="F249" s="17">
        <f ca="1">IFERROR(__xludf.DUMMYFUNCTION("""COMPUTED_VALUE"""),45321)</f>
        <v>45321</v>
      </c>
      <c r="G249" s="16">
        <f ca="1">IFERROR(__xludf.DUMMYFUNCTION("""COMPUTED_VALUE"""),95952674)</f>
        <v>95952674</v>
      </c>
      <c r="H249" s="16" t="str">
        <f ca="1">IFERROR(__xludf.DUMMYFUNCTION("""COMPUTED_VALUE""")," 100% Girado ")</f>
        <v xml:space="preserve"> 100% Girado </v>
      </c>
      <c r="I249" s="16">
        <f ca="1">IFERROR(__xludf.DUMMYFUNCTION("""COMPUTED_VALUE"""),95952674)</f>
        <v>95952674</v>
      </c>
      <c r="J249" s="83" t="s">
        <v>48</v>
      </c>
      <c r="K249" s="16"/>
      <c r="L249" s="16">
        <f ca="1">IFERROR(__xludf.DUMMYFUNCTION("""COMPUTED_VALUE"""),95952674)</f>
        <v>95952674</v>
      </c>
      <c r="M249" s="16"/>
      <c r="N249" s="21">
        <f ca="1">IFERROR(__xludf.DUMMYFUNCTION("""COMPUTED_VALUE"""),0)</f>
        <v>0</v>
      </c>
      <c r="O249" s="19"/>
      <c r="P249" s="19"/>
      <c r="Q249" s="19"/>
      <c r="R249" s="19"/>
      <c r="S249" s="19"/>
      <c r="T249" s="19"/>
      <c r="U249" s="19"/>
      <c r="V249" s="19"/>
      <c r="W249" s="20">
        <f ca="1">IFERROR(__xludf.DUMMYFUNCTION("""COMPUTED_VALUE"""),95952674)</f>
        <v>95952674</v>
      </c>
      <c r="X249" s="20" t="str">
        <f ca="1">IFERROR(__xludf.DUMMYFUNCTION("""COMPUTED_VALUE""")," MUNICIPALIDAD DE SAN RAMÓN ")</f>
        <v xml:space="preserve"> MUNICIPALIDAD DE SAN RAMÓN </v>
      </c>
    </row>
    <row r="250" spans="1:24" ht="15.75" customHeight="1" x14ac:dyDescent="0.25">
      <c r="A250" s="16" t="str">
        <f ca="1">IFERROR(__xludf.DUMMYFUNCTION("""COMPUTED_VALUE""")," REGIÓN METROPOLITANA ")</f>
        <v xml:space="preserve"> REGIÓN METROPOLITANA </v>
      </c>
      <c r="B250" s="16" t="str">
        <f t="shared" ca="1" si="0"/>
        <v xml:space="preserve"> CERRILLOS </v>
      </c>
      <c r="C250" s="16" t="str">
        <f ca="1">IFERROR(__xludf.DUMMYFUNCTION("""COMPUTED_VALUE""")," CONSTRUCCIÓN CIERRE PERIMETRAL CANAL ORTUZANO ")</f>
        <v xml:space="preserve"> CONSTRUCCIÓN CIERRE PERIMETRAL CANAL ORTUZANO </v>
      </c>
      <c r="D250" s="16" t="str">
        <f ca="1">IFERROR(__xludf.DUMMYFUNCTION("""COMPUTED_VALUE""")," 1-C-2023-2761 ")</f>
        <v xml:space="preserve"> 1-C-2023-2761 </v>
      </c>
      <c r="E250" s="16" t="str">
        <f ca="1">IFERROR(__xludf.DUMMYFUNCTION("""COMPUTED_VALUE""")," 100% Girado ")</f>
        <v xml:space="preserve"> 100% Girado </v>
      </c>
      <c r="F250" s="17">
        <f ca="1">IFERROR(__xludf.DUMMYFUNCTION("""COMPUTED_VALUE"""),45331)</f>
        <v>45331</v>
      </c>
      <c r="G250" s="16">
        <f ca="1">IFERROR(__xludf.DUMMYFUNCTION("""COMPUTED_VALUE"""),130491681)</f>
        <v>130491681</v>
      </c>
      <c r="H250" s="16" t="str">
        <f ca="1">IFERROR(__xludf.DUMMYFUNCTION("""COMPUTED_VALUE""")," 100% Girado ")</f>
        <v xml:space="preserve"> 100% Girado </v>
      </c>
      <c r="I250" s="16">
        <f ca="1">IFERROR(__xludf.DUMMYFUNCTION("""COMPUTED_VALUE"""),130491681)</f>
        <v>130491681</v>
      </c>
      <c r="J250" s="83" t="s">
        <v>48</v>
      </c>
      <c r="K250" s="16"/>
      <c r="L250" s="16">
        <f ca="1">IFERROR(__xludf.DUMMYFUNCTION("""COMPUTED_VALUE"""),130491681)</f>
        <v>130491681</v>
      </c>
      <c r="M250" s="16"/>
      <c r="N250" s="21">
        <f ca="1">IFERROR(__xludf.DUMMYFUNCTION("""COMPUTED_VALUE"""),0)</f>
        <v>0</v>
      </c>
      <c r="O250" s="19"/>
      <c r="P250" s="19"/>
      <c r="Q250" s="19"/>
      <c r="R250" s="19"/>
      <c r="S250" s="19"/>
      <c r="T250" s="19"/>
      <c r="U250" s="19"/>
      <c r="V250" s="19"/>
      <c r="W250" s="20">
        <f ca="1">IFERROR(__xludf.DUMMYFUNCTION("""COMPUTED_VALUE"""),130491681)</f>
        <v>130491681</v>
      </c>
      <c r="X250" s="20" t="str">
        <f ca="1">IFERROR(__xludf.DUMMYFUNCTION("""COMPUTED_VALUE""")," MUNICIPALIDAD DE CERRILLOS ")</f>
        <v xml:space="preserve"> MUNICIPALIDAD DE CERRILLOS </v>
      </c>
    </row>
    <row r="251" spans="1:24" ht="15.75" customHeight="1" x14ac:dyDescent="0.25">
      <c r="A251" s="16" t="str">
        <f ca="1">IFERROR(__xludf.DUMMYFUNCTION("""COMPUTED_VALUE""")," REGIÓN METROPOLITANA ")</f>
        <v xml:space="preserve"> REGIÓN METROPOLITANA </v>
      </c>
      <c r="B251" s="16" t="str">
        <f t="shared" ca="1" si="0"/>
        <v xml:space="preserve"> QUINTA NORMAL </v>
      </c>
      <c r="C251" s="16" t="str">
        <f ca="1">IFERROR(__xludf.DUMMYFUNCTION("""COMPUTED_VALUE""")," CONSTRUCCION DE LA ILUMINACION PEATONAL PLAZA MEXICO ")</f>
        <v xml:space="preserve"> CONSTRUCCION DE LA ILUMINACION PEATONAL PLAZA MEXICO </v>
      </c>
      <c r="D251" s="16" t="str">
        <f ca="1">IFERROR(__xludf.DUMMYFUNCTION("""COMPUTED_VALUE""")," 1-C-2023-2804 ")</f>
        <v xml:space="preserve"> 1-C-2023-2804 </v>
      </c>
      <c r="E251" s="16" t="str">
        <f ca="1">IFERROR(__xludf.DUMMYFUNCTION("""COMPUTED_VALUE""")," 100% Girado ")</f>
        <v xml:space="preserve"> 100% Girado </v>
      </c>
      <c r="F251" s="17">
        <f ca="1">IFERROR(__xludf.DUMMYFUNCTION("""COMPUTED_VALUE"""),45320)</f>
        <v>45320</v>
      </c>
      <c r="G251" s="16">
        <f ca="1">IFERROR(__xludf.DUMMYFUNCTION("""COMPUTED_VALUE"""),37125620)</f>
        <v>37125620</v>
      </c>
      <c r="H251" s="16" t="str">
        <f ca="1">IFERROR(__xludf.DUMMYFUNCTION("""COMPUTED_VALUE""")," 100% Girado ")</f>
        <v xml:space="preserve"> 100% Girado </v>
      </c>
      <c r="I251" s="16">
        <f ca="1">IFERROR(__xludf.DUMMYFUNCTION("""COMPUTED_VALUE"""),37125620)</f>
        <v>37125620</v>
      </c>
      <c r="J251" s="83" t="s">
        <v>48</v>
      </c>
      <c r="K251" s="16"/>
      <c r="L251" s="16">
        <f ca="1">IFERROR(__xludf.DUMMYFUNCTION("""COMPUTED_VALUE"""),37125620)</f>
        <v>37125620</v>
      </c>
      <c r="M251" s="16"/>
      <c r="N251" s="21">
        <f ca="1">IFERROR(__xludf.DUMMYFUNCTION("""COMPUTED_VALUE"""),0)</f>
        <v>0</v>
      </c>
      <c r="O251" s="19"/>
      <c r="P251" s="19"/>
      <c r="Q251" s="19"/>
      <c r="R251" s="19"/>
      <c r="S251" s="19"/>
      <c r="T251" s="19"/>
      <c r="U251" s="19"/>
      <c r="V251" s="19"/>
      <c r="W251" s="20">
        <f ca="1">IFERROR(__xludf.DUMMYFUNCTION("""COMPUTED_VALUE"""),37125620)</f>
        <v>37125620</v>
      </c>
      <c r="X251" s="20" t="str">
        <f ca="1">IFERROR(__xludf.DUMMYFUNCTION("""COMPUTED_VALUE""")," MUNICIPALIDAD DE QUINTA NORMAL ")</f>
        <v xml:space="preserve"> MUNICIPALIDAD DE QUINTA NORMAL </v>
      </c>
    </row>
    <row r="252" spans="1:24" ht="15.75" customHeight="1" x14ac:dyDescent="0.25">
      <c r="A252" s="16" t="str">
        <f ca="1">IFERROR(__xludf.DUMMYFUNCTION("""COMPUTED_VALUE""")," REGIÓN METROPOLITANA ")</f>
        <v xml:space="preserve"> REGIÓN METROPOLITANA </v>
      </c>
      <c r="B252" s="16" t="str">
        <f t="shared" ca="1" si="0"/>
        <v xml:space="preserve"> COLINA </v>
      </c>
      <c r="C252" s="16" t="str">
        <f ca="1">IFERROR(__xludf.DUMMYFUNCTION("""COMPUTED_VALUE""")," MEJORAMIENTO PLAZA CHAÑARAL, COMUNA DE COLINA ")</f>
        <v xml:space="preserve"> MEJORAMIENTO PLAZA CHAÑARAL, COMUNA DE COLINA </v>
      </c>
      <c r="D252" s="16" t="str">
        <f ca="1">IFERROR(__xludf.DUMMYFUNCTION("""COMPUTED_VALUE""")," 1-C-2023-2806 ")</f>
        <v xml:space="preserve"> 1-C-2023-2806 </v>
      </c>
      <c r="E252" s="16" t="str">
        <f ca="1">IFERROR(__xludf.DUMMYFUNCTION("""COMPUTED_VALUE""")," 100% Girado ")</f>
        <v xml:space="preserve"> 100% Girado </v>
      </c>
      <c r="F252" s="17">
        <f ca="1">IFERROR(__xludf.DUMMYFUNCTION("""COMPUTED_VALUE"""),45331)</f>
        <v>45331</v>
      </c>
      <c r="G252" s="16">
        <f ca="1">IFERROR(__xludf.DUMMYFUNCTION("""COMPUTED_VALUE"""),66573714)</f>
        <v>66573714</v>
      </c>
      <c r="H252" s="16" t="str">
        <f ca="1">IFERROR(__xludf.DUMMYFUNCTION("""COMPUTED_VALUE""")," 100% Girado ")</f>
        <v xml:space="preserve"> 100% Girado </v>
      </c>
      <c r="I252" s="16">
        <f ca="1">IFERROR(__xludf.DUMMYFUNCTION("""COMPUTED_VALUE"""),66573714)</f>
        <v>66573714</v>
      </c>
      <c r="J252" s="83" t="s">
        <v>48</v>
      </c>
      <c r="K252" s="16"/>
      <c r="L252" s="16">
        <f ca="1">IFERROR(__xludf.DUMMYFUNCTION("""COMPUTED_VALUE"""),66573714)</f>
        <v>66573714</v>
      </c>
      <c r="M252" s="16"/>
      <c r="N252" s="21">
        <f ca="1">IFERROR(__xludf.DUMMYFUNCTION("""COMPUTED_VALUE"""),0)</f>
        <v>0</v>
      </c>
      <c r="O252" s="19"/>
      <c r="P252" s="19"/>
      <c r="Q252" s="19"/>
      <c r="R252" s="19"/>
      <c r="S252" s="19"/>
      <c r="T252" s="19"/>
      <c r="U252" s="19"/>
      <c r="V252" s="19"/>
      <c r="W252" s="20">
        <f ca="1">IFERROR(__xludf.DUMMYFUNCTION("""COMPUTED_VALUE"""),66573714)</f>
        <v>66573714</v>
      </c>
      <c r="X252" s="20" t="str">
        <f ca="1">IFERROR(__xludf.DUMMYFUNCTION("""COMPUTED_VALUE""")," MUNICIPALIDAD DE COLINA ")</f>
        <v xml:space="preserve"> MUNICIPALIDAD DE COLINA </v>
      </c>
    </row>
    <row r="253" spans="1:24" ht="15.75" customHeight="1" x14ac:dyDescent="0.25">
      <c r="A253" s="16" t="str">
        <f ca="1">IFERROR(__xludf.DUMMYFUNCTION("""COMPUTED_VALUE""")," REGIÓN METROPOLITANA ")</f>
        <v xml:space="preserve"> REGIÓN METROPOLITANA </v>
      </c>
      <c r="B253" s="16" t="str">
        <f t="shared" ca="1" si="0"/>
        <v xml:space="preserve"> ESTACIÓN CENTRAL </v>
      </c>
      <c r="C253" s="16" t="str">
        <f ca="1">IFERROR(__xludf.DUMMYFUNCTION("""COMPUTED_VALUE""")," CONSERVACION CIERRO EXISTENTE SECTOR SANTA CORINA, COMUNA ESTACIÓN CENTRAL ")</f>
        <v xml:space="preserve"> CONSERVACION CIERRO EXISTENTE SECTOR SANTA CORINA, COMUNA ESTACIÓN CENTRAL </v>
      </c>
      <c r="D253" s="16" t="str">
        <f ca="1">IFERROR(__xludf.DUMMYFUNCTION("""COMPUTED_VALUE""")," 1-C-2023-2811 ")</f>
        <v xml:space="preserve"> 1-C-2023-2811 </v>
      </c>
      <c r="E253" s="16" t="str">
        <f ca="1">IFERROR(__xludf.DUMMYFUNCTION("""COMPUTED_VALUE""")," 100% Girado ")</f>
        <v xml:space="preserve"> 100% Girado </v>
      </c>
      <c r="F253" s="17">
        <f ca="1">IFERROR(__xludf.DUMMYFUNCTION("""COMPUTED_VALUE"""),45331)</f>
        <v>45331</v>
      </c>
      <c r="G253" s="16">
        <f ca="1">IFERROR(__xludf.DUMMYFUNCTION("""COMPUTED_VALUE"""),84996169)</f>
        <v>84996169</v>
      </c>
      <c r="H253" s="16" t="str">
        <f ca="1">IFERROR(__xludf.DUMMYFUNCTION("""COMPUTED_VALUE""")," 100% Girado ")</f>
        <v xml:space="preserve"> 100% Girado </v>
      </c>
      <c r="I253" s="16">
        <f ca="1">IFERROR(__xludf.DUMMYFUNCTION("""COMPUTED_VALUE"""),84996169)</f>
        <v>84996169</v>
      </c>
      <c r="J253" s="83" t="s">
        <v>48</v>
      </c>
      <c r="K253" s="16"/>
      <c r="L253" s="16">
        <f ca="1">IFERROR(__xludf.DUMMYFUNCTION("""COMPUTED_VALUE"""),84996169)</f>
        <v>84996169</v>
      </c>
      <c r="M253" s="16"/>
      <c r="N253" s="21">
        <f ca="1">IFERROR(__xludf.DUMMYFUNCTION("""COMPUTED_VALUE"""),0)</f>
        <v>0</v>
      </c>
      <c r="O253" s="19"/>
      <c r="P253" s="19"/>
      <c r="Q253" s="19"/>
      <c r="R253" s="19"/>
      <c r="S253" s="19"/>
      <c r="T253" s="19"/>
      <c r="U253" s="19"/>
      <c r="V253" s="19"/>
      <c r="W253" s="20">
        <f ca="1">IFERROR(__xludf.DUMMYFUNCTION("""COMPUTED_VALUE"""),84996169)</f>
        <v>84996169</v>
      </c>
      <c r="X253" s="20" t="str">
        <f ca="1">IFERROR(__xludf.DUMMYFUNCTION("""COMPUTED_VALUE""")," MUNICIPALIDAD DE ESTACIÓN CENTRAL ")</f>
        <v xml:space="preserve"> MUNICIPALIDAD DE ESTACIÓN CENTRAL </v>
      </c>
    </row>
    <row r="254" spans="1:24" ht="15.75" customHeight="1" x14ac:dyDescent="0.25">
      <c r="A254" s="16" t="str">
        <f ca="1">IFERROR(__xludf.DUMMYFUNCTION("""COMPUTED_VALUE""")," REGIÓN METROPOLITANA ")</f>
        <v xml:space="preserve"> REGIÓN METROPOLITANA </v>
      </c>
      <c r="B254" s="16" t="str">
        <f t="shared" ca="1" si="0"/>
        <v xml:space="preserve"> LO ESPEJO </v>
      </c>
      <c r="C254" s="16" t="str">
        <f ca="1">IFERROR(__xludf.DUMMYFUNCTION("""COMPUTED_VALUE""")," MEJORAMIENTO ESPACIO PÚBLICO PASAJE 24, EN UV 24, POBLACIÓN SANTA ADRIANA ")</f>
        <v xml:space="preserve"> MEJORAMIENTO ESPACIO PÚBLICO PASAJE 24, EN UV 24, POBLACIÓN SANTA ADRIANA </v>
      </c>
      <c r="D254" s="16" t="str">
        <f ca="1">IFERROR(__xludf.DUMMYFUNCTION("""COMPUTED_VALUE""")," 1-C-2023-3236 ")</f>
        <v xml:space="preserve"> 1-C-2023-3236 </v>
      </c>
      <c r="E254" s="16" t="str">
        <f ca="1">IFERROR(__xludf.DUMMYFUNCTION("""COMPUTED_VALUE""")," 100% Girado ")</f>
        <v xml:space="preserve"> 100% Girado </v>
      </c>
      <c r="F254" s="17">
        <f ca="1">IFERROR(__xludf.DUMMYFUNCTION("""COMPUTED_VALUE"""),45331)</f>
        <v>45331</v>
      </c>
      <c r="G254" s="16">
        <f ca="1">IFERROR(__xludf.DUMMYFUNCTION("""COMPUTED_VALUE"""),153360126)</f>
        <v>153360126</v>
      </c>
      <c r="H254" s="16" t="str">
        <f ca="1">IFERROR(__xludf.DUMMYFUNCTION("""COMPUTED_VALUE""")," 100% Girado ")</f>
        <v xml:space="preserve"> 100% Girado </v>
      </c>
      <c r="I254" s="16">
        <f ca="1">IFERROR(__xludf.DUMMYFUNCTION("""COMPUTED_VALUE"""),153360126)</f>
        <v>153360126</v>
      </c>
      <c r="J254" s="83" t="s">
        <v>48</v>
      </c>
      <c r="K254" s="16"/>
      <c r="L254" s="16">
        <f ca="1">IFERROR(__xludf.DUMMYFUNCTION("""COMPUTED_VALUE"""),153360126)</f>
        <v>153360126</v>
      </c>
      <c r="M254" s="16"/>
      <c r="N254" s="21">
        <f ca="1">IFERROR(__xludf.DUMMYFUNCTION("""COMPUTED_VALUE"""),0)</f>
        <v>0</v>
      </c>
      <c r="O254" s="19"/>
      <c r="P254" s="19"/>
      <c r="Q254" s="19"/>
      <c r="R254" s="19"/>
      <c r="S254" s="19"/>
      <c r="T254" s="19"/>
      <c r="U254" s="19"/>
      <c r="V254" s="19"/>
      <c r="W254" s="20">
        <f ca="1">IFERROR(__xludf.DUMMYFUNCTION("""COMPUTED_VALUE"""),153360126)</f>
        <v>153360126</v>
      </c>
      <c r="X254" s="20" t="str">
        <f ca="1">IFERROR(__xludf.DUMMYFUNCTION("""COMPUTED_VALUE""")," MUNICIPALIDAD DE LO ESPEJO ")</f>
        <v xml:space="preserve"> MUNICIPALIDAD DE LO ESPEJO </v>
      </c>
    </row>
    <row r="255" spans="1:24" ht="15.75" customHeight="1" x14ac:dyDescent="0.25">
      <c r="A255" s="16" t="str">
        <f ca="1">IFERROR(__xludf.DUMMYFUNCTION("""COMPUTED_VALUE""")," REGIÓN METROPOLITANA ")</f>
        <v xml:space="preserve"> REGIÓN METROPOLITANA </v>
      </c>
      <c r="B255" s="16" t="str">
        <f t="shared" ca="1" si="0"/>
        <v xml:space="preserve"> RECOLETA </v>
      </c>
      <c r="C255" s="16" t="str">
        <f ca="1">IFERROR(__xludf.DUMMYFUNCTION("""COMPUTED_VALUE""")," MEJORAMIENTO PLAZA PRINCIPAL UV N° 2 ")</f>
        <v xml:space="preserve"> MEJORAMIENTO PLAZA PRINCIPAL UV N° 2 </v>
      </c>
      <c r="D255" s="16" t="str">
        <f ca="1">IFERROR(__xludf.DUMMYFUNCTION("""COMPUTED_VALUE""")," 1-C-2023-3266 ")</f>
        <v xml:space="preserve"> 1-C-2023-3266 </v>
      </c>
      <c r="E255" s="16" t="str">
        <f ca="1">IFERROR(__xludf.DUMMYFUNCTION("""COMPUTED_VALUE""")," 100% Girado ")</f>
        <v xml:space="preserve"> 100% Girado </v>
      </c>
      <c r="F255" s="17">
        <f ca="1">IFERROR(__xludf.DUMMYFUNCTION("""COMPUTED_VALUE"""),45331)</f>
        <v>45331</v>
      </c>
      <c r="G255" s="16">
        <f ca="1">IFERROR(__xludf.DUMMYFUNCTION("""COMPUTED_VALUE"""),109599477)</f>
        <v>109599477</v>
      </c>
      <c r="H255" s="16" t="str">
        <f ca="1">IFERROR(__xludf.DUMMYFUNCTION("""COMPUTED_VALUE""")," 100% Girado ")</f>
        <v xml:space="preserve"> 100% Girado </v>
      </c>
      <c r="I255" s="16">
        <f ca="1">IFERROR(__xludf.DUMMYFUNCTION("""COMPUTED_VALUE"""),109599477)</f>
        <v>109599477</v>
      </c>
      <c r="J255" s="83" t="s">
        <v>48</v>
      </c>
      <c r="K255" s="16"/>
      <c r="L255" s="16">
        <f ca="1">IFERROR(__xludf.DUMMYFUNCTION("""COMPUTED_VALUE"""),109599477)</f>
        <v>109599477</v>
      </c>
      <c r="M255" s="16"/>
      <c r="N255" s="21">
        <f ca="1">IFERROR(__xludf.DUMMYFUNCTION("""COMPUTED_VALUE"""),0)</f>
        <v>0</v>
      </c>
      <c r="O255" s="19"/>
      <c r="P255" s="19"/>
      <c r="Q255" s="19"/>
      <c r="R255" s="19"/>
      <c r="S255" s="19"/>
      <c r="T255" s="19"/>
      <c r="U255" s="19"/>
      <c r="V255" s="19"/>
      <c r="W255" s="20">
        <f ca="1">IFERROR(__xludf.DUMMYFUNCTION("""COMPUTED_VALUE"""),109599477)</f>
        <v>109599477</v>
      </c>
      <c r="X255" s="20" t="str">
        <f ca="1">IFERROR(__xludf.DUMMYFUNCTION("""COMPUTED_VALUE""")," MUNICIPALIDAD DE RECOLETA ")</f>
        <v xml:space="preserve"> MUNICIPALIDAD DE RECOLETA </v>
      </c>
    </row>
    <row r="256" spans="1:24" ht="15.75" customHeight="1" x14ac:dyDescent="0.25">
      <c r="A256" s="16" t="str">
        <f ca="1">IFERROR(__xludf.DUMMYFUNCTION("""COMPUTED_VALUE""")," REGIÓN DE LOS RÍOS ")</f>
        <v xml:space="preserve"> REGIÓN DE LOS RÍOS </v>
      </c>
      <c r="B256" s="16" t="str">
        <f t="shared" ca="1" si="0"/>
        <v xml:space="preserve"> LA UNIÓN </v>
      </c>
      <c r="C256" s="16" t="str">
        <f ca="1">IFERROR(__xludf.DUMMYFUNCTION("""COMPUTED_VALUE""")," [SATE] INSTALACIÓN Y REPOSICIÓN DE ALUMBRADO PÚBLICO LOS ESTEROS, TRAIGUEN, EL HUAPE Y CHAMPEL ")</f>
        <v xml:space="preserve"> [SATE] INSTALACIÓN Y REPOSICIÓN DE ALUMBRADO PÚBLICO LOS ESTEROS, TRAIGUEN, EL HUAPE Y CHAMPEL </v>
      </c>
      <c r="D256" s="16" t="str">
        <f ca="1">IFERROR(__xludf.DUMMYFUNCTION("""COMPUTED_VALUE""")," 1-C-2023-1383 ")</f>
        <v xml:space="preserve"> 1-C-2023-1383 </v>
      </c>
      <c r="E256" s="16" t="str">
        <f ca="1">IFERROR(__xludf.DUMMYFUNCTION("""COMPUTED_VALUE""")," 100% Girado ")</f>
        <v xml:space="preserve"> 100% Girado </v>
      </c>
      <c r="F256" s="17">
        <f ca="1">IFERROR(__xludf.DUMMYFUNCTION("""COMPUTED_VALUE"""),45331)</f>
        <v>45331</v>
      </c>
      <c r="G256" s="16">
        <f ca="1">IFERROR(__xludf.DUMMYFUNCTION("""COMPUTED_VALUE"""),114103754)</f>
        <v>114103754</v>
      </c>
      <c r="H256" s="16" t="str">
        <f ca="1">IFERROR(__xludf.DUMMYFUNCTION("""COMPUTED_VALUE""")," 100% Girado ")</f>
        <v xml:space="preserve"> 100% Girado </v>
      </c>
      <c r="I256" s="16">
        <f ca="1">IFERROR(__xludf.DUMMYFUNCTION("""COMPUTED_VALUE"""),114103754)</f>
        <v>114103754</v>
      </c>
      <c r="J256" s="83" t="s">
        <v>48</v>
      </c>
      <c r="K256" s="16"/>
      <c r="L256" s="16">
        <f ca="1">IFERROR(__xludf.DUMMYFUNCTION("""COMPUTED_VALUE"""),114103754)</f>
        <v>114103754</v>
      </c>
      <c r="M256" s="16"/>
      <c r="N256" s="21">
        <f ca="1">IFERROR(__xludf.DUMMYFUNCTION("""COMPUTED_VALUE"""),0)</f>
        <v>0</v>
      </c>
      <c r="O256" s="19"/>
      <c r="P256" s="19"/>
      <c r="Q256" s="19"/>
      <c r="R256" s="19"/>
      <c r="S256" s="19"/>
      <c r="T256" s="19"/>
      <c r="U256" s="19"/>
      <c r="V256" s="19"/>
      <c r="W256" s="20">
        <f ca="1">IFERROR(__xludf.DUMMYFUNCTION("""COMPUTED_VALUE"""),114103754)</f>
        <v>114103754</v>
      </c>
      <c r="X256" s="20" t="str">
        <f ca="1">IFERROR(__xludf.DUMMYFUNCTION("""COMPUTED_VALUE""")," MUNICIPALIDAD DE LA UNIÓN ")</f>
        <v xml:space="preserve"> MUNICIPALIDAD DE LA UNIÓN </v>
      </c>
    </row>
    <row r="257" spans="1:24" ht="15.75" customHeight="1" x14ac:dyDescent="0.25">
      <c r="A257" s="16" t="str">
        <f ca="1">IFERROR(__xludf.DUMMYFUNCTION("""COMPUTED_VALUE""")," REGIÓN DE LOS RÍOS ")</f>
        <v xml:space="preserve"> REGIÓN DE LOS RÍOS </v>
      </c>
      <c r="B257" s="16" t="str">
        <f t="shared" ca="1" si="0"/>
        <v xml:space="preserve"> LANCO </v>
      </c>
      <c r="C257" s="16" t="str">
        <f ca="1">IFERROR(__xludf.DUMMYFUNCTION("""COMPUTED_VALUE""")," CONSTRUCCION CIERRE PERIMETRAL CANCHA RURAL, SECTOR LUMACO ")</f>
        <v xml:space="preserve"> CONSTRUCCION CIERRE PERIMETRAL CANCHA RURAL, SECTOR LUMACO </v>
      </c>
      <c r="D257" s="16" t="str">
        <f ca="1">IFERROR(__xludf.DUMMYFUNCTION("""COMPUTED_VALUE""")," 1-C-2023-1512 ")</f>
        <v xml:space="preserve"> 1-C-2023-1512 </v>
      </c>
      <c r="E257" s="16" t="str">
        <f ca="1">IFERROR(__xludf.DUMMYFUNCTION("""COMPUTED_VALUE""")," 100% Girado ")</f>
        <v xml:space="preserve"> 100% Girado </v>
      </c>
      <c r="F257" s="17">
        <f ca="1">IFERROR(__xludf.DUMMYFUNCTION("""COMPUTED_VALUE"""),45331)</f>
        <v>45331</v>
      </c>
      <c r="G257" s="16">
        <f ca="1">IFERROR(__xludf.DUMMYFUNCTION("""COMPUTED_VALUE"""),59388796)</f>
        <v>59388796</v>
      </c>
      <c r="H257" s="16" t="str">
        <f ca="1">IFERROR(__xludf.DUMMYFUNCTION("""COMPUTED_VALUE""")," 100% Girado ")</f>
        <v xml:space="preserve"> 100% Girado </v>
      </c>
      <c r="I257" s="16">
        <f ca="1">IFERROR(__xludf.DUMMYFUNCTION("""COMPUTED_VALUE"""),59388796)</f>
        <v>59388796</v>
      </c>
      <c r="J257" s="83" t="s">
        <v>48</v>
      </c>
      <c r="K257" s="16"/>
      <c r="L257" s="16">
        <f ca="1">IFERROR(__xludf.DUMMYFUNCTION("""COMPUTED_VALUE"""),59388796)</f>
        <v>59388796</v>
      </c>
      <c r="M257" s="16"/>
      <c r="N257" s="21">
        <f ca="1">IFERROR(__xludf.DUMMYFUNCTION("""COMPUTED_VALUE"""),0)</f>
        <v>0</v>
      </c>
      <c r="O257" s="19"/>
      <c r="P257" s="19"/>
      <c r="Q257" s="19"/>
      <c r="R257" s="19"/>
      <c r="S257" s="19"/>
      <c r="T257" s="19"/>
      <c r="U257" s="19"/>
      <c r="V257" s="19"/>
      <c r="W257" s="20">
        <f ca="1">IFERROR(__xludf.DUMMYFUNCTION("""COMPUTED_VALUE"""),59388796)</f>
        <v>59388796</v>
      </c>
      <c r="X257" s="20" t="str">
        <f ca="1">IFERROR(__xludf.DUMMYFUNCTION("""COMPUTED_VALUE""")," MUNICIPALIDAD DE LANCO ")</f>
        <v xml:space="preserve"> MUNICIPALIDAD DE LANCO </v>
      </c>
    </row>
    <row r="258" spans="1:24" ht="15.75" customHeight="1" x14ac:dyDescent="0.25">
      <c r="A258" s="16" t="str">
        <f ca="1">IFERROR(__xludf.DUMMYFUNCTION("""COMPUTED_VALUE""")," REGIÓN DE LOS RÍOS ")</f>
        <v xml:space="preserve"> REGIÓN DE LOS RÍOS </v>
      </c>
      <c r="B258" s="16" t="str">
        <f t="shared" ca="1" si="0"/>
        <v xml:space="preserve"> RÍO BUENO </v>
      </c>
      <c r="C258" s="16" t="str">
        <f ca="1">IFERROR(__xludf.DUMMYFUNCTION("""COMPUTED_VALUE""")," REHABILITACIÓN PASARELA CONTRA, COMUNA DE RÍO BUENO, REGIÓN DE LOS RÍOS ")</f>
        <v xml:space="preserve"> REHABILITACIÓN PASARELA CONTRA, COMUNA DE RÍO BUENO, REGIÓN DE LOS RÍOS </v>
      </c>
      <c r="D258" s="16" t="str">
        <f ca="1">IFERROR(__xludf.DUMMYFUNCTION("""COMPUTED_VALUE""")," 1-C-2023-3155 ")</f>
        <v xml:space="preserve"> 1-C-2023-3155 </v>
      </c>
      <c r="E258" s="16" t="str">
        <f ca="1">IFERROR(__xludf.DUMMYFUNCTION("""COMPUTED_VALUE""")," 100% Girado ")</f>
        <v xml:space="preserve"> 100% Girado </v>
      </c>
      <c r="F258" s="17">
        <f ca="1">IFERROR(__xludf.DUMMYFUNCTION("""COMPUTED_VALUE"""),45331)</f>
        <v>45331</v>
      </c>
      <c r="G258" s="16">
        <f ca="1">IFERROR(__xludf.DUMMYFUNCTION("""COMPUTED_VALUE"""),132835312)</f>
        <v>132835312</v>
      </c>
      <c r="H258" s="16" t="str">
        <f ca="1">IFERROR(__xludf.DUMMYFUNCTION("""COMPUTED_VALUE""")," 100% Girado ")</f>
        <v xml:space="preserve"> 100% Girado </v>
      </c>
      <c r="I258" s="16">
        <f ca="1">IFERROR(__xludf.DUMMYFUNCTION("""COMPUTED_VALUE"""),132835312)</f>
        <v>132835312</v>
      </c>
      <c r="J258" s="83" t="s">
        <v>48</v>
      </c>
      <c r="K258" s="16"/>
      <c r="L258" s="16">
        <f ca="1">IFERROR(__xludf.DUMMYFUNCTION("""COMPUTED_VALUE"""),132835312)</f>
        <v>132835312</v>
      </c>
      <c r="M258" s="16"/>
      <c r="N258" s="21">
        <f ca="1">IFERROR(__xludf.DUMMYFUNCTION("""COMPUTED_VALUE"""),0)</f>
        <v>0</v>
      </c>
      <c r="O258" s="19"/>
      <c r="P258" s="19"/>
      <c r="Q258" s="19"/>
      <c r="R258" s="19"/>
      <c r="S258" s="19"/>
      <c r="T258" s="19"/>
      <c r="U258" s="19"/>
      <c r="V258" s="19"/>
      <c r="W258" s="20">
        <f ca="1">IFERROR(__xludf.DUMMYFUNCTION("""COMPUTED_VALUE"""),132835312)</f>
        <v>132835312</v>
      </c>
      <c r="X258" s="20" t="str">
        <f ca="1">IFERROR(__xludf.DUMMYFUNCTION("""COMPUTED_VALUE""")," MUNICIPALIDAD DE RÍO BUENO ")</f>
        <v xml:space="preserve"> MUNICIPALIDAD DE RÍO BUENO </v>
      </c>
    </row>
    <row r="259" spans="1:24" ht="15.75" customHeight="1" x14ac:dyDescent="0.25">
      <c r="A259" s="16" t="str">
        <f ca="1">IFERROR(__xludf.DUMMYFUNCTION("""COMPUTED_VALUE""")," REGIÓN DE ÑUBLE ")</f>
        <v xml:space="preserve"> REGIÓN DE ÑUBLE </v>
      </c>
      <c r="B259" s="16" t="str">
        <f t="shared" ca="1" si="0"/>
        <v xml:space="preserve"> NINHUE </v>
      </c>
      <c r="C259" s="16" t="str">
        <f ca="1">IFERROR(__xludf.DUMMYFUNCTION("""COMPUTED_VALUE""")," [SATE] CONSTRUCCIÓN CANCHA PASTO SINTETICO, SECTOR HUALTE, COMUNA DE NINHUE. ")</f>
        <v xml:space="preserve"> [SATE] CONSTRUCCIÓN CANCHA PASTO SINTETICO, SECTOR HUALTE, COMUNA DE NINHUE. </v>
      </c>
      <c r="D259" s="16" t="str">
        <f ca="1">IFERROR(__xludf.DUMMYFUNCTION("""COMPUTED_VALUE""")," 1-C-2023-1140 ")</f>
        <v xml:space="preserve"> 1-C-2023-1140 </v>
      </c>
      <c r="E259" s="16" t="str">
        <f ca="1">IFERROR(__xludf.DUMMYFUNCTION("""COMPUTED_VALUE""")," 100% Girado ")</f>
        <v xml:space="preserve"> 100% Girado </v>
      </c>
      <c r="F259" s="17">
        <f ca="1">IFERROR(__xludf.DUMMYFUNCTION("""COMPUTED_VALUE"""),45331)</f>
        <v>45331</v>
      </c>
      <c r="G259" s="16">
        <f ca="1">IFERROR(__xludf.DUMMYFUNCTION("""COMPUTED_VALUE"""),147554749)</f>
        <v>147554749</v>
      </c>
      <c r="H259" s="16" t="str">
        <f ca="1">IFERROR(__xludf.DUMMYFUNCTION("""COMPUTED_VALUE""")," 100% Girado ")</f>
        <v xml:space="preserve"> 100% Girado </v>
      </c>
      <c r="I259" s="16">
        <f ca="1">IFERROR(__xludf.DUMMYFUNCTION("""COMPUTED_VALUE"""),147554749)</f>
        <v>147554749</v>
      </c>
      <c r="J259" s="83" t="s">
        <v>48</v>
      </c>
      <c r="K259" s="16"/>
      <c r="L259" s="16">
        <f ca="1">IFERROR(__xludf.DUMMYFUNCTION("""COMPUTED_VALUE"""),147554749)</f>
        <v>147554749</v>
      </c>
      <c r="M259" s="16"/>
      <c r="N259" s="21">
        <f ca="1">IFERROR(__xludf.DUMMYFUNCTION("""COMPUTED_VALUE"""),0)</f>
        <v>0</v>
      </c>
      <c r="O259" s="19"/>
      <c r="P259" s="19"/>
      <c r="Q259" s="19"/>
      <c r="R259" s="19"/>
      <c r="S259" s="19"/>
      <c r="T259" s="19"/>
      <c r="U259" s="19"/>
      <c r="V259" s="19"/>
      <c r="W259" s="20">
        <f ca="1">IFERROR(__xludf.DUMMYFUNCTION("""COMPUTED_VALUE"""),147554749)</f>
        <v>147554749</v>
      </c>
      <c r="X259" s="20" t="str">
        <f ca="1">IFERROR(__xludf.DUMMYFUNCTION("""COMPUTED_VALUE""")," MUNICIPALIDAD DE NINHUE ")</f>
        <v xml:space="preserve"> MUNICIPALIDAD DE NINHUE </v>
      </c>
    </row>
    <row r="260" spans="1:24" ht="15.75" customHeight="1" x14ac:dyDescent="0.25">
      <c r="A260" s="16" t="str">
        <f ca="1">IFERROR(__xludf.DUMMYFUNCTION("""COMPUTED_VALUE""")," REGIÓN DE ÑUBLE ")</f>
        <v xml:space="preserve"> REGIÓN DE ÑUBLE </v>
      </c>
      <c r="B260" s="16" t="str">
        <f t="shared" ca="1" si="0"/>
        <v xml:space="preserve"> CHILLÁN </v>
      </c>
      <c r="C260" s="16" t="str">
        <f ca="1">IFERROR(__xludf.DUMMYFUNCTION("""COMPUTED_VALUE""")," CSV CONSTRUCCIÓN ÁREA VERDE LA CASTILLA ")</f>
        <v xml:space="preserve"> CSV CONSTRUCCIÓN ÁREA VERDE LA CASTILLA </v>
      </c>
      <c r="D260" s="16" t="str">
        <f ca="1">IFERROR(__xludf.DUMMYFUNCTION("""COMPUTED_VALUE""")," 1-C-2023-2334 ")</f>
        <v xml:space="preserve"> 1-C-2023-2334 </v>
      </c>
      <c r="E260" s="16" t="str">
        <f ca="1">IFERROR(__xludf.DUMMYFUNCTION("""COMPUTED_VALUE""")," 100% Girado ")</f>
        <v xml:space="preserve"> 100% Girado </v>
      </c>
      <c r="F260" s="17">
        <f ca="1">IFERROR(__xludf.DUMMYFUNCTION("""COMPUTED_VALUE"""),45331)</f>
        <v>45331</v>
      </c>
      <c r="G260" s="16">
        <f ca="1">IFERROR(__xludf.DUMMYFUNCTION("""COMPUTED_VALUE"""),126254405)</f>
        <v>126254405</v>
      </c>
      <c r="H260" s="16" t="str">
        <f ca="1">IFERROR(__xludf.DUMMYFUNCTION("""COMPUTED_VALUE""")," 100% Girado ")</f>
        <v xml:space="preserve"> 100% Girado </v>
      </c>
      <c r="I260" s="16">
        <f ca="1">IFERROR(__xludf.DUMMYFUNCTION("""COMPUTED_VALUE"""),126254405)</f>
        <v>126254405</v>
      </c>
      <c r="J260" s="83" t="s">
        <v>48</v>
      </c>
      <c r="K260" s="16"/>
      <c r="L260" s="16">
        <f ca="1">IFERROR(__xludf.DUMMYFUNCTION("""COMPUTED_VALUE"""),126254405)</f>
        <v>126254405</v>
      </c>
      <c r="M260" s="16"/>
      <c r="N260" s="21">
        <f ca="1">IFERROR(__xludf.DUMMYFUNCTION("""COMPUTED_VALUE"""),0)</f>
        <v>0</v>
      </c>
      <c r="O260" s="19"/>
      <c r="P260" s="19"/>
      <c r="Q260" s="19"/>
      <c r="R260" s="19"/>
      <c r="S260" s="19"/>
      <c r="T260" s="19"/>
      <c r="U260" s="19"/>
      <c r="V260" s="19"/>
      <c r="W260" s="20">
        <f ca="1">IFERROR(__xludf.DUMMYFUNCTION("""COMPUTED_VALUE"""),126254405)</f>
        <v>126254405</v>
      </c>
      <c r="X260" s="20" t="str">
        <f ca="1">IFERROR(__xludf.DUMMYFUNCTION("""COMPUTED_VALUE""")," MUNICIPALIDAD DE CHILLÁN ")</f>
        <v xml:space="preserve"> MUNICIPALIDAD DE CHILLÁN </v>
      </c>
    </row>
    <row r="261" spans="1:24" ht="15.75" customHeight="1" x14ac:dyDescent="0.25">
      <c r="A261" s="16" t="str">
        <f ca="1">IFERROR(__xludf.DUMMYFUNCTION("""COMPUTED_VALUE""")," REGIÓN DE ÑUBLE ")</f>
        <v xml:space="preserve"> REGIÓN DE ÑUBLE </v>
      </c>
      <c r="B261" s="16" t="str">
        <f t="shared" ca="1" si="0"/>
        <v xml:space="preserve"> CHILLÁN </v>
      </c>
      <c r="C261" s="16" t="str">
        <f ca="1">IFERROR(__xludf.DUMMYFUNCTION("""COMPUTED_VALUE""")," CSV MEJORAMIENTO PLAZA O´BRIEN COVADONGA ")</f>
        <v xml:space="preserve"> CSV MEJORAMIENTO PLAZA O´BRIEN COVADONGA </v>
      </c>
      <c r="D261" s="16" t="str">
        <f ca="1">IFERROR(__xludf.DUMMYFUNCTION("""COMPUTED_VALUE""")," 1-C-2023-2335 ")</f>
        <v xml:space="preserve"> 1-C-2023-2335 </v>
      </c>
      <c r="E261" s="16" t="str">
        <f ca="1">IFERROR(__xludf.DUMMYFUNCTION("""COMPUTED_VALUE""")," 100% Girado ")</f>
        <v xml:space="preserve"> 100% Girado </v>
      </c>
      <c r="F261" s="17">
        <f ca="1">IFERROR(__xludf.DUMMYFUNCTION("""COMPUTED_VALUE"""),45331)</f>
        <v>45331</v>
      </c>
      <c r="G261" s="16">
        <f ca="1">IFERROR(__xludf.DUMMYFUNCTION("""COMPUTED_VALUE"""),90884062)</f>
        <v>90884062</v>
      </c>
      <c r="H261" s="16" t="str">
        <f ca="1">IFERROR(__xludf.DUMMYFUNCTION("""COMPUTED_VALUE""")," 100% Girado ")</f>
        <v xml:space="preserve"> 100% Girado </v>
      </c>
      <c r="I261" s="16">
        <f ca="1">IFERROR(__xludf.DUMMYFUNCTION("""COMPUTED_VALUE"""),90884062)</f>
        <v>90884062</v>
      </c>
      <c r="J261" s="83" t="s">
        <v>48</v>
      </c>
      <c r="K261" s="16"/>
      <c r="L261" s="16">
        <f ca="1">IFERROR(__xludf.DUMMYFUNCTION("""COMPUTED_VALUE"""),90884062)</f>
        <v>90884062</v>
      </c>
      <c r="M261" s="16"/>
      <c r="N261" s="21">
        <f ca="1">IFERROR(__xludf.DUMMYFUNCTION("""COMPUTED_VALUE"""),0)</f>
        <v>0</v>
      </c>
      <c r="O261" s="19"/>
      <c r="P261" s="19"/>
      <c r="Q261" s="19"/>
      <c r="R261" s="19"/>
      <c r="S261" s="19"/>
      <c r="T261" s="19"/>
      <c r="U261" s="19"/>
      <c r="V261" s="19"/>
      <c r="W261" s="20">
        <f ca="1">IFERROR(__xludf.DUMMYFUNCTION("""COMPUTED_VALUE"""),90884062)</f>
        <v>90884062</v>
      </c>
      <c r="X261" s="20" t="str">
        <f ca="1">IFERROR(__xludf.DUMMYFUNCTION("""COMPUTED_VALUE""")," MUNICIPALIDAD DE CHILLÁN ")</f>
        <v xml:space="preserve"> MUNICIPALIDAD DE CHILLÁN </v>
      </c>
    </row>
    <row r="262" spans="1:24" ht="15.75" customHeight="1" x14ac:dyDescent="0.25">
      <c r="A262" s="16" t="str">
        <f ca="1">IFERROR(__xludf.DUMMYFUNCTION("""COMPUTED_VALUE""")," REGIÓN DE COQUIMBO ")</f>
        <v xml:space="preserve"> REGIÓN DE COQUIMBO </v>
      </c>
      <c r="B262" s="16" t="str">
        <f t="shared" ca="1" si="0"/>
        <v xml:space="preserve"> LA SERENA </v>
      </c>
      <c r="C262" s="16" t="str">
        <f ca="1">IFERROR(__xludf.DUMMYFUNCTION("""COMPUTED_VALUE""")," AMPLIACIÓN ALUMBRADO PÚBLICO INGRESOS SECTORES BELLAVISTA Y LOMAS DE MONARDEZ ")</f>
        <v xml:space="preserve"> AMPLIACIÓN ALUMBRADO PÚBLICO INGRESOS SECTORES BELLAVISTA Y LOMAS DE MONARDEZ </v>
      </c>
      <c r="D262" s="16" t="str">
        <f ca="1">IFERROR(__xludf.DUMMYFUNCTION("""COMPUTED_VALUE""")," 1-C-2023-2712 ")</f>
        <v xml:space="preserve"> 1-C-2023-2712 </v>
      </c>
      <c r="E262" s="16" t="str">
        <f ca="1">IFERROR(__xludf.DUMMYFUNCTION("""COMPUTED_VALUE""")," 100% Girado ")</f>
        <v xml:space="preserve"> 100% Girado </v>
      </c>
      <c r="F262" s="17">
        <f ca="1">IFERROR(__xludf.DUMMYFUNCTION("""COMPUTED_VALUE"""),45359)</f>
        <v>45359</v>
      </c>
      <c r="G262" s="16">
        <f ca="1">IFERROR(__xludf.DUMMYFUNCTION("""COMPUTED_VALUE"""),57053539)</f>
        <v>57053539</v>
      </c>
      <c r="H262" s="16" t="str">
        <f ca="1">IFERROR(__xludf.DUMMYFUNCTION("""COMPUTED_VALUE""")," 100% Girado ")</f>
        <v xml:space="preserve"> 100% Girado </v>
      </c>
      <c r="I262" s="16">
        <f ca="1">IFERROR(__xludf.DUMMYFUNCTION("""COMPUTED_VALUE"""),57053539)</f>
        <v>57053539</v>
      </c>
      <c r="J262" s="83" t="s">
        <v>48</v>
      </c>
      <c r="K262" s="16"/>
      <c r="L262" s="16"/>
      <c r="M262" s="16">
        <f ca="1">IFERROR(__xludf.DUMMYFUNCTION("""COMPUTED_VALUE"""),57053539)</f>
        <v>57053539</v>
      </c>
      <c r="N262" s="21">
        <f ca="1">IFERROR(__xludf.DUMMYFUNCTION("""COMPUTED_VALUE"""),0)</f>
        <v>0</v>
      </c>
      <c r="O262" s="19"/>
      <c r="P262" s="19"/>
      <c r="Q262" s="19"/>
      <c r="R262" s="19"/>
      <c r="S262" s="19"/>
      <c r="T262" s="19"/>
      <c r="U262" s="19"/>
      <c r="V262" s="19"/>
      <c r="W262" s="20">
        <f ca="1">IFERROR(__xludf.DUMMYFUNCTION("""COMPUTED_VALUE"""),57053539)</f>
        <v>57053539</v>
      </c>
      <c r="X262" s="20" t="str">
        <f ca="1">IFERROR(__xludf.DUMMYFUNCTION("""COMPUTED_VALUE""")," MUNICIPALIDAD DE LA SERENA ")</f>
        <v xml:space="preserve"> MUNICIPALIDAD DE LA SERENA </v>
      </c>
    </row>
    <row r="263" spans="1:24" ht="15.75" customHeight="1" x14ac:dyDescent="0.25">
      <c r="A263" s="16" t="str">
        <f ca="1">IFERROR(__xludf.DUMMYFUNCTION("""COMPUTED_VALUE""")," REGIÓN DEL LIBERTADOR GENERAL BERNARDO O’HIGGINS ")</f>
        <v xml:space="preserve"> REGIÓN DEL LIBERTADOR GENERAL BERNARDO O’HIGGINS </v>
      </c>
      <c r="B263" s="16" t="str">
        <f t="shared" ca="1" si="0"/>
        <v xml:space="preserve"> REQUÍNOA </v>
      </c>
      <c r="C263" s="16" t="str">
        <f ca="1">IFERROR(__xludf.DUMMYFUNCTION("""COMPUTED_VALUE""")," CONSTRUCCIÓN SEDE SOCIAL CHUMAQUITO ")</f>
        <v xml:space="preserve"> CONSTRUCCIÓN SEDE SOCIAL CHUMAQUITO </v>
      </c>
      <c r="D263" s="16" t="str">
        <f ca="1">IFERROR(__xludf.DUMMYFUNCTION("""COMPUTED_VALUE""")," 1-C-2022-599 [CHA] ")</f>
        <v xml:space="preserve"> 1-C-2022-599 [CHA] </v>
      </c>
      <c r="E263" s="16" t="str">
        <f ca="1">IFERROR(__xludf.DUMMYFUNCTION("""COMPUTED_VALUE""")," 100% Girado ")</f>
        <v xml:space="preserve"> 100% Girado </v>
      </c>
      <c r="F263" s="17">
        <f ca="1">IFERROR(__xludf.DUMMYFUNCTION("""COMPUTED_VALUE"""),44869)</f>
        <v>44869</v>
      </c>
      <c r="G263" s="16">
        <f ca="1">IFERROR(__xludf.DUMMYFUNCTION("""COMPUTED_VALUE"""),97498658)</f>
        <v>97498658</v>
      </c>
      <c r="H263" s="16" t="str">
        <f ca="1">IFERROR(__xludf.DUMMYFUNCTION("""COMPUTED_VALUE""")," 100% Girado ")</f>
        <v xml:space="preserve"> 100% Girado </v>
      </c>
      <c r="I263" s="16">
        <f ca="1">IFERROR(__xludf.DUMMYFUNCTION("""COMPUTED_VALUE"""),22498660)</f>
        <v>22498660</v>
      </c>
      <c r="J263" s="83" t="s">
        <v>48</v>
      </c>
      <c r="K263" s="16"/>
      <c r="L263" s="16"/>
      <c r="M263" s="16">
        <f ca="1">IFERROR(__xludf.DUMMYFUNCTION("""COMPUTED_VALUE"""),22498660)</f>
        <v>22498660</v>
      </c>
      <c r="N263" s="21">
        <f ca="1">IFERROR(__xludf.DUMMYFUNCTION("""COMPUTED_VALUE"""),0)</f>
        <v>0</v>
      </c>
      <c r="O263" s="19"/>
      <c r="P263" s="19"/>
      <c r="Q263" s="19"/>
      <c r="R263" s="19"/>
      <c r="S263" s="19"/>
      <c r="T263" s="19"/>
      <c r="U263" s="19"/>
      <c r="V263" s="19"/>
      <c r="W263" s="20">
        <f ca="1">IFERROR(__xludf.DUMMYFUNCTION("""COMPUTED_VALUE"""),22498660)</f>
        <v>22498660</v>
      </c>
      <c r="X263" s="20" t="str">
        <f ca="1">IFERROR(__xludf.DUMMYFUNCTION("""COMPUTED_VALUE""")," MUNICIPALIDAD DE REQUÍNOA ")</f>
        <v xml:space="preserve"> MUNICIPALIDAD DE REQUÍNOA </v>
      </c>
    </row>
    <row r="264" spans="1:24" ht="15.75" customHeight="1" x14ac:dyDescent="0.25">
      <c r="A264" s="16" t="str">
        <f ca="1">IFERROR(__xludf.DUMMYFUNCTION("""COMPUTED_VALUE""")," REGIÓN DEL MAULE ")</f>
        <v xml:space="preserve"> REGIÓN DEL MAULE </v>
      </c>
      <c r="B264" s="16" t="str">
        <f t="shared" ca="1" si="0"/>
        <v xml:space="preserve"> SAGRADA FAMILIA </v>
      </c>
      <c r="C264" s="16" t="str">
        <f ca="1">IFERROR(__xludf.DUMMYFUNCTION("""COMPUTED_VALUE""")," REPOSICIÓN SEDE SOCIAL N° 5, VILLA PRAT ")</f>
        <v xml:space="preserve"> REPOSICIÓN SEDE SOCIAL N° 5, VILLA PRAT </v>
      </c>
      <c r="D264" s="16" t="str">
        <f ca="1">IFERROR(__xludf.DUMMYFUNCTION("""COMPUTED_VALUE""")," 1-C-2021-714 ")</f>
        <v xml:space="preserve"> 1-C-2021-714 </v>
      </c>
      <c r="E264" s="16" t="str">
        <f ca="1">IFERROR(__xludf.DUMMYFUNCTION("""COMPUTED_VALUE""")," 100% Girado ")</f>
        <v xml:space="preserve"> 100% Girado </v>
      </c>
      <c r="F264" s="17">
        <f ca="1">IFERROR(__xludf.DUMMYFUNCTION("""COMPUTED_VALUE"""),44516)</f>
        <v>44516</v>
      </c>
      <c r="G264" s="16">
        <f ca="1">IFERROR(__xludf.DUMMYFUNCTION("""COMPUTED_VALUE"""),74999469)</f>
        <v>74999469</v>
      </c>
      <c r="H264" s="16" t="str">
        <f ca="1">IFERROR(__xludf.DUMMYFUNCTION("""COMPUTED_VALUE""")," 100% Girado ")</f>
        <v xml:space="preserve"> 100% Girado </v>
      </c>
      <c r="I264" s="16">
        <f ca="1">IFERROR(__xludf.DUMMYFUNCTION("""COMPUTED_VALUE"""),13576248)</f>
        <v>13576248</v>
      </c>
      <c r="J264" s="83" t="s">
        <v>48</v>
      </c>
      <c r="K264" s="16"/>
      <c r="L264" s="16"/>
      <c r="M264" s="16">
        <f ca="1">IFERROR(__xludf.DUMMYFUNCTION("""COMPUTED_VALUE"""),13576248)</f>
        <v>13576248</v>
      </c>
      <c r="N264" s="21">
        <f ca="1">IFERROR(__xludf.DUMMYFUNCTION("""COMPUTED_VALUE"""),0)</f>
        <v>0</v>
      </c>
      <c r="O264" s="19"/>
      <c r="P264" s="19"/>
      <c r="Q264" s="19"/>
      <c r="R264" s="19"/>
      <c r="S264" s="19"/>
      <c r="T264" s="19"/>
      <c r="U264" s="19"/>
      <c r="V264" s="19"/>
      <c r="W264" s="20">
        <f ca="1">IFERROR(__xludf.DUMMYFUNCTION("""COMPUTED_VALUE"""),13576248)</f>
        <v>13576248</v>
      </c>
      <c r="X264" s="20" t="str">
        <f ca="1">IFERROR(__xludf.DUMMYFUNCTION("""COMPUTED_VALUE""")," MUNICIPALIDAD DE SAGRADA FAMILIA ")</f>
        <v xml:space="preserve"> MUNICIPALIDAD DE SAGRADA FAMILIA </v>
      </c>
    </row>
    <row r="265" spans="1:24" ht="15.75" customHeight="1" x14ac:dyDescent="0.25">
      <c r="A265" s="16" t="str">
        <f ca="1">IFERROR(__xludf.DUMMYFUNCTION("""COMPUTED_VALUE""")," REGIÓN DEL BIOBÍO ")</f>
        <v xml:space="preserve"> REGIÓN DEL BIOBÍO </v>
      </c>
      <c r="B265" s="16" t="str">
        <f t="shared" ca="1" si="0"/>
        <v xml:space="preserve"> LEBU </v>
      </c>
      <c r="C265" s="16" t="str">
        <f ca="1">IFERROR(__xludf.DUMMYFUNCTION("""COMPUTED_VALUE""")," [SATE] MEJORAMIENTO PLATABANDA IGNACIO CARRERA PINTO ")</f>
        <v xml:space="preserve"> [SATE] MEJORAMIENTO PLATABANDA IGNACIO CARRERA PINTO </v>
      </c>
      <c r="D265" s="16" t="str">
        <f ca="1">IFERROR(__xludf.DUMMYFUNCTION("""COMPUTED_VALUE""")," 1-C-2023-243 ")</f>
        <v xml:space="preserve"> 1-C-2023-243 </v>
      </c>
      <c r="E265" s="16" t="str">
        <f ca="1">IFERROR(__xludf.DUMMYFUNCTION("""COMPUTED_VALUE""")," 100% Girado ")</f>
        <v xml:space="preserve"> 100% Girado </v>
      </c>
      <c r="F265" s="17">
        <f ca="1">IFERROR(__xludf.DUMMYFUNCTION("""COMPUTED_VALUE"""),45355)</f>
        <v>45355</v>
      </c>
      <c r="G265" s="16">
        <f ca="1">IFERROR(__xludf.DUMMYFUNCTION("""COMPUTED_VALUE"""),70235953)</f>
        <v>70235953</v>
      </c>
      <c r="H265" s="16" t="str">
        <f ca="1">IFERROR(__xludf.DUMMYFUNCTION("""COMPUTED_VALUE""")," 100% Girado ")</f>
        <v xml:space="preserve"> 100% Girado </v>
      </c>
      <c r="I265" s="16">
        <f ca="1">IFERROR(__xludf.DUMMYFUNCTION("""COMPUTED_VALUE"""),70235953)</f>
        <v>70235953</v>
      </c>
      <c r="J265" s="83" t="s">
        <v>48</v>
      </c>
      <c r="K265" s="16"/>
      <c r="L265" s="16"/>
      <c r="M265" s="16">
        <f ca="1">IFERROR(__xludf.DUMMYFUNCTION("""COMPUTED_VALUE"""),70235953)</f>
        <v>70235953</v>
      </c>
      <c r="N265" s="21">
        <f ca="1">IFERROR(__xludf.DUMMYFUNCTION("""COMPUTED_VALUE"""),0)</f>
        <v>0</v>
      </c>
      <c r="O265" s="19"/>
      <c r="P265" s="19"/>
      <c r="Q265" s="19"/>
      <c r="R265" s="19"/>
      <c r="S265" s="19"/>
      <c r="T265" s="19"/>
      <c r="U265" s="19"/>
      <c r="V265" s="19"/>
      <c r="W265" s="20">
        <f ca="1">IFERROR(__xludf.DUMMYFUNCTION("""COMPUTED_VALUE"""),70235953)</f>
        <v>70235953</v>
      </c>
      <c r="X265" s="20" t="str">
        <f ca="1">IFERROR(__xludf.DUMMYFUNCTION("""COMPUTED_VALUE""")," MUNICIPALIDAD DE LEBU ")</f>
        <v xml:space="preserve"> MUNICIPALIDAD DE LEBU </v>
      </c>
    </row>
    <row r="266" spans="1:24" ht="15.75" customHeight="1" x14ac:dyDescent="0.25">
      <c r="A266" s="16" t="str">
        <f ca="1">IFERROR(__xludf.DUMMYFUNCTION("""COMPUTED_VALUE""")," REGIÓN DEL BIOBÍO ")</f>
        <v xml:space="preserve"> REGIÓN DEL BIOBÍO </v>
      </c>
      <c r="B266" s="16" t="str">
        <f t="shared" ca="1" si="0"/>
        <v xml:space="preserve"> CURANILAHUE </v>
      </c>
      <c r="C266" s="16" t="str">
        <f ca="1">IFERROR(__xludf.DUMMYFUNCTION("""COMPUTED_VALUE""")," [SATE] MEJORAMIENTO ESCUELAS RURALES; BAJO LOS RIOS, LOS CRUCEROS, TRONGOL ALTO; ENTRE OTRAS ")</f>
        <v xml:space="preserve"> [SATE] MEJORAMIENTO ESCUELAS RURALES; BAJO LOS RIOS, LOS CRUCEROS, TRONGOL ALTO; ENTRE OTRAS </v>
      </c>
      <c r="D266" s="16" t="str">
        <f ca="1">IFERROR(__xludf.DUMMYFUNCTION("""COMPUTED_VALUE""")," 1-C-2023-577 ")</f>
        <v xml:space="preserve"> 1-C-2023-577 </v>
      </c>
      <c r="E266" s="16" t="str">
        <f ca="1">IFERROR(__xludf.DUMMYFUNCTION("""COMPUTED_VALUE""")," 100% Girado ")</f>
        <v xml:space="preserve"> 100% Girado </v>
      </c>
      <c r="F266" s="17">
        <f ca="1">IFERROR(__xludf.DUMMYFUNCTION("""COMPUTED_VALUE"""),45348)</f>
        <v>45348</v>
      </c>
      <c r="G266" s="16">
        <f ca="1">IFERROR(__xludf.DUMMYFUNCTION("""COMPUTED_VALUE"""),149236710)</f>
        <v>149236710</v>
      </c>
      <c r="H266" s="16" t="str">
        <f ca="1">IFERROR(__xludf.DUMMYFUNCTION("""COMPUTED_VALUE""")," 100% Girado ")</f>
        <v xml:space="preserve"> 100% Girado </v>
      </c>
      <c r="I266" s="16">
        <f ca="1">IFERROR(__xludf.DUMMYFUNCTION("""COMPUTED_VALUE"""),149236710)</f>
        <v>149236710</v>
      </c>
      <c r="J266" s="83" t="s">
        <v>48</v>
      </c>
      <c r="K266" s="16"/>
      <c r="L266" s="16"/>
      <c r="M266" s="16">
        <f ca="1">IFERROR(__xludf.DUMMYFUNCTION("""COMPUTED_VALUE"""),149236710)</f>
        <v>149236710</v>
      </c>
      <c r="N266" s="21">
        <f ca="1">IFERROR(__xludf.DUMMYFUNCTION("""COMPUTED_VALUE"""),0)</f>
        <v>0</v>
      </c>
      <c r="O266" s="19"/>
      <c r="P266" s="19"/>
      <c r="Q266" s="19"/>
      <c r="R266" s="19"/>
      <c r="S266" s="19"/>
      <c r="T266" s="19"/>
      <c r="U266" s="19"/>
      <c r="V266" s="19"/>
      <c r="W266" s="20">
        <f ca="1">IFERROR(__xludf.DUMMYFUNCTION("""COMPUTED_VALUE"""),149236710)</f>
        <v>149236710</v>
      </c>
      <c r="X266" s="20" t="str">
        <f ca="1">IFERROR(__xludf.DUMMYFUNCTION("""COMPUTED_VALUE""")," MUNICIPALIDAD DE CURANILAHUE ")</f>
        <v xml:space="preserve"> MUNICIPALIDAD DE CURANILAHUE </v>
      </c>
    </row>
    <row r="267" spans="1:24" ht="15.75" customHeight="1" x14ac:dyDescent="0.25">
      <c r="A267" s="16" t="str">
        <f ca="1">IFERROR(__xludf.DUMMYFUNCTION("""COMPUTED_VALUE""")," REGIÓN DEL BIOBÍO ")</f>
        <v xml:space="preserve"> REGIÓN DEL BIOBÍO </v>
      </c>
      <c r="B267" s="16" t="str">
        <f t="shared" ca="1" si="0"/>
        <v xml:space="preserve"> TOMÉ </v>
      </c>
      <c r="C267" s="16" t="str">
        <f ca="1">IFERROR(__xludf.DUMMYFUNCTION("""COMPUTED_VALUE""")," CONSTRUCCIÓN SEDE SOCIAL NUEVO COCHOLGUE, TOMÉ ")</f>
        <v xml:space="preserve"> CONSTRUCCIÓN SEDE SOCIAL NUEVO COCHOLGUE, TOMÉ </v>
      </c>
      <c r="D267" s="16" t="str">
        <f ca="1">IFERROR(__xludf.DUMMYFUNCTION("""COMPUTED_VALUE""")," 1-C-2023-1724 ")</f>
        <v xml:space="preserve"> 1-C-2023-1724 </v>
      </c>
      <c r="E267" s="16" t="str">
        <f ca="1">IFERROR(__xludf.DUMMYFUNCTION("""COMPUTED_VALUE""")," 100% Girado ")</f>
        <v xml:space="preserve"> 100% Girado </v>
      </c>
      <c r="F267" s="17">
        <f ca="1">IFERROR(__xludf.DUMMYFUNCTION("""COMPUTED_VALUE"""),45348)</f>
        <v>45348</v>
      </c>
      <c r="G267" s="16">
        <f ca="1">IFERROR(__xludf.DUMMYFUNCTION("""COMPUTED_VALUE"""),122618588)</f>
        <v>122618588</v>
      </c>
      <c r="H267" s="16" t="str">
        <f ca="1">IFERROR(__xludf.DUMMYFUNCTION("""COMPUTED_VALUE""")," 100% Girado ")</f>
        <v xml:space="preserve"> 100% Girado </v>
      </c>
      <c r="I267" s="16">
        <f ca="1">IFERROR(__xludf.DUMMYFUNCTION("""COMPUTED_VALUE"""),122618588)</f>
        <v>122618588</v>
      </c>
      <c r="J267" s="83" t="s">
        <v>48</v>
      </c>
      <c r="K267" s="16"/>
      <c r="L267" s="16"/>
      <c r="M267" s="16">
        <f ca="1">IFERROR(__xludf.DUMMYFUNCTION("""COMPUTED_VALUE"""),122618588)</f>
        <v>122618588</v>
      </c>
      <c r="N267" s="21">
        <f ca="1">IFERROR(__xludf.DUMMYFUNCTION("""COMPUTED_VALUE"""),0)</f>
        <v>0</v>
      </c>
      <c r="O267" s="19"/>
      <c r="P267" s="19"/>
      <c r="Q267" s="19"/>
      <c r="R267" s="19"/>
      <c r="S267" s="19"/>
      <c r="T267" s="19"/>
      <c r="U267" s="19"/>
      <c r="V267" s="19"/>
      <c r="W267" s="20">
        <f ca="1">IFERROR(__xludf.DUMMYFUNCTION("""COMPUTED_VALUE"""),122618588)</f>
        <v>122618588</v>
      </c>
      <c r="X267" s="20" t="str">
        <f ca="1">IFERROR(__xludf.DUMMYFUNCTION("""COMPUTED_VALUE""")," MUNICIPALIDAD DE TOMÉ ")</f>
        <v xml:space="preserve"> MUNICIPALIDAD DE TOMÉ </v>
      </c>
    </row>
    <row r="268" spans="1:24" ht="15.75" customHeight="1" x14ac:dyDescent="0.25">
      <c r="A268" s="16" t="str">
        <f ca="1">IFERROR(__xludf.DUMMYFUNCTION("""COMPUTED_VALUE""")," REGIÓN DE LA ARAUCANÍA ")</f>
        <v xml:space="preserve"> REGIÓN DE LA ARAUCANÍA </v>
      </c>
      <c r="B268" s="16" t="str">
        <f t="shared" ca="1" si="0"/>
        <v xml:space="preserve"> VILCÚN </v>
      </c>
      <c r="C268" s="16" t="str">
        <f ca="1">IFERROR(__xludf.DUMMYFUNCTION("""COMPUTED_VALUE""")," CONSTRUCCION SEDE SOCIAL, EL TESORO ")</f>
        <v xml:space="preserve"> CONSTRUCCION SEDE SOCIAL, EL TESORO </v>
      </c>
      <c r="D268" s="16" t="str">
        <f ca="1">IFERROR(__xludf.DUMMYFUNCTION("""COMPUTED_VALUE""")," 1-C-2016-784 ")</f>
        <v xml:space="preserve"> 1-C-2016-784 </v>
      </c>
      <c r="E268" s="16" t="str">
        <f ca="1">IFERROR(__xludf.DUMMYFUNCTION("""COMPUTED_VALUE""")," 100% Girado ")</f>
        <v xml:space="preserve"> 100% Girado </v>
      </c>
      <c r="F268" s="17">
        <f ca="1">IFERROR(__xludf.DUMMYFUNCTION("""COMPUTED_VALUE"""),44156)</f>
        <v>44156</v>
      </c>
      <c r="G268" s="16">
        <f ca="1">IFERROR(__xludf.DUMMYFUNCTION("""COMPUTED_VALUE"""),63180620)</f>
        <v>63180620</v>
      </c>
      <c r="H268" s="16" t="str">
        <f ca="1">IFERROR(__xludf.DUMMYFUNCTION("""COMPUTED_VALUE""")," 100% Girado ")</f>
        <v xml:space="preserve"> 100% Girado </v>
      </c>
      <c r="I268" s="16">
        <f ca="1">IFERROR(__xludf.DUMMYFUNCTION("""COMPUTED_VALUE"""),46406430)</f>
        <v>46406430</v>
      </c>
      <c r="J268" s="83" t="s">
        <v>48</v>
      </c>
      <c r="K268" s="16"/>
      <c r="L268" s="16"/>
      <c r="M268" s="16">
        <f ca="1">IFERROR(__xludf.DUMMYFUNCTION("""COMPUTED_VALUE"""),46406430)</f>
        <v>46406430</v>
      </c>
      <c r="N268" s="21">
        <f ca="1">IFERROR(__xludf.DUMMYFUNCTION("""COMPUTED_VALUE"""),0)</f>
        <v>0</v>
      </c>
      <c r="O268" s="19"/>
      <c r="P268" s="19"/>
      <c r="Q268" s="19"/>
      <c r="R268" s="19"/>
      <c r="S268" s="19"/>
      <c r="T268" s="19"/>
      <c r="U268" s="19"/>
      <c r="V268" s="19"/>
      <c r="W268" s="20">
        <f ca="1">IFERROR(__xludf.DUMMYFUNCTION("""COMPUTED_VALUE"""),46406430)</f>
        <v>46406430</v>
      </c>
      <c r="X268" s="20" t="str">
        <f ca="1">IFERROR(__xludf.DUMMYFUNCTION("""COMPUTED_VALUE""")," MUNICIPALIDAD DE VILCÚN ")</f>
        <v xml:space="preserve"> MUNICIPALIDAD DE VILCÚN </v>
      </c>
    </row>
    <row r="269" spans="1:24" ht="15.75" customHeight="1" x14ac:dyDescent="0.25">
      <c r="A269" s="16" t="str">
        <f ca="1">IFERROR(__xludf.DUMMYFUNCTION("""COMPUTED_VALUE""")," REGIÓN DE LA ARAUCANÍA ")</f>
        <v xml:space="preserve"> REGIÓN DE LA ARAUCANÍA </v>
      </c>
      <c r="B269" s="16" t="str">
        <f t="shared" ca="1" si="0"/>
        <v xml:space="preserve"> VILCÚN </v>
      </c>
      <c r="C269" s="16" t="str">
        <f ca="1">IFERROR(__xludf.DUMMYFUNCTION("""COMPUTED_VALUE""")," CONSTRUCCION SEDE SOCIAL LOS CASTAÑOS I DE CAJÓN, COMUNA DE VILCUN ")</f>
        <v xml:space="preserve"> CONSTRUCCION SEDE SOCIAL LOS CASTAÑOS I DE CAJÓN, COMUNA DE VILCUN </v>
      </c>
      <c r="D269" s="16" t="str">
        <f ca="1">IFERROR(__xludf.DUMMYFUNCTION("""COMPUTED_VALUE""")," 1-C-2020-1188 ")</f>
        <v xml:space="preserve"> 1-C-2020-1188 </v>
      </c>
      <c r="E269" s="16" t="str">
        <f ca="1">IFERROR(__xludf.DUMMYFUNCTION("""COMPUTED_VALUE""")," En Ejecución ")</f>
        <v xml:space="preserve"> En Ejecución </v>
      </c>
      <c r="F269" s="17">
        <f ca="1">IFERROR(__xludf.DUMMYFUNCTION("""COMPUTED_VALUE"""),44434)</f>
        <v>44434</v>
      </c>
      <c r="G269" s="16">
        <f ca="1">IFERROR(__xludf.DUMMYFUNCTION("""COMPUTED_VALUE"""),75855000)</f>
        <v>75855000</v>
      </c>
      <c r="H269" s="16" t="str">
        <f ca="1">IFERROR(__xludf.DUMMYFUNCTION("""COMPUTED_VALUE""")," En Ejecución ")</f>
        <v xml:space="preserve"> En Ejecución </v>
      </c>
      <c r="I269" s="16">
        <f ca="1">IFERROR(__xludf.DUMMYFUNCTION("""COMPUTED_VALUE"""),45050469)</f>
        <v>45050469</v>
      </c>
      <c r="J269" s="83" t="s">
        <v>48</v>
      </c>
      <c r="K269" s="16"/>
      <c r="L269" s="16"/>
      <c r="M269" s="16">
        <f ca="1">IFERROR(__xludf.DUMMYFUNCTION("""COMPUTED_VALUE"""),45050469)</f>
        <v>45050469</v>
      </c>
      <c r="N269" s="21">
        <f ca="1">IFERROR(__xludf.DUMMYFUNCTION("""COMPUTED_VALUE"""),0)</f>
        <v>0</v>
      </c>
      <c r="O269" s="19"/>
      <c r="P269" s="19"/>
      <c r="Q269" s="19"/>
      <c r="R269" s="19"/>
      <c r="S269" s="19"/>
      <c r="T269" s="19"/>
      <c r="U269" s="19"/>
      <c r="V269" s="19"/>
      <c r="W269" s="20">
        <f ca="1">IFERROR(__xludf.DUMMYFUNCTION("""COMPUTED_VALUE"""),45050469)</f>
        <v>45050469</v>
      </c>
      <c r="X269" s="20" t="str">
        <f ca="1">IFERROR(__xludf.DUMMYFUNCTION("""COMPUTED_VALUE""")," MUNICIPALIDAD DE VILCÚN ")</f>
        <v xml:space="preserve"> MUNICIPALIDAD DE VILCÚN </v>
      </c>
    </row>
    <row r="270" spans="1:24" ht="15.75" customHeight="1" x14ac:dyDescent="0.25">
      <c r="A270" s="16" t="str">
        <f ca="1">IFERROR(__xludf.DUMMYFUNCTION("""COMPUTED_VALUE""")," REGIÓN DE LA ARAUCANÍA ")</f>
        <v xml:space="preserve"> REGIÓN DE LA ARAUCANÍA </v>
      </c>
      <c r="B270" s="16" t="str">
        <f t="shared" ca="1" si="0"/>
        <v xml:space="preserve"> LUMACO </v>
      </c>
      <c r="C270" s="16" t="str">
        <f ca="1">IFERROR(__xludf.DUMMYFUNCTION("""COMPUTED_VALUE""")," REPOSICIÓN PAVIMENTO FIN DE CALLE BALMACEDA, CAPITÁN PASTENE, COMUNA DE LUMACO ")</f>
        <v xml:space="preserve"> REPOSICIÓN PAVIMENTO FIN DE CALLE BALMACEDA, CAPITÁN PASTENE, COMUNA DE LUMACO </v>
      </c>
      <c r="D270" s="16" t="str">
        <f ca="1">IFERROR(__xludf.DUMMYFUNCTION("""COMPUTED_VALUE""")," 1-B-2021-140 ")</f>
        <v xml:space="preserve"> 1-B-2021-140 </v>
      </c>
      <c r="E270" s="16" t="str">
        <f ca="1">IFERROR(__xludf.DUMMYFUNCTION("""COMPUTED_VALUE""")," En Ejecución ")</f>
        <v xml:space="preserve"> En Ejecución </v>
      </c>
      <c r="F270" s="17">
        <f ca="1">IFERROR(__xludf.DUMMYFUNCTION("""COMPUTED_VALUE"""),44405)</f>
        <v>44405</v>
      </c>
      <c r="G270" s="16">
        <f ca="1">IFERROR(__xludf.DUMMYFUNCTION("""COMPUTED_VALUE"""),20000000)</f>
        <v>20000000</v>
      </c>
      <c r="H270" s="16" t="str">
        <f ca="1">IFERROR(__xludf.DUMMYFUNCTION("""COMPUTED_VALUE""")," En Ejecución ")</f>
        <v xml:space="preserve"> En Ejecución </v>
      </c>
      <c r="I270" s="16">
        <f ca="1">IFERROR(__xludf.DUMMYFUNCTION("""COMPUTED_VALUE"""),9999958)</f>
        <v>9999958</v>
      </c>
      <c r="J270" s="83" t="s">
        <v>48</v>
      </c>
      <c r="K270" s="16"/>
      <c r="L270" s="16"/>
      <c r="M270" s="16">
        <f ca="1">IFERROR(__xludf.DUMMYFUNCTION("""COMPUTED_VALUE"""),9999958)</f>
        <v>9999958</v>
      </c>
      <c r="N270" s="21">
        <f ca="1">IFERROR(__xludf.DUMMYFUNCTION("""COMPUTED_VALUE"""),0)</f>
        <v>0</v>
      </c>
      <c r="O270" s="19"/>
      <c r="P270" s="19"/>
      <c r="Q270" s="19"/>
      <c r="R270" s="19"/>
      <c r="S270" s="19"/>
      <c r="T270" s="19"/>
      <c r="U270" s="19"/>
      <c r="V270" s="19"/>
      <c r="W270" s="20">
        <f ca="1">IFERROR(__xludf.DUMMYFUNCTION("""COMPUTED_VALUE"""),9999958)</f>
        <v>9999958</v>
      </c>
      <c r="X270" s="20" t="str">
        <f ca="1">IFERROR(__xludf.DUMMYFUNCTION("""COMPUTED_VALUE""")," MUNICIPALIDAD DE LUMACO ")</f>
        <v xml:space="preserve"> MUNICIPALIDAD DE LUMACO </v>
      </c>
    </row>
    <row r="271" spans="1:24" ht="15.75" customHeight="1" x14ac:dyDescent="0.25">
      <c r="A271" s="16" t="str">
        <f ca="1">IFERROR(__xludf.DUMMYFUNCTION("""COMPUTED_VALUE""")," REGIÓN DE LA ARAUCANÍA ")</f>
        <v xml:space="preserve"> REGIÓN DE LA ARAUCANÍA </v>
      </c>
      <c r="B271" s="16" t="str">
        <f t="shared" ca="1" si="0"/>
        <v xml:space="preserve"> VICTORIA </v>
      </c>
      <c r="C271" s="16" t="str">
        <f ca="1">IFERROR(__xludf.DUMMYFUNCTION("""COMPUTED_VALUE""")," CONSTRUCCION SALAS DE CLASES Y DEPENDENCIAS ESCUELA LAS CARDAS ")</f>
        <v xml:space="preserve"> CONSTRUCCION SALAS DE CLASES Y DEPENDENCIAS ESCUELA LAS CARDAS </v>
      </c>
      <c r="D271" s="16" t="str">
        <f ca="1">IFERROR(__xludf.DUMMYFUNCTION("""COMPUTED_VALUE""")," 1-C-2023-1525 ")</f>
        <v xml:space="preserve"> 1-C-2023-1525 </v>
      </c>
      <c r="E271" s="16" t="str">
        <f ca="1">IFERROR(__xludf.DUMMYFUNCTION("""COMPUTED_VALUE""")," 100% Girado ")</f>
        <v xml:space="preserve"> 100% Girado </v>
      </c>
      <c r="F271" s="17">
        <f ca="1">IFERROR(__xludf.DUMMYFUNCTION("""COMPUTED_VALUE"""),45359)</f>
        <v>45359</v>
      </c>
      <c r="G271" s="16">
        <f ca="1">IFERROR(__xludf.DUMMYFUNCTION("""COMPUTED_VALUE"""),154342564)</f>
        <v>154342564</v>
      </c>
      <c r="H271" s="16" t="str">
        <f ca="1">IFERROR(__xludf.DUMMYFUNCTION("""COMPUTED_VALUE""")," 100% Girado ")</f>
        <v xml:space="preserve"> 100% Girado </v>
      </c>
      <c r="I271" s="16">
        <f ca="1">IFERROR(__xludf.DUMMYFUNCTION("""COMPUTED_VALUE"""),154342564)</f>
        <v>154342564</v>
      </c>
      <c r="J271" s="83" t="s">
        <v>48</v>
      </c>
      <c r="K271" s="16"/>
      <c r="L271" s="16"/>
      <c r="M271" s="16">
        <f ca="1">IFERROR(__xludf.DUMMYFUNCTION("""COMPUTED_VALUE"""),154342564)</f>
        <v>154342564</v>
      </c>
      <c r="N271" s="21">
        <f ca="1">IFERROR(__xludf.DUMMYFUNCTION("""COMPUTED_VALUE"""),0)</f>
        <v>0</v>
      </c>
      <c r="O271" s="19"/>
      <c r="P271" s="19"/>
      <c r="Q271" s="19"/>
      <c r="R271" s="19"/>
      <c r="S271" s="19"/>
      <c r="T271" s="19"/>
      <c r="U271" s="19"/>
      <c r="V271" s="19"/>
      <c r="W271" s="20">
        <f ca="1">IFERROR(__xludf.DUMMYFUNCTION("""COMPUTED_VALUE"""),154342564)</f>
        <v>154342564</v>
      </c>
      <c r="X271" s="20" t="str">
        <f ca="1">IFERROR(__xludf.DUMMYFUNCTION("""COMPUTED_VALUE""")," MUNICIPALIDAD DE VICTORIA ")</f>
        <v xml:space="preserve"> MUNICIPALIDAD DE VICTORIA </v>
      </c>
    </row>
    <row r="272" spans="1:24" ht="15.75" customHeight="1" x14ac:dyDescent="0.25">
      <c r="A272" s="16" t="str">
        <f ca="1">IFERROR(__xludf.DUMMYFUNCTION("""COMPUTED_VALUE""")," REGIÓN DE LOS LAGOS ")</f>
        <v xml:space="preserve"> REGIÓN DE LOS LAGOS </v>
      </c>
      <c r="B272" s="16" t="str">
        <f t="shared" ca="1" si="0"/>
        <v xml:space="preserve"> PUERTO MONTT </v>
      </c>
      <c r="C272" s="16" t="str">
        <f ca="1">IFERROR(__xludf.DUMMYFUNCTION("""COMPUTED_VALUE""")," REPOSICION DE LUMINARIAS SECTOR CENTRO Y PERICENTRO DE LA COMUNA DE PUERTO MONTT ")</f>
        <v xml:space="preserve"> REPOSICION DE LUMINARIAS SECTOR CENTRO Y PERICENTRO DE LA COMUNA DE PUERTO MONTT </v>
      </c>
      <c r="D272" s="16" t="str">
        <f ca="1">IFERROR(__xludf.DUMMYFUNCTION("""COMPUTED_VALUE""")," 1-C-2023-2546 ")</f>
        <v xml:space="preserve"> 1-C-2023-2546 </v>
      </c>
      <c r="E272" s="16" t="str">
        <f ca="1">IFERROR(__xludf.DUMMYFUNCTION("""COMPUTED_VALUE""")," 100% Girado ")</f>
        <v xml:space="preserve"> 100% Girado </v>
      </c>
      <c r="F272" s="17">
        <f ca="1">IFERROR(__xludf.DUMMYFUNCTION("""COMPUTED_VALUE"""),45372)</f>
        <v>45372</v>
      </c>
      <c r="G272" s="16">
        <f ca="1">IFERROR(__xludf.DUMMYFUNCTION("""COMPUTED_VALUE"""),154422499)</f>
        <v>154422499</v>
      </c>
      <c r="H272" s="16" t="str">
        <f ca="1">IFERROR(__xludf.DUMMYFUNCTION("""COMPUTED_VALUE""")," 100% Girado ")</f>
        <v xml:space="preserve"> 100% Girado </v>
      </c>
      <c r="I272" s="16">
        <f ca="1">IFERROR(__xludf.DUMMYFUNCTION("""COMPUTED_VALUE"""),154422499)</f>
        <v>154422499</v>
      </c>
      <c r="J272" s="83" t="s">
        <v>48</v>
      </c>
      <c r="K272" s="16"/>
      <c r="L272" s="16"/>
      <c r="M272" s="16">
        <f ca="1">IFERROR(__xludf.DUMMYFUNCTION("""COMPUTED_VALUE"""),154422499)</f>
        <v>154422499</v>
      </c>
      <c r="N272" s="21">
        <f ca="1">IFERROR(__xludf.DUMMYFUNCTION("""COMPUTED_VALUE"""),0)</f>
        <v>0</v>
      </c>
      <c r="O272" s="19"/>
      <c r="P272" s="19"/>
      <c r="Q272" s="19"/>
      <c r="R272" s="19"/>
      <c r="S272" s="19"/>
      <c r="T272" s="19"/>
      <c r="U272" s="19"/>
      <c r="V272" s="19"/>
      <c r="W272" s="20">
        <f ca="1">IFERROR(__xludf.DUMMYFUNCTION("""COMPUTED_VALUE"""),154422499)</f>
        <v>154422499</v>
      </c>
      <c r="X272" s="20" t="str">
        <f ca="1">IFERROR(__xludf.DUMMYFUNCTION("""COMPUTED_VALUE""")," MUNICIPALIDAD DE PUERTO MONTT ")</f>
        <v xml:space="preserve"> MUNICIPALIDAD DE PUERTO MONTT </v>
      </c>
    </row>
    <row r="273" spans="1:24" ht="15.75" customHeight="1" x14ac:dyDescent="0.25">
      <c r="A273" s="16" t="str">
        <f ca="1">IFERROR(__xludf.DUMMYFUNCTION("""COMPUTED_VALUE""")," REGIÓN DE LOS LAGOS ")</f>
        <v xml:space="preserve"> REGIÓN DE LOS LAGOS </v>
      </c>
      <c r="B273" s="16" t="str">
        <f t="shared" ca="1" si="0"/>
        <v xml:space="preserve"> PUERTO MONTT </v>
      </c>
      <c r="C273" s="16" t="str">
        <f ca="1">IFERROR(__xludf.DUMMYFUNCTION("""COMPUTED_VALUE""")," REPOSICION DE LUMINARIAS SECTOR BERNARDO O'HIGGINS DE LA COMUNA DE PUERTO MONTT ")</f>
        <v xml:space="preserve"> REPOSICION DE LUMINARIAS SECTOR BERNARDO O'HIGGINS DE LA COMUNA DE PUERTO MONTT </v>
      </c>
      <c r="D273" s="16" t="str">
        <f ca="1">IFERROR(__xludf.DUMMYFUNCTION("""COMPUTED_VALUE""")," 1-C-2023-2548 ")</f>
        <v xml:space="preserve"> 1-C-2023-2548 </v>
      </c>
      <c r="E273" s="16" t="str">
        <f ca="1">IFERROR(__xludf.DUMMYFUNCTION("""COMPUTED_VALUE""")," 100% Girado ")</f>
        <v xml:space="preserve"> 100% Girado </v>
      </c>
      <c r="F273" s="17">
        <f ca="1">IFERROR(__xludf.DUMMYFUNCTION("""COMPUTED_VALUE"""),45372)</f>
        <v>45372</v>
      </c>
      <c r="G273" s="16">
        <f ca="1">IFERROR(__xludf.DUMMYFUNCTION("""COMPUTED_VALUE"""),154422499)</f>
        <v>154422499</v>
      </c>
      <c r="H273" s="16" t="str">
        <f ca="1">IFERROR(__xludf.DUMMYFUNCTION("""COMPUTED_VALUE""")," 100% Girado ")</f>
        <v xml:space="preserve"> 100% Girado </v>
      </c>
      <c r="I273" s="16">
        <f ca="1">IFERROR(__xludf.DUMMYFUNCTION("""COMPUTED_VALUE"""),154422499)</f>
        <v>154422499</v>
      </c>
      <c r="J273" s="83" t="s">
        <v>48</v>
      </c>
      <c r="K273" s="16"/>
      <c r="L273" s="16"/>
      <c r="M273" s="16">
        <f ca="1">IFERROR(__xludf.DUMMYFUNCTION("""COMPUTED_VALUE"""),154422499)</f>
        <v>154422499</v>
      </c>
      <c r="N273" s="21">
        <f ca="1">IFERROR(__xludf.DUMMYFUNCTION("""COMPUTED_VALUE"""),0)</f>
        <v>0</v>
      </c>
      <c r="O273" s="19"/>
      <c r="P273" s="19"/>
      <c r="Q273" s="19"/>
      <c r="R273" s="19"/>
      <c r="S273" s="19"/>
      <c r="T273" s="19"/>
      <c r="U273" s="19"/>
      <c r="V273" s="19"/>
      <c r="W273" s="20">
        <f ca="1">IFERROR(__xludf.DUMMYFUNCTION("""COMPUTED_VALUE"""),154422499)</f>
        <v>154422499</v>
      </c>
      <c r="X273" s="20" t="str">
        <f ca="1">IFERROR(__xludf.DUMMYFUNCTION("""COMPUTED_VALUE""")," MUNICIPALIDAD DE PUERTO MONTT ")</f>
        <v xml:space="preserve"> MUNICIPALIDAD DE PUERTO MONTT </v>
      </c>
    </row>
    <row r="274" spans="1:24" ht="15.75" customHeight="1" x14ac:dyDescent="0.25">
      <c r="A274" s="16" t="str">
        <f ca="1">IFERROR(__xludf.DUMMYFUNCTION("""COMPUTED_VALUE""")," REGIÓN DE LOS LAGOS ")</f>
        <v xml:space="preserve"> REGIÓN DE LOS LAGOS </v>
      </c>
      <c r="B274" s="16" t="str">
        <f t="shared" ca="1" si="0"/>
        <v xml:space="preserve"> PUERTO MONTT </v>
      </c>
      <c r="C274" s="16" t="str">
        <f ca="1">IFERROR(__xludf.DUMMYFUNCTION("""COMPUTED_VALUE""")," REPOSICIÓN DE LUMINARIAS SECTOR HOSPITAL DE LA COMUNA DE PUERTO MONTT ")</f>
        <v xml:space="preserve"> REPOSICIÓN DE LUMINARIAS SECTOR HOSPITAL DE LA COMUNA DE PUERTO MONTT </v>
      </c>
      <c r="D274" s="16" t="str">
        <f ca="1">IFERROR(__xludf.DUMMYFUNCTION("""COMPUTED_VALUE""")," 1-C-2023-2549 ")</f>
        <v xml:space="preserve"> 1-C-2023-2549 </v>
      </c>
      <c r="E274" s="16" t="str">
        <f ca="1">IFERROR(__xludf.DUMMYFUNCTION("""COMPUTED_VALUE""")," 100% Girado ")</f>
        <v xml:space="preserve"> 100% Girado </v>
      </c>
      <c r="F274" s="17">
        <f ca="1">IFERROR(__xludf.DUMMYFUNCTION("""COMPUTED_VALUE"""),45372)</f>
        <v>45372</v>
      </c>
      <c r="G274" s="16">
        <f ca="1">IFERROR(__xludf.DUMMYFUNCTION("""COMPUTED_VALUE"""),154422499)</f>
        <v>154422499</v>
      </c>
      <c r="H274" s="16" t="str">
        <f ca="1">IFERROR(__xludf.DUMMYFUNCTION("""COMPUTED_VALUE""")," 100% Girado ")</f>
        <v xml:space="preserve"> 100% Girado </v>
      </c>
      <c r="I274" s="16">
        <f ca="1">IFERROR(__xludf.DUMMYFUNCTION("""COMPUTED_VALUE"""),154422499)</f>
        <v>154422499</v>
      </c>
      <c r="J274" s="83" t="s">
        <v>48</v>
      </c>
      <c r="K274" s="16"/>
      <c r="L274" s="16"/>
      <c r="M274" s="16">
        <f ca="1">IFERROR(__xludf.DUMMYFUNCTION("""COMPUTED_VALUE"""),154422499)</f>
        <v>154422499</v>
      </c>
      <c r="N274" s="21">
        <f ca="1">IFERROR(__xludf.DUMMYFUNCTION("""COMPUTED_VALUE"""),0)</f>
        <v>0</v>
      </c>
      <c r="O274" s="19"/>
      <c r="P274" s="19"/>
      <c r="Q274" s="19"/>
      <c r="R274" s="19"/>
      <c r="S274" s="19"/>
      <c r="T274" s="19"/>
      <c r="U274" s="19"/>
      <c r="V274" s="19"/>
      <c r="W274" s="20">
        <f ca="1">IFERROR(__xludf.DUMMYFUNCTION("""COMPUTED_VALUE"""),154422499)</f>
        <v>154422499</v>
      </c>
      <c r="X274" s="20" t="str">
        <f ca="1">IFERROR(__xludf.DUMMYFUNCTION("""COMPUTED_VALUE""")," MUNICIPALIDAD DE PUERTO MONTT ")</f>
        <v xml:space="preserve"> MUNICIPALIDAD DE PUERTO MONTT </v>
      </c>
    </row>
    <row r="275" spans="1:24" ht="15.75" customHeight="1" x14ac:dyDescent="0.25">
      <c r="A275" s="16" t="str">
        <f ca="1">IFERROR(__xludf.DUMMYFUNCTION("""COMPUTED_VALUE""")," REGIÓN DE AYSÉN DEL GENERAL CARLOS IBÁÑEZ DEL CAMPO ")</f>
        <v xml:space="preserve"> REGIÓN DE AYSÉN DEL GENERAL CARLOS IBÁÑEZ DEL CAMPO </v>
      </c>
      <c r="B275" s="16" t="str">
        <f t="shared" ca="1" si="0"/>
        <v xml:space="preserve"> COCHRANE </v>
      </c>
      <c r="C275" s="16" t="str">
        <f ca="1">IFERROR(__xludf.DUMMYFUNCTION("""COMPUTED_VALUE""")," CONSTRUCCIÓN VEREDÓN ORIENTE ESCUELA HERNÁN MERINO CORREA DE COCHRANE ")</f>
        <v xml:space="preserve"> CONSTRUCCIÓN VEREDÓN ORIENTE ESCUELA HERNÁN MERINO CORREA DE COCHRANE </v>
      </c>
      <c r="D275" s="16" t="str">
        <f ca="1">IFERROR(__xludf.DUMMYFUNCTION("""COMPUTED_VALUE""")," 1-C-2021-653 [FET] ")</f>
        <v xml:space="preserve"> 1-C-2021-653 [FET] </v>
      </c>
      <c r="E275" s="16" t="str">
        <f ca="1">IFERROR(__xludf.DUMMYFUNCTION("""COMPUTED_VALUE""")," 100% Girado ")</f>
        <v xml:space="preserve"> 100% Girado </v>
      </c>
      <c r="F275" s="17">
        <f ca="1">IFERROR(__xludf.DUMMYFUNCTION("""COMPUTED_VALUE"""),44481)</f>
        <v>44481</v>
      </c>
      <c r="G275" s="16">
        <f ca="1">IFERROR(__xludf.DUMMYFUNCTION("""COMPUTED_VALUE"""),74999886)</f>
        <v>74999886</v>
      </c>
      <c r="H275" s="16" t="str">
        <f ca="1">IFERROR(__xludf.DUMMYFUNCTION("""COMPUTED_VALUE""")," 100% Girado ")</f>
        <v xml:space="preserve"> 100% Girado </v>
      </c>
      <c r="I275" s="16">
        <f ca="1">IFERROR(__xludf.DUMMYFUNCTION("""COMPUTED_VALUE"""),14997274)</f>
        <v>14997274</v>
      </c>
      <c r="J275" s="83" t="s">
        <v>48</v>
      </c>
      <c r="K275" s="16"/>
      <c r="L275" s="16"/>
      <c r="M275" s="16">
        <f ca="1">IFERROR(__xludf.DUMMYFUNCTION("""COMPUTED_VALUE"""),14997274)</f>
        <v>14997274</v>
      </c>
      <c r="N275" s="21">
        <f ca="1">IFERROR(__xludf.DUMMYFUNCTION("""COMPUTED_VALUE"""),0)</f>
        <v>0</v>
      </c>
      <c r="O275" s="19"/>
      <c r="P275" s="19"/>
      <c r="Q275" s="19"/>
      <c r="R275" s="19"/>
      <c r="S275" s="19"/>
      <c r="T275" s="19"/>
      <c r="U275" s="19"/>
      <c r="V275" s="19"/>
      <c r="W275" s="20">
        <f ca="1">IFERROR(__xludf.DUMMYFUNCTION("""COMPUTED_VALUE"""),14997274)</f>
        <v>14997274</v>
      </c>
      <c r="X275" s="20" t="str">
        <f ca="1">IFERROR(__xludf.DUMMYFUNCTION("""COMPUTED_VALUE""")," MUNICIPALIDAD DE COCHRANE ")</f>
        <v xml:space="preserve"> MUNICIPALIDAD DE COCHRANE </v>
      </c>
    </row>
    <row r="276" spans="1:24" ht="15.75" customHeight="1" x14ac:dyDescent="0.25">
      <c r="A276" s="16" t="str">
        <f ca="1">IFERROR(__xludf.DUMMYFUNCTION("""COMPUTED_VALUE""")," REGIÓN DE AYSÉN DEL GENERAL CARLOS IBÁÑEZ DEL CAMPO ")</f>
        <v xml:space="preserve"> REGIÓN DE AYSÉN DEL GENERAL CARLOS IBÁÑEZ DEL CAMPO </v>
      </c>
      <c r="B276" s="16" t="str">
        <f t="shared" ca="1" si="0"/>
        <v xml:space="preserve"> COCHRANE </v>
      </c>
      <c r="C276" s="16" t="str">
        <f ca="1">IFERROR(__xludf.DUMMYFUNCTION("""COMPUTED_VALUE""")," MEJORAMIENTO VIAL SELLO ALTA FRICCIÓN CALLE OCTAVIO VARGAS ")</f>
        <v xml:space="preserve"> MEJORAMIENTO VIAL SELLO ALTA FRICCIÓN CALLE OCTAVIO VARGAS </v>
      </c>
      <c r="D276" s="16" t="str">
        <f ca="1">IFERROR(__xludf.DUMMYFUNCTION("""COMPUTED_VALUE""")," 1-C-2023-2384 ")</f>
        <v xml:space="preserve"> 1-C-2023-2384 </v>
      </c>
      <c r="E276" s="16" t="str">
        <f ca="1">IFERROR(__xludf.DUMMYFUNCTION("""COMPUTED_VALUE""")," 100% Girado ")</f>
        <v xml:space="preserve"> 100% Girado </v>
      </c>
      <c r="F276" s="17">
        <f ca="1">IFERROR(__xludf.DUMMYFUNCTION("""COMPUTED_VALUE"""),45369)</f>
        <v>45369</v>
      </c>
      <c r="G276" s="16">
        <f ca="1">IFERROR(__xludf.DUMMYFUNCTION("""COMPUTED_VALUE"""),152069566)</f>
        <v>152069566</v>
      </c>
      <c r="H276" s="16" t="str">
        <f ca="1">IFERROR(__xludf.DUMMYFUNCTION("""COMPUTED_VALUE""")," 100% Girado ")</f>
        <v xml:space="preserve"> 100% Girado </v>
      </c>
      <c r="I276" s="16">
        <f ca="1">IFERROR(__xludf.DUMMYFUNCTION("""COMPUTED_VALUE"""),152069566)</f>
        <v>152069566</v>
      </c>
      <c r="J276" s="83" t="s">
        <v>48</v>
      </c>
      <c r="K276" s="16"/>
      <c r="L276" s="16"/>
      <c r="M276" s="16">
        <f ca="1">IFERROR(__xludf.DUMMYFUNCTION("""COMPUTED_VALUE"""),152069566)</f>
        <v>152069566</v>
      </c>
      <c r="N276" s="21">
        <f ca="1">IFERROR(__xludf.DUMMYFUNCTION("""COMPUTED_VALUE"""),0)</f>
        <v>0</v>
      </c>
      <c r="O276" s="19"/>
      <c r="P276" s="19"/>
      <c r="Q276" s="19"/>
      <c r="R276" s="19"/>
      <c r="S276" s="19"/>
      <c r="T276" s="19"/>
      <c r="U276" s="19"/>
      <c r="V276" s="19"/>
      <c r="W276" s="20">
        <f ca="1">IFERROR(__xludf.DUMMYFUNCTION("""COMPUTED_VALUE"""),152069566)</f>
        <v>152069566</v>
      </c>
      <c r="X276" s="20" t="str">
        <f ca="1">IFERROR(__xludf.DUMMYFUNCTION("""COMPUTED_VALUE""")," MUNICIPALIDAD DE COCHRANE ")</f>
        <v xml:space="preserve"> MUNICIPALIDAD DE COCHRANE </v>
      </c>
    </row>
    <row r="277" spans="1:24" ht="15.75" customHeight="1" x14ac:dyDescent="0.25">
      <c r="A277" s="16" t="str">
        <f ca="1">IFERROR(__xludf.DUMMYFUNCTION("""COMPUTED_VALUE""")," REGIÓN DE AYSÉN DEL GENERAL CARLOS IBÁÑEZ DEL CAMPO ")</f>
        <v xml:space="preserve"> REGIÓN DE AYSÉN DEL GENERAL CARLOS IBÁÑEZ DEL CAMPO </v>
      </c>
      <c r="B277" s="16" t="str">
        <f t="shared" ref="B277:B531" ca="1" si="1">MID(X277,18,30)</f>
        <v xml:space="preserve"> COCHRANE </v>
      </c>
      <c r="C277" s="16" t="str">
        <f ca="1">IFERROR(__xludf.DUMMYFUNCTION("""COMPUTED_VALUE""")," COSTRUCCIÓN SELLO ALTA FRICCIÓN SECTOR TAMANGO DE LA COMUNA DE COCHRANE ")</f>
        <v xml:space="preserve"> COSTRUCCIÓN SELLO ALTA FRICCIÓN SECTOR TAMANGO DE LA COMUNA DE COCHRANE </v>
      </c>
      <c r="D277" s="16" t="str">
        <f ca="1">IFERROR(__xludf.DUMMYFUNCTION("""COMPUTED_VALUE""")," 1-C-2023-2454 ")</f>
        <v xml:space="preserve"> 1-C-2023-2454 </v>
      </c>
      <c r="E277" s="16" t="str">
        <f ca="1">IFERROR(__xludf.DUMMYFUNCTION("""COMPUTED_VALUE""")," 100% Girado ")</f>
        <v xml:space="preserve"> 100% Girado </v>
      </c>
      <c r="F277" s="17">
        <f ca="1">IFERROR(__xludf.DUMMYFUNCTION("""COMPUTED_VALUE"""),45369)</f>
        <v>45369</v>
      </c>
      <c r="G277" s="16">
        <f ca="1">IFERROR(__xludf.DUMMYFUNCTION("""COMPUTED_VALUE"""),151688908)</f>
        <v>151688908</v>
      </c>
      <c r="H277" s="16" t="str">
        <f ca="1">IFERROR(__xludf.DUMMYFUNCTION("""COMPUTED_VALUE""")," 100% Girado ")</f>
        <v xml:space="preserve"> 100% Girado </v>
      </c>
      <c r="I277" s="16">
        <f ca="1">IFERROR(__xludf.DUMMYFUNCTION("""COMPUTED_VALUE"""),151688908)</f>
        <v>151688908</v>
      </c>
      <c r="J277" s="83" t="s">
        <v>48</v>
      </c>
      <c r="K277" s="16"/>
      <c r="L277" s="16"/>
      <c r="M277" s="16">
        <f ca="1">IFERROR(__xludf.DUMMYFUNCTION("""COMPUTED_VALUE"""),151688908)</f>
        <v>151688908</v>
      </c>
      <c r="N277" s="21">
        <f ca="1">IFERROR(__xludf.DUMMYFUNCTION("""COMPUTED_VALUE"""),0)</f>
        <v>0</v>
      </c>
      <c r="O277" s="19"/>
      <c r="P277" s="19"/>
      <c r="Q277" s="19"/>
      <c r="R277" s="19"/>
      <c r="S277" s="19"/>
      <c r="T277" s="19"/>
      <c r="U277" s="19"/>
      <c r="V277" s="19"/>
      <c r="W277" s="20">
        <f ca="1">IFERROR(__xludf.DUMMYFUNCTION("""COMPUTED_VALUE"""),151688908)</f>
        <v>151688908</v>
      </c>
      <c r="X277" s="20" t="str">
        <f ca="1">IFERROR(__xludf.DUMMYFUNCTION("""COMPUTED_VALUE""")," MUNICIPALIDAD DE COCHRANE ")</f>
        <v xml:space="preserve"> MUNICIPALIDAD DE COCHRANE </v>
      </c>
    </row>
    <row r="278" spans="1:24" ht="15.75" customHeight="1" x14ac:dyDescent="0.25">
      <c r="A278" s="16" t="str">
        <f ca="1">IFERROR(__xludf.DUMMYFUNCTION("""COMPUTED_VALUE""")," REGIÓN METROPOLITANA ")</f>
        <v xml:space="preserve"> REGIÓN METROPOLITANA </v>
      </c>
      <c r="B278" s="16" t="str">
        <f t="shared" ca="1" si="1"/>
        <v xml:space="preserve"> CERRILLOS </v>
      </c>
      <c r="C278" s="16" t="str">
        <f ca="1">IFERROR(__xludf.DUMMYFUNCTION("""COMPUTED_VALUE""")," REPOSICION SEDE SOCIAL LAS PALMERAS ")</f>
        <v xml:space="preserve"> REPOSICION SEDE SOCIAL LAS PALMERAS </v>
      </c>
      <c r="D278" s="16" t="str">
        <f ca="1">IFERROR(__xludf.DUMMYFUNCTION("""COMPUTED_VALUE""")," 1-C-2020-1289 [FET] ")</f>
        <v xml:space="preserve"> 1-C-2020-1289 [FET] </v>
      </c>
      <c r="E278" s="16" t="str">
        <f ca="1">IFERROR(__xludf.DUMMYFUNCTION("""COMPUTED_VALUE""")," En Ejecución ")</f>
        <v xml:space="preserve"> En Ejecución </v>
      </c>
      <c r="F278" s="17">
        <f ca="1">IFERROR(__xludf.DUMMYFUNCTION("""COMPUTED_VALUE"""),44257)</f>
        <v>44257</v>
      </c>
      <c r="G278" s="16">
        <f ca="1">IFERROR(__xludf.DUMMYFUNCTION("""COMPUTED_VALUE"""),77402603)</f>
        <v>77402603</v>
      </c>
      <c r="H278" s="16" t="str">
        <f ca="1">IFERROR(__xludf.DUMMYFUNCTION("""COMPUTED_VALUE""")," En Ejecución ")</f>
        <v xml:space="preserve"> En Ejecución </v>
      </c>
      <c r="I278" s="16">
        <f ca="1">IFERROR(__xludf.DUMMYFUNCTION("""COMPUTED_VALUE"""),16193789)</f>
        <v>16193789</v>
      </c>
      <c r="J278" s="83" t="s">
        <v>48</v>
      </c>
      <c r="K278" s="16"/>
      <c r="L278" s="16"/>
      <c r="M278" s="16">
        <f ca="1">IFERROR(__xludf.DUMMYFUNCTION("""COMPUTED_VALUE"""),16193789)</f>
        <v>16193789</v>
      </c>
      <c r="N278" s="21">
        <f ca="1">IFERROR(__xludf.DUMMYFUNCTION("""COMPUTED_VALUE"""),0)</f>
        <v>0</v>
      </c>
      <c r="O278" s="19"/>
      <c r="P278" s="19"/>
      <c r="Q278" s="19"/>
      <c r="R278" s="19"/>
      <c r="S278" s="19"/>
      <c r="T278" s="19"/>
      <c r="U278" s="19"/>
      <c r="V278" s="19"/>
      <c r="W278" s="20">
        <f ca="1">IFERROR(__xludf.DUMMYFUNCTION("""COMPUTED_VALUE"""),16193789)</f>
        <v>16193789</v>
      </c>
      <c r="X278" s="20" t="str">
        <f ca="1">IFERROR(__xludf.DUMMYFUNCTION("""COMPUTED_VALUE""")," MUNICIPALIDAD DE CERRILLOS ")</f>
        <v xml:space="preserve"> MUNICIPALIDAD DE CERRILLOS </v>
      </c>
    </row>
    <row r="279" spans="1:24" ht="15.75" customHeight="1" x14ac:dyDescent="0.25">
      <c r="A279" s="16" t="str">
        <f ca="1">IFERROR(__xludf.DUMMYFUNCTION("""COMPUTED_VALUE""")," REGIÓN METROPOLITANA ")</f>
        <v xml:space="preserve"> REGIÓN METROPOLITANA </v>
      </c>
      <c r="B279" s="16" t="str">
        <f t="shared" ca="1" si="1"/>
        <v xml:space="preserve"> RENCA </v>
      </c>
      <c r="C279" s="16" t="str">
        <f ca="1">IFERROR(__xludf.DUMMYFUNCTION("""COMPUTED_VALUE""")," MEJORAMIENTO DE ILUMINACION EN DIFERENTES PARADAS DE LOCOMOCION COLECTIVA DE LA COMUNA DE RENCA, PARADERO SEGURO 2.0 ")</f>
        <v xml:space="preserve"> MEJORAMIENTO DE ILUMINACION EN DIFERENTES PARADAS DE LOCOMOCION COLECTIVA DE LA COMUNA DE RENCA, PARADERO SEGURO 2.0 </v>
      </c>
      <c r="D279" s="16" t="str">
        <f ca="1">IFERROR(__xludf.DUMMYFUNCTION("""COMPUTED_VALUE""")," 1-SPD-2022-388 ")</f>
        <v xml:space="preserve"> 1-SPD-2022-388 </v>
      </c>
      <c r="E279" s="16" t="str">
        <f ca="1">IFERROR(__xludf.DUMMYFUNCTION("""COMPUTED_VALUE""")," 100% Girado ")</f>
        <v xml:space="preserve"> 100% Girado </v>
      </c>
      <c r="F279" s="17">
        <f ca="1">IFERROR(__xludf.DUMMYFUNCTION("""COMPUTED_VALUE"""),45357)</f>
        <v>45357</v>
      </c>
      <c r="G279" s="16">
        <f ca="1">IFERROR(__xludf.DUMMYFUNCTION("""COMPUTED_VALUE"""),74436520)</f>
        <v>74436520</v>
      </c>
      <c r="H279" s="16" t="str">
        <f ca="1">IFERROR(__xludf.DUMMYFUNCTION("""COMPUTED_VALUE""")," 100% Girado ")</f>
        <v xml:space="preserve"> 100% Girado </v>
      </c>
      <c r="I279" s="16">
        <f ca="1">IFERROR(__xludf.DUMMYFUNCTION("""COMPUTED_VALUE"""),74436520)</f>
        <v>74436520</v>
      </c>
      <c r="J279" s="83" t="s">
        <v>48</v>
      </c>
      <c r="K279" s="16"/>
      <c r="L279" s="16"/>
      <c r="M279" s="16">
        <f ca="1">IFERROR(__xludf.DUMMYFUNCTION("""COMPUTED_VALUE"""),74436520)</f>
        <v>74436520</v>
      </c>
      <c r="N279" s="21">
        <f ca="1">IFERROR(__xludf.DUMMYFUNCTION("""COMPUTED_VALUE"""),0)</f>
        <v>0</v>
      </c>
      <c r="O279" s="19"/>
      <c r="P279" s="19"/>
      <c r="Q279" s="19"/>
      <c r="R279" s="19"/>
      <c r="S279" s="19"/>
      <c r="T279" s="19"/>
      <c r="U279" s="19"/>
      <c r="V279" s="19"/>
      <c r="W279" s="20">
        <f ca="1">IFERROR(__xludf.DUMMYFUNCTION("""COMPUTED_VALUE"""),74436520)</f>
        <v>74436520</v>
      </c>
      <c r="X279" s="20" t="str">
        <f ca="1">IFERROR(__xludf.DUMMYFUNCTION("""COMPUTED_VALUE""")," MUNICIPALIDAD DE RENCA ")</f>
        <v xml:space="preserve"> MUNICIPALIDAD DE RENCA </v>
      </c>
    </row>
    <row r="280" spans="1:24" ht="15.75" customHeight="1" x14ac:dyDescent="0.25">
      <c r="A280" s="16" t="str">
        <f ca="1">IFERROR(__xludf.DUMMYFUNCTION("""COMPUTED_VALUE""")," REGIÓN METROPOLITANA ")</f>
        <v xml:space="preserve"> REGIÓN METROPOLITANA </v>
      </c>
      <c r="B280" s="16" t="str">
        <f t="shared" ca="1" si="1"/>
        <v xml:space="preserve"> RENCA </v>
      </c>
      <c r="C280" s="16" t="str">
        <f ca="1">IFERROR(__xludf.DUMMYFUNCTION("""COMPUTED_VALUE""")," REPARACIÓN DE BACHES DE CALZADAS CON ASFALTO EN CALLE ARTURO PRAT, COMUNA DE RENCA ")</f>
        <v xml:space="preserve"> REPARACIÓN DE BACHES DE CALZADAS CON ASFALTO EN CALLE ARTURO PRAT, COMUNA DE RENCA </v>
      </c>
      <c r="D280" s="16" t="str">
        <f ca="1">IFERROR(__xludf.DUMMYFUNCTION("""COMPUTED_VALUE""")," 1-C-2023-1915 ")</f>
        <v xml:space="preserve"> 1-C-2023-1915 </v>
      </c>
      <c r="E280" s="16" t="str">
        <f ca="1">IFERROR(__xludf.DUMMYFUNCTION("""COMPUTED_VALUE""")," 100% Girado ")</f>
        <v xml:space="preserve"> 100% Girado </v>
      </c>
      <c r="F280" s="17">
        <f ca="1">IFERROR(__xludf.DUMMYFUNCTION("""COMPUTED_VALUE"""),45357)</f>
        <v>45357</v>
      </c>
      <c r="G280" s="16">
        <f ca="1">IFERROR(__xludf.DUMMYFUNCTION("""COMPUTED_VALUE"""),154036141)</f>
        <v>154036141</v>
      </c>
      <c r="H280" s="16" t="str">
        <f ca="1">IFERROR(__xludf.DUMMYFUNCTION("""COMPUTED_VALUE""")," 100% Girado ")</f>
        <v xml:space="preserve"> 100% Girado </v>
      </c>
      <c r="I280" s="16">
        <f ca="1">IFERROR(__xludf.DUMMYFUNCTION("""COMPUTED_VALUE"""),154036141)</f>
        <v>154036141</v>
      </c>
      <c r="J280" s="83" t="s">
        <v>48</v>
      </c>
      <c r="K280" s="16"/>
      <c r="L280" s="16"/>
      <c r="M280" s="16">
        <f ca="1">IFERROR(__xludf.DUMMYFUNCTION("""COMPUTED_VALUE"""),154036141)</f>
        <v>154036141</v>
      </c>
      <c r="N280" s="21">
        <f ca="1">IFERROR(__xludf.DUMMYFUNCTION("""COMPUTED_VALUE"""),0)</f>
        <v>0</v>
      </c>
      <c r="O280" s="19"/>
      <c r="P280" s="19"/>
      <c r="Q280" s="19"/>
      <c r="R280" s="19"/>
      <c r="S280" s="19"/>
      <c r="T280" s="19"/>
      <c r="U280" s="19"/>
      <c r="V280" s="19"/>
      <c r="W280" s="20">
        <f ca="1">IFERROR(__xludf.DUMMYFUNCTION("""COMPUTED_VALUE"""),154036141)</f>
        <v>154036141</v>
      </c>
      <c r="X280" s="20" t="str">
        <f ca="1">IFERROR(__xludf.DUMMYFUNCTION("""COMPUTED_VALUE""")," MUNICIPALIDAD DE RENCA ")</f>
        <v xml:space="preserve"> MUNICIPALIDAD DE RENCA </v>
      </c>
    </row>
    <row r="281" spans="1:24" ht="15.75" customHeight="1" x14ac:dyDescent="0.25">
      <c r="A281" s="16" t="str">
        <f ca="1">IFERROR(__xludf.DUMMYFUNCTION("""COMPUTED_VALUE""")," REGIÓN METROPOLITANA ")</f>
        <v xml:space="preserve"> REGIÓN METROPOLITANA </v>
      </c>
      <c r="B281" s="16" t="str">
        <f t="shared" ca="1" si="1"/>
        <v xml:space="preserve"> SAN JOAQUÍN </v>
      </c>
      <c r="C281" s="16" t="str">
        <f ca="1">IFERROR(__xludf.DUMMYFUNCTION("""COMPUTED_VALUE""")," MEJORAMIENTO PLAZOLETA JUAN NIETO, SAN JOAQUÍN ")</f>
        <v xml:space="preserve"> MEJORAMIENTO PLAZOLETA JUAN NIETO, SAN JOAQUÍN </v>
      </c>
      <c r="D281" s="16" t="str">
        <f ca="1">IFERROR(__xludf.DUMMYFUNCTION("""COMPUTED_VALUE""")," 1-C-2023-2344 ")</f>
        <v xml:space="preserve"> 1-C-2023-2344 </v>
      </c>
      <c r="E281" s="16" t="str">
        <f ca="1">IFERROR(__xludf.DUMMYFUNCTION("""COMPUTED_VALUE""")," 100% Girado ")</f>
        <v xml:space="preserve"> 100% Girado </v>
      </c>
      <c r="F281" s="17">
        <f ca="1">IFERROR(__xludf.DUMMYFUNCTION("""COMPUTED_VALUE"""),45359)</f>
        <v>45359</v>
      </c>
      <c r="G281" s="16">
        <f ca="1">IFERROR(__xludf.DUMMYFUNCTION("""COMPUTED_VALUE"""),50142131)</f>
        <v>50142131</v>
      </c>
      <c r="H281" s="16" t="str">
        <f ca="1">IFERROR(__xludf.DUMMYFUNCTION("""COMPUTED_VALUE""")," 100% Girado ")</f>
        <v xml:space="preserve"> 100% Girado </v>
      </c>
      <c r="I281" s="16">
        <f ca="1">IFERROR(__xludf.DUMMYFUNCTION("""COMPUTED_VALUE"""),50142131)</f>
        <v>50142131</v>
      </c>
      <c r="J281" s="83" t="s">
        <v>48</v>
      </c>
      <c r="K281" s="16"/>
      <c r="L281" s="16"/>
      <c r="M281" s="16">
        <f ca="1">IFERROR(__xludf.DUMMYFUNCTION("""COMPUTED_VALUE"""),50142131)</f>
        <v>50142131</v>
      </c>
      <c r="N281" s="21">
        <f ca="1">IFERROR(__xludf.DUMMYFUNCTION("""COMPUTED_VALUE"""),0)</f>
        <v>0</v>
      </c>
      <c r="O281" s="19"/>
      <c r="P281" s="19"/>
      <c r="Q281" s="19"/>
      <c r="R281" s="19"/>
      <c r="S281" s="19"/>
      <c r="T281" s="19"/>
      <c r="U281" s="19"/>
      <c r="V281" s="19"/>
      <c r="W281" s="20">
        <f ca="1">IFERROR(__xludf.DUMMYFUNCTION("""COMPUTED_VALUE"""),50142131)</f>
        <v>50142131</v>
      </c>
      <c r="X281" s="20" t="str">
        <f ca="1">IFERROR(__xludf.DUMMYFUNCTION("""COMPUTED_VALUE""")," MUNICIPALIDAD DE SAN JOAQUÍN ")</f>
        <v xml:space="preserve"> MUNICIPALIDAD DE SAN JOAQUÍN </v>
      </c>
    </row>
    <row r="282" spans="1:24" ht="15.75" customHeight="1" x14ac:dyDescent="0.25">
      <c r="A282" s="16" t="str">
        <f ca="1">IFERROR(__xludf.DUMMYFUNCTION("""COMPUTED_VALUE""")," REGIÓN METROPOLITANA ")</f>
        <v xml:space="preserve"> REGIÓN METROPOLITANA </v>
      </c>
      <c r="B282" s="16" t="str">
        <f t="shared" ca="1" si="1"/>
        <v xml:space="preserve"> RENCA </v>
      </c>
      <c r="C282" s="16" t="str">
        <f ca="1">IFERROR(__xludf.DUMMYFUNCTION("""COMPUTED_VALUE""")," MEJORAMIENTO DE 6 MULTICANCHAS CON ILUMINACIÓN Y EQUIPAMIENTO DEPORTIVO, RENCA ")</f>
        <v xml:space="preserve"> MEJORAMIENTO DE 6 MULTICANCHAS CON ILUMINACIÓN Y EQUIPAMIENTO DEPORTIVO, RENCA </v>
      </c>
      <c r="D282" s="16" t="str">
        <f ca="1">IFERROR(__xludf.DUMMYFUNCTION("""COMPUTED_VALUE""")," 1-C-2023-2446 ")</f>
        <v xml:space="preserve"> 1-C-2023-2446 </v>
      </c>
      <c r="E282" s="16" t="str">
        <f ca="1">IFERROR(__xludf.DUMMYFUNCTION("""COMPUTED_VALUE""")," 100% Girado ")</f>
        <v xml:space="preserve"> 100% Girado </v>
      </c>
      <c r="F282" s="17">
        <f ca="1">IFERROR(__xludf.DUMMYFUNCTION("""COMPUTED_VALUE"""),45357)</f>
        <v>45357</v>
      </c>
      <c r="G282" s="16">
        <f ca="1">IFERROR(__xludf.DUMMYFUNCTION("""COMPUTED_VALUE"""),81617574)</f>
        <v>81617574</v>
      </c>
      <c r="H282" s="16" t="str">
        <f ca="1">IFERROR(__xludf.DUMMYFUNCTION("""COMPUTED_VALUE""")," 100% Girado ")</f>
        <v xml:space="preserve"> 100% Girado </v>
      </c>
      <c r="I282" s="16">
        <f ca="1">IFERROR(__xludf.DUMMYFUNCTION("""COMPUTED_VALUE"""),81617574)</f>
        <v>81617574</v>
      </c>
      <c r="J282" s="83" t="s">
        <v>48</v>
      </c>
      <c r="K282" s="16"/>
      <c r="L282" s="16"/>
      <c r="M282" s="16">
        <f ca="1">IFERROR(__xludf.DUMMYFUNCTION("""COMPUTED_VALUE"""),81617574)</f>
        <v>81617574</v>
      </c>
      <c r="N282" s="21">
        <f ca="1">IFERROR(__xludf.DUMMYFUNCTION("""COMPUTED_VALUE"""),0)</f>
        <v>0</v>
      </c>
      <c r="O282" s="19"/>
      <c r="P282" s="19"/>
      <c r="Q282" s="19"/>
      <c r="R282" s="19"/>
      <c r="S282" s="19"/>
      <c r="T282" s="19"/>
      <c r="U282" s="19"/>
      <c r="V282" s="19"/>
      <c r="W282" s="20">
        <f ca="1">IFERROR(__xludf.DUMMYFUNCTION("""COMPUTED_VALUE"""),81617574)</f>
        <v>81617574</v>
      </c>
      <c r="X282" s="20" t="str">
        <f ca="1">IFERROR(__xludf.DUMMYFUNCTION("""COMPUTED_VALUE""")," MUNICIPALIDAD DE RENCA ")</f>
        <v xml:space="preserve"> MUNICIPALIDAD DE RENCA </v>
      </c>
    </row>
    <row r="283" spans="1:24" ht="15.75" customHeight="1" x14ac:dyDescent="0.25">
      <c r="A283" s="16" t="str">
        <f ca="1">IFERROR(__xludf.DUMMYFUNCTION("""COMPUTED_VALUE""")," REGIÓN METROPOLITANA ")</f>
        <v xml:space="preserve"> REGIÓN METROPOLITANA </v>
      </c>
      <c r="B283" s="16" t="str">
        <f t="shared" ca="1" si="1"/>
        <v xml:space="preserve"> PUDAHUEL </v>
      </c>
      <c r="C283" s="16" t="str">
        <f ca="1">IFERROR(__xludf.DUMMYFUNCTION("""COMPUTED_VALUE""")," CONSTRUCCIÓN DEL ESPACIO PÚBLICO EN PASAJE MAR CASPIO - LAGUNA SAN RAFAEL, COMUNA DE PUDAHUEL ")</f>
        <v xml:space="preserve"> CONSTRUCCIÓN DEL ESPACIO PÚBLICO EN PASAJE MAR CASPIO - LAGUNA SAN RAFAEL, COMUNA DE PUDAHUEL </v>
      </c>
      <c r="D283" s="16" t="str">
        <f ca="1">IFERROR(__xludf.DUMMYFUNCTION("""COMPUTED_VALUE""")," 1-C-2023-2603 ")</f>
        <v xml:space="preserve"> 1-C-2023-2603 </v>
      </c>
      <c r="E283" s="16" t="str">
        <f ca="1">IFERROR(__xludf.DUMMYFUNCTION("""COMPUTED_VALUE""")," 100% Girado ")</f>
        <v xml:space="preserve"> 100% Girado </v>
      </c>
      <c r="F283" s="17">
        <f ca="1">IFERROR(__xludf.DUMMYFUNCTION("""COMPUTED_VALUE"""),45357)</f>
        <v>45357</v>
      </c>
      <c r="G283" s="16">
        <f ca="1">IFERROR(__xludf.DUMMYFUNCTION("""COMPUTED_VALUE"""),123304727)</f>
        <v>123304727</v>
      </c>
      <c r="H283" s="16" t="str">
        <f ca="1">IFERROR(__xludf.DUMMYFUNCTION("""COMPUTED_VALUE""")," 100% Girado ")</f>
        <v xml:space="preserve"> 100% Girado </v>
      </c>
      <c r="I283" s="16">
        <f ca="1">IFERROR(__xludf.DUMMYFUNCTION("""COMPUTED_VALUE"""),123304727)</f>
        <v>123304727</v>
      </c>
      <c r="J283" s="83" t="s">
        <v>48</v>
      </c>
      <c r="K283" s="16"/>
      <c r="L283" s="16"/>
      <c r="M283" s="16">
        <f ca="1">IFERROR(__xludf.DUMMYFUNCTION("""COMPUTED_VALUE"""),123304727)</f>
        <v>123304727</v>
      </c>
      <c r="N283" s="21">
        <f ca="1">IFERROR(__xludf.DUMMYFUNCTION("""COMPUTED_VALUE"""),0)</f>
        <v>0</v>
      </c>
      <c r="O283" s="19"/>
      <c r="P283" s="19"/>
      <c r="Q283" s="19"/>
      <c r="R283" s="19"/>
      <c r="S283" s="19"/>
      <c r="T283" s="19"/>
      <c r="U283" s="19"/>
      <c r="V283" s="19"/>
      <c r="W283" s="20">
        <f ca="1">IFERROR(__xludf.DUMMYFUNCTION("""COMPUTED_VALUE"""),123304727)</f>
        <v>123304727</v>
      </c>
      <c r="X283" s="20" t="str">
        <f ca="1">IFERROR(__xludf.DUMMYFUNCTION("""COMPUTED_VALUE""")," MUNICIPALIDAD DE PUDAHUEL ")</f>
        <v xml:space="preserve"> MUNICIPALIDAD DE PUDAHUEL </v>
      </c>
    </row>
    <row r="284" spans="1:24" ht="15.75" customHeight="1" x14ac:dyDescent="0.25">
      <c r="A284" s="16" t="str">
        <f ca="1">IFERROR(__xludf.DUMMYFUNCTION("""COMPUTED_VALUE""")," REGIÓN METROPOLITANA ")</f>
        <v xml:space="preserve"> REGIÓN METROPOLITANA </v>
      </c>
      <c r="B284" s="16" t="str">
        <f t="shared" ca="1" si="1"/>
        <v xml:space="preserve"> RENCA </v>
      </c>
      <c r="C284" s="16" t="str">
        <f ca="1">IFERROR(__xludf.DUMMYFUNCTION("""COMPUTED_VALUE""")," MEJORAMIENTO PLAZA TOPOCALMA CON MAR BRAVA, RENCA ")</f>
        <v xml:space="preserve"> MEJORAMIENTO PLAZA TOPOCALMA CON MAR BRAVA, RENCA </v>
      </c>
      <c r="D284" s="16" t="str">
        <f ca="1">IFERROR(__xludf.DUMMYFUNCTION("""COMPUTED_VALUE""")," 1-C-2023-2902 ")</f>
        <v xml:space="preserve"> 1-C-2023-2902 </v>
      </c>
      <c r="E284" s="16" t="str">
        <f ca="1">IFERROR(__xludf.DUMMYFUNCTION("""COMPUTED_VALUE""")," 100% Girado ")</f>
        <v xml:space="preserve"> 100% Girado </v>
      </c>
      <c r="F284" s="17">
        <f ca="1">IFERROR(__xludf.DUMMYFUNCTION("""COMPUTED_VALUE"""),45357)</f>
        <v>45357</v>
      </c>
      <c r="G284" s="16">
        <f ca="1">IFERROR(__xludf.DUMMYFUNCTION("""COMPUTED_VALUE"""),33456380)</f>
        <v>33456380</v>
      </c>
      <c r="H284" s="16" t="str">
        <f ca="1">IFERROR(__xludf.DUMMYFUNCTION("""COMPUTED_VALUE""")," 100% Girado ")</f>
        <v xml:space="preserve"> 100% Girado </v>
      </c>
      <c r="I284" s="16">
        <f ca="1">IFERROR(__xludf.DUMMYFUNCTION("""COMPUTED_VALUE"""),33456380)</f>
        <v>33456380</v>
      </c>
      <c r="J284" s="83" t="s">
        <v>48</v>
      </c>
      <c r="K284" s="16"/>
      <c r="L284" s="16"/>
      <c r="M284" s="16">
        <f ca="1">IFERROR(__xludf.DUMMYFUNCTION("""COMPUTED_VALUE"""),33456380)</f>
        <v>33456380</v>
      </c>
      <c r="N284" s="21">
        <f ca="1">IFERROR(__xludf.DUMMYFUNCTION("""COMPUTED_VALUE"""),0)</f>
        <v>0</v>
      </c>
      <c r="O284" s="19"/>
      <c r="P284" s="19"/>
      <c r="Q284" s="19"/>
      <c r="R284" s="19"/>
      <c r="S284" s="19"/>
      <c r="T284" s="19"/>
      <c r="U284" s="19"/>
      <c r="V284" s="19"/>
      <c r="W284" s="20">
        <f ca="1">IFERROR(__xludf.DUMMYFUNCTION("""COMPUTED_VALUE"""),33456380)</f>
        <v>33456380</v>
      </c>
      <c r="X284" s="20" t="str">
        <f ca="1">IFERROR(__xludf.DUMMYFUNCTION("""COMPUTED_VALUE""")," MUNICIPALIDAD DE RENCA ")</f>
        <v xml:space="preserve"> MUNICIPALIDAD DE RENCA </v>
      </c>
    </row>
    <row r="285" spans="1:24" ht="15.75" customHeight="1" x14ac:dyDescent="0.25">
      <c r="A285" s="16" t="str">
        <f ca="1">IFERROR(__xludf.DUMMYFUNCTION("""COMPUTED_VALUE""")," REGIÓN METROPOLITANA ")</f>
        <v xml:space="preserve"> REGIÓN METROPOLITANA </v>
      </c>
      <c r="B285" s="16" t="str">
        <f t="shared" ca="1" si="1"/>
        <v xml:space="preserve"> COLINA </v>
      </c>
      <c r="C285" s="16" t="str">
        <f ca="1">IFERROR(__xludf.DUMMYFUNCTION("""COMPUTED_VALUE""")," PLAN CSV - CONSTRUCCIÓN CIERRE PERIMETRAL PARQUE DEL RÍO, COMUNA DE COLINA ")</f>
        <v xml:space="preserve"> PLAN CSV - CONSTRUCCIÓN CIERRE PERIMETRAL PARQUE DEL RÍO, COMUNA DE COLINA </v>
      </c>
      <c r="D285" s="16" t="str">
        <f ca="1">IFERROR(__xludf.DUMMYFUNCTION("""COMPUTED_VALUE""")," 1-C-2023-3026 ")</f>
        <v xml:space="preserve"> 1-C-2023-3026 </v>
      </c>
      <c r="E285" s="16" t="str">
        <f ca="1">IFERROR(__xludf.DUMMYFUNCTION("""COMPUTED_VALUE""")," 100% Girado ")</f>
        <v xml:space="preserve"> 100% Girado </v>
      </c>
      <c r="F285" s="17">
        <f ca="1">IFERROR(__xludf.DUMMYFUNCTION("""COMPUTED_VALUE"""),45369)</f>
        <v>45369</v>
      </c>
      <c r="G285" s="16">
        <f ca="1">IFERROR(__xludf.DUMMYFUNCTION("""COMPUTED_VALUE"""),150000000)</f>
        <v>150000000</v>
      </c>
      <c r="H285" s="16" t="str">
        <f ca="1">IFERROR(__xludf.DUMMYFUNCTION("""COMPUTED_VALUE""")," 100% Girado ")</f>
        <v xml:space="preserve"> 100% Girado </v>
      </c>
      <c r="I285" s="16">
        <f ca="1">IFERROR(__xludf.DUMMYFUNCTION("""COMPUTED_VALUE"""),150000000)</f>
        <v>150000000</v>
      </c>
      <c r="J285" s="83" t="s">
        <v>48</v>
      </c>
      <c r="K285" s="16"/>
      <c r="L285" s="16"/>
      <c r="M285" s="16">
        <f ca="1">IFERROR(__xludf.DUMMYFUNCTION("""COMPUTED_VALUE"""),150000000)</f>
        <v>150000000</v>
      </c>
      <c r="N285" s="21">
        <f ca="1">IFERROR(__xludf.DUMMYFUNCTION("""COMPUTED_VALUE"""),0)</f>
        <v>0</v>
      </c>
      <c r="O285" s="19"/>
      <c r="P285" s="19"/>
      <c r="Q285" s="19"/>
      <c r="R285" s="19"/>
      <c r="S285" s="19"/>
      <c r="T285" s="19"/>
      <c r="U285" s="19"/>
      <c r="V285" s="19"/>
      <c r="W285" s="20">
        <f ca="1">IFERROR(__xludf.DUMMYFUNCTION("""COMPUTED_VALUE"""),150000000)</f>
        <v>150000000</v>
      </c>
      <c r="X285" s="20" t="str">
        <f ca="1">IFERROR(__xludf.DUMMYFUNCTION("""COMPUTED_VALUE""")," MUNICIPALIDAD DE COLINA ")</f>
        <v xml:space="preserve"> MUNICIPALIDAD DE COLINA </v>
      </c>
    </row>
    <row r="286" spans="1:24" ht="15.75" customHeight="1" x14ac:dyDescent="0.25">
      <c r="A286" s="16" t="str">
        <f ca="1">IFERROR(__xludf.DUMMYFUNCTION("""COMPUTED_VALUE""")," REGIÓN DE LOS RÍOS ")</f>
        <v xml:space="preserve"> REGIÓN DE LOS RÍOS </v>
      </c>
      <c r="B286" s="16" t="str">
        <f t="shared" ca="1" si="1"/>
        <v xml:space="preserve"> VALDIVIA </v>
      </c>
      <c r="C286" s="16" t="str">
        <f ca="1">IFERROR(__xludf.DUMMYFUNCTION("""COMPUTED_VALUE""")," [CSV] IMPLEMENTACIÓN LUMINARIA PEATONAL CALLE CHACABUCO, VALDIVIA ")</f>
        <v xml:space="preserve"> [CSV] IMPLEMENTACIÓN LUMINARIA PEATONAL CALLE CHACABUCO, VALDIVIA </v>
      </c>
      <c r="D286" s="16" t="str">
        <f ca="1">IFERROR(__xludf.DUMMYFUNCTION("""COMPUTED_VALUE""")," 1-C-2023-2784 ")</f>
        <v xml:space="preserve"> 1-C-2023-2784 </v>
      </c>
      <c r="E286" s="16" t="str">
        <f ca="1">IFERROR(__xludf.DUMMYFUNCTION("""COMPUTED_VALUE""")," 100% Girado ")</f>
        <v xml:space="preserve"> 100% Girado </v>
      </c>
      <c r="F286" s="17">
        <f ca="1">IFERROR(__xludf.DUMMYFUNCTION("""COMPUTED_VALUE"""),45359)</f>
        <v>45359</v>
      </c>
      <c r="G286" s="16">
        <f ca="1">IFERROR(__xludf.DUMMYFUNCTION("""COMPUTED_VALUE"""),137453609)</f>
        <v>137453609</v>
      </c>
      <c r="H286" s="16" t="str">
        <f ca="1">IFERROR(__xludf.DUMMYFUNCTION("""COMPUTED_VALUE""")," 100% Girado ")</f>
        <v xml:space="preserve"> 100% Girado </v>
      </c>
      <c r="I286" s="16">
        <f ca="1">IFERROR(__xludf.DUMMYFUNCTION("""COMPUTED_VALUE"""),137453609)</f>
        <v>137453609</v>
      </c>
      <c r="J286" s="83" t="s">
        <v>48</v>
      </c>
      <c r="K286" s="16"/>
      <c r="L286" s="16"/>
      <c r="M286" s="16">
        <f ca="1">IFERROR(__xludf.DUMMYFUNCTION("""COMPUTED_VALUE"""),137453609)</f>
        <v>137453609</v>
      </c>
      <c r="N286" s="21">
        <f ca="1">IFERROR(__xludf.DUMMYFUNCTION("""COMPUTED_VALUE"""),0)</f>
        <v>0</v>
      </c>
      <c r="O286" s="19"/>
      <c r="P286" s="19"/>
      <c r="Q286" s="19"/>
      <c r="R286" s="19"/>
      <c r="S286" s="19"/>
      <c r="T286" s="19"/>
      <c r="U286" s="19"/>
      <c r="V286" s="19"/>
      <c r="W286" s="20">
        <f ca="1">IFERROR(__xludf.DUMMYFUNCTION("""COMPUTED_VALUE"""),137453609)</f>
        <v>137453609</v>
      </c>
      <c r="X286" s="20" t="str">
        <f ca="1">IFERROR(__xludf.DUMMYFUNCTION("""COMPUTED_VALUE""")," MUNICIPALIDAD DE VALDIVIA ")</f>
        <v xml:space="preserve"> MUNICIPALIDAD DE VALDIVIA </v>
      </c>
    </row>
    <row r="287" spans="1:24" ht="15.75" customHeight="1" x14ac:dyDescent="0.25">
      <c r="A287" s="16" t="str">
        <f ca="1">IFERROR(__xludf.DUMMYFUNCTION("""COMPUTED_VALUE""")," REGIÓN DE LOS RÍOS ")</f>
        <v xml:space="preserve"> REGIÓN DE LOS RÍOS </v>
      </c>
      <c r="B287" s="16" t="str">
        <f t="shared" ca="1" si="1"/>
        <v xml:space="preserve"> VALDIVIA </v>
      </c>
      <c r="C287" s="16" t="str">
        <f ca="1">IFERROR(__xludf.DUMMYFUNCTION("""COMPUTED_VALUE""")," [CSV] IMPLEMENTACIÓN LUMINARIA PEATONAL CALLE CAUPOLICÁN, VALDIVIA ")</f>
        <v xml:space="preserve"> [CSV] IMPLEMENTACIÓN LUMINARIA PEATONAL CALLE CAUPOLICÁN, VALDIVIA </v>
      </c>
      <c r="D287" s="16" t="str">
        <f ca="1">IFERROR(__xludf.DUMMYFUNCTION("""COMPUTED_VALUE""")," 1-C-2023-2785 ")</f>
        <v xml:space="preserve"> 1-C-2023-2785 </v>
      </c>
      <c r="E287" s="16" t="str">
        <f ca="1">IFERROR(__xludf.DUMMYFUNCTION("""COMPUTED_VALUE""")," 100% Girado ")</f>
        <v xml:space="preserve"> 100% Girado </v>
      </c>
      <c r="F287" s="17">
        <f ca="1">IFERROR(__xludf.DUMMYFUNCTION("""COMPUTED_VALUE"""),45359)</f>
        <v>45359</v>
      </c>
      <c r="G287" s="16">
        <f ca="1">IFERROR(__xludf.DUMMYFUNCTION("""COMPUTED_VALUE"""),42711146)</f>
        <v>42711146</v>
      </c>
      <c r="H287" s="16" t="str">
        <f ca="1">IFERROR(__xludf.DUMMYFUNCTION("""COMPUTED_VALUE""")," 100% Girado ")</f>
        <v xml:space="preserve"> 100% Girado </v>
      </c>
      <c r="I287" s="16">
        <f ca="1">IFERROR(__xludf.DUMMYFUNCTION("""COMPUTED_VALUE"""),42711146)</f>
        <v>42711146</v>
      </c>
      <c r="J287" s="83" t="s">
        <v>48</v>
      </c>
      <c r="K287" s="16"/>
      <c r="L287" s="16"/>
      <c r="M287" s="16">
        <f ca="1">IFERROR(__xludf.DUMMYFUNCTION("""COMPUTED_VALUE"""),42711146)</f>
        <v>42711146</v>
      </c>
      <c r="N287" s="21">
        <f ca="1">IFERROR(__xludf.DUMMYFUNCTION("""COMPUTED_VALUE"""),0)</f>
        <v>0</v>
      </c>
      <c r="O287" s="19"/>
      <c r="P287" s="19"/>
      <c r="Q287" s="19"/>
      <c r="R287" s="19"/>
      <c r="S287" s="19"/>
      <c r="T287" s="19"/>
      <c r="U287" s="19"/>
      <c r="V287" s="19"/>
      <c r="W287" s="20">
        <f ca="1">IFERROR(__xludf.DUMMYFUNCTION("""COMPUTED_VALUE"""),42711146)</f>
        <v>42711146</v>
      </c>
      <c r="X287" s="20" t="str">
        <f ca="1">IFERROR(__xludf.DUMMYFUNCTION("""COMPUTED_VALUE""")," MUNICIPALIDAD DE VALDIVIA ")</f>
        <v xml:space="preserve"> MUNICIPALIDAD DE VALDIVIA </v>
      </c>
    </row>
    <row r="288" spans="1:24" ht="15.75" customHeight="1" x14ac:dyDescent="0.25">
      <c r="A288" s="16" t="str">
        <f ca="1">IFERROR(__xludf.DUMMYFUNCTION("""COMPUTED_VALUE""")," REGIÓN DE LOS RÍOS ")</f>
        <v xml:space="preserve"> REGIÓN DE LOS RÍOS </v>
      </c>
      <c r="B288" s="16" t="str">
        <f t="shared" ca="1" si="1"/>
        <v xml:space="preserve"> VALDIVIA </v>
      </c>
      <c r="C288" s="16" t="str">
        <f ca="1">IFERROR(__xludf.DUMMYFUNCTION("""COMPUTED_VALUE""")," [CSV] IMPLEMENTACIÓN LUMINARIA PEATONAL CALLE COCHRANE, VALDIVIA ")</f>
        <v xml:space="preserve"> [CSV] IMPLEMENTACIÓN LUMINARIA PEATONAL CALLE COCHRANE, VALDIVIA </v>
      </c>
      <c r="D288" s="16" t="str">
        <f ca="1">IFERROR(__xludf.DUMMYFUNCTION("""COMPUTED_VALUE""")," 1-C-2023-2786 ")</f>
        <v xml:space="preserve"> 1-C-2023-2786 </v>
      </c>
      <c r="E288" s="16" t="str">
        <f ca="1">IFERROR(__xludf.DUMMYFUNCTION("""COMPUTED_VALUE""")," 100% Girado ")</f>
        <v xml:space="preserve"> 100% Girado </v>
      </c>
      <c r="F288" s="17">
        <f ca="1">IFERROR(__xludf.DUMMYFUNCTION("""COMPUTED_VALUE"""),45369)</f>
        <v>45369</v>
      </c>
      <c r="G288" s="16">
        <f ca="1">IFERROR(__xludf.DUMMYFUNCTION("""COMPUTED_VALUE"""),121838498)</f>
        <v>121838498</v>
      </c>
      <c r="H288" s="16" t="str">
        <f ca="1">IFERROR(__xludf.DUMMYFUNCTION("""COMPUTED_VALUE""")," 100% Girado ")</f>
        <v xml:space="preserve"> 100% Girado </v>
      </c>
      <c r="I288" s="16">
        <f ca="1">IFERROR(__xludf.DUMMYFUNCTION("""COMPUTED_VALUE"""),121838498)</f>
        <v>121838498</v>
      </c>
      <c r="J288" s="83" t="s">
        <v>48</v>
      </c>
      <c r="K288" s="16"/>
      <c r="L288" s="16"/>
      <c r="M288" s="16">
        <f ca="1">IFERROR(__xludf.DUMMYFUNCTION("""COMPUTED_VALUE"""),121838498)</f>
        <v>121838498</v>
      </c>
      <c r="N288" s="21">
        <f ca="1">IFERROR(__xludf.DUMMYFUNCTION("""COMPUTED_VALUE"""),0)</f>
        <v>0</v>
      </c>
      <c r="O288" s="19"/>
      <c r="P288" s="19"/>
      <c r="Q288" s="19"/>
      <c r="R288" s="19"/>
      <c r="S288" s="19"/>
      <c r="T288" s="19"/>
      <c r="U288" s="19"/>
      <c r="V288" s="19"/>
      <c r="W288" s="20">
        <f ca="1">IFERROR(__xludf.DUMMYFUNCTION("""COMPUTED_VALUE"""),121838498)</f>
        <v>121838498</v>
      </c>
      <c r="X288" s="20" t="str">
        <f ca="1">IFERROR(__xludf.DUMMYFUNCTION("""COMPUTED_VALUE""")," MUNICIPALIDAD DE VALDIVIA ")</f>
        <v xml:space="preserve"> MUNICIPALIDAD DE VALDIVIA </v>
      </c>
    </row>
    <row r="289" spans="1:24" ht="15.75" customHeight="1" x14ac:dyDescent="0.25">
      <c r="A289" s="16" t="str">
        <f ca="1">IFERROR(__xludf.DUMMYFUNCTION("""COMPUTED_VALUE""")," REGIÓN DE LOS RÍOS ")</f>
        <v xml:space="preserve"> REGIÓN DE LOS RÍOS </v>
      </c>
      <c r="B289" s="16" t="str">
        <f t="shared" ca="1" si="1"/>
        <v xml:space="preserve"> VALDIVIA </v>
      </c>
      <c r="C289" s="16" t="str">
        <f ca="1">IFERROR(__xludf.DUMMYFUNCTION("""COMPUTED_VALUE""")," [CSV] IMPLEMENTACIÓN LUMINARIA PEATONAL CALLE ARAUCO, VALDIVIA ")</f>
        <v xml:space="preserve"> [CSV] IMPLEMENTACIÓN LUMINARIA PEATONAL CALLE ARAUCO, VALDIVIA </v>
      </c>
      <c r="D289" s="16" t="str">
        <f ca="1">IFERROR(__xludf.DUMMYFUNCTION("""COMPUTED_VALUE""")," 1-C-2023-2790 ")</f>
        <v xml:space="preserve"> 1-C-2023-2790 </v>
      </c>
      <c r="E289" s="16" t="str">
        <f ca="1">IFERROR(__xludf.DUMMYFUNCTION("""COMPUTED_VALUE""")," 100% Girado ")</f>
        <v xml:space="preserve"> 100% Girado </v>
      </c>
      <c r="F289" s="17">
        <f ca="1">IFERROR(__xludf.DUMMYFUNCTION("""COMPUTED_VALUE"""),45369)</f>
        <v>45369</v>
      </c>
      <c r="G289" s="16">
        <f ca="1">IFERROR(__xludf.DUMMYFUNCTION("""COMPUTED_VALUE"""),64063702)</f>
        <v>64063702</v>
      </c>
      <c r="H289" s="16" t="str">
        <f ca="1">IFERROR(__xludf.DUMMYFUNCTION("""COMPUTED_VALUE""")," 100% Girado ")</f>
        <v xml:space="preserve"> 100% Girado </v>
      </c>
      <c r="I289" s="16">
        <f ca="1">IFERROR(__xludf.DUMMYFUNCTION("""COMPUTED_VALUE"""),64063702)</f>
        <v>64063702</v>
      </c>
      <c r="J289" s="83" t="s">
        <v>48</v>
      </c>
      <c r="K289" s="16"/>
      <c r="L289" s="16"/>
      <c r="M289" s="16">
        <f ca="1">IFERROR(__xludf.DUMMYFUNCTION("""COMPUTED_VALUE"""),64063702)</f>
        <v>64063702</v>
      </c>
      <c r="N289" s="21">
        <f ca="1">IFERROR(__xludf.DUMMYFUNCTION("""COMPUTED_VALUE"""),0)</f>
        <v>0</v>
      </c>
      <c r="O289" s="19"/>
      <c r="P289" s="19"/>
      <c r="Q289" s="19"/>
      <c r="R289" s="19"/>
      <c r="S289" s="19"/>
      <c r="T289" s="19"/>
      <c r="U289" s="19"/>
      <c r="V289" s="19"/>
      <c r="W289" s="20">
        <f ca="1">IFERROR(__xludf.DUMMYFUNCTION("""COMPUTED_VALUE"""),64063702)</f>
        <v>64063702</v>
      </c>
      <c r="X289" s="20" t="str">
        <f ca="1">IFERROR(__xludf.DUMMYFUNCTION("""COMPUTED_VALUE""")," MUNICIPALIDAD DE VALDIVIA ")</f>
        <v xml:space="preserve"> MUNICIPALIDAD DE VALDIVIA </v>
      </c>
    </row>
    <row r="290" spans="1:24" ht="15.75" customHeight="1" x14ac:dyDescent="0.25">
      <c r="A290" s="16" t="str">
        <f ca="1">IFERROR(__xludf.DUMMYFUNCTION("""COMPUTED_VALUE""")," REGIÓN DE LOS RÍOS ")</f>
        <v xml:space="preserve"> REGIÓN DE LOS RÍOS </v>
      </c>
      <c r="B290" s="16" t="str">
        <f t="shared" ca="1" si="1"/>
        <v xml:space="preserve"> VALDIVIA </v>
      </c>
      <c r="C290" s="16" t="str">
        <f ca="1">IFERROR(__xludf.DUMMYFUNCTION("""COMPUTED_VALUE""")," [CSV] IMPLEMENTACIÓN LUMINARIA PEATONAL CALLE PHILLIPPI, VALDIVIA ")</f>
        <v xml:space="preserve"> [CSV] IMPLEMENTACIÓN LUMINARIA PEATONAL CALLE PHILLIPPI, VALDIVIA </v>
      </c>
      <c r="D290" s="16" t="str">
        <f ca="1">IFERROR(__xludf.DUMMYFUNCTION("""COMPUTED_VALUE""")," 1-C-2024-171 ")</f>
        <v xml:space="preserve"> 1-C-2024-171 </v>
      </c>
      <c r="E290" s="16" t="str">
        <f ca="1">IFERROR(__xludf.DUMMYFUNCTION("""COMPUTED_VALUE""")," 100% Girado ")</f>
        <v xml:space="preserve"> 100% Girado </v>
      </c>
      <c r="F290" s="17">
        <f ca="1">IFERROR(__xludf.DUMMYFUNCTION("""COMPUTED_VALUE"""),45369)</f>
        <v>45369</v>
      </c>
      <c r="G290" s="16">
        <f ca="1">IFERROR(__xludf.DUMMYFUNCTION("""COMPUTED_VALUE"""),40790981)</f>
        <v>40790981</v>
      </c>
      <c r="H290" s="16" t="str">
        <f ca="1">IFERROR(__xludf.DUMMYFUNCTION("""COMPUTED_VALUE""")," 100% Girado ")</f>
        <v xml:space="preserve"> 100% Girado </v>
      </c>
      <c r="I290" s="16">
        <f ca="1">IFERROR(__xludf.DUMMYFUNCTION("""COMPUTED_VALUE"""),40790981)</f>
        <v>40790981</v>
      </c>
      <c r="J290" s="83" t="s">
        <v>48</v>
      </c>
      <c r="K290" s="16"/>
      <c r="L290" s="16"/>
      <c r="M290" s="16">
        <f ca="1">IFERROR(__xludf.DUMMYFUNCTION("""COMPUTED_VALUE"""),40790981)</f>
        <v>40790981</v>
      </c>
      <c r="N290" s="21">
        <f ca="1">IFERROR(__xludf.DUMMYFUNCTION("""COMPUTED_VALUE"""),0)</f>
        <v>0</v>
      </c>
      <c r="O290" s="19"/>
      <c r="P290" s="19"/>
      <c r="Q290" s="19"/>
      <c r="R290" s="19"/>
      <c r="S290" s="19"/>
      <c r="T290" s="19"/>
      <c r="U290" s="19"/>
      <c r="V290" s="19"/>
      <c r="W290" s="20">
        <f ca="1">IFERROR(__xludf.DUMMYFUNCTION("""COMPUTED_VALUE"""),40790981)</f>
        <v>40790981</v>
      </c>
      <c r="X290" s="20" t="str">
        <f ca="1">IFERROR(__xludf.DUMMYFUNCTION("""COMPUTED_VALUE""")," MUNICIPALIDAD DE VALDIVIA ")</f>
        <v xml:space="preserve"> MUNICIPALIDAD DE VALDIVIA </v>
      </c>
    </row>
    <row r="291" spans="1:24" ht="15.75" customHeight="1" x14ac:dyDescent="0.25">
      <c r="A291" s="16" t="str">
        <f ca="1">IFERROR(__xludf.DUMMYFUNCTION("""COMPUTED_VALUE""")," REGIÓN DE ÑUBLE ")</f>
        <v xml:space="preserve"> REGIÓN DE ÑUBLE </v>
      </c>
      <c r="B291" s="16" t="str">
        <f t="shared" ca="1" si="1"/>
        <v xml:space="preserve"> SAN IGNACIO </v>
      </c>
      <c r="C291" s="16" t="str">
        <f ca="1">IFERROR(__xludf.DUMMYFUNCTION("""COMPUTED_VALUE""")," CONSTRUCCION CANCHA DE RAYUELA SECTOR SAN IGNACIO, COMUNA DE SAN IGNACIO ")</f>
        <v xml:space="preserve"> CONSTRUCCION CANCHA DE RAYUELA SECTOR SAN IGNACIO, COMUNA DE SAN IGNACIO </v>
      </c>
      <c r="D291" s="16" t="str">
        <f ca="1">IFERROR(__xludf.DUMMYFUNCTION("""COMPUTED_VALUE""")," 1-C-2021-50 ")</f>
        <v xml:space="preserve"> 1-C-2021-50 </v>
      </c>
      <c r="E291" s="16" t="str">
        <f ca="1">IFERROR(__xludf.DUMMYFUNCTION("""COMPUTED_VALUE""")," En Ejecución ")</f>
        <v xml:space="preserve"> En Ejecución </v>
      </c>
      <c r="F291" s="17">
        <f ca="1">IFERROR(__xludf.DUMMYFUNCTION("""COMPUTED_VALUE"""),44558)</f>
        <v>44558</v>
      </c>
      <c r="G291" s="16">
        <f ca="1">IFERROR(__xludf.DUMMYFUNCTION("""COMPUTED_VALUE"""),74729207)</f>
        <v>74729207</v>
      </c>
      <c r="H291" s="16" t="str">
        <f ca="1">IFERROR(__xludf.DUMMYFUNCTION("""COMPUTED_VALUE""")," En Ejecución ")</f>
        <v xml:space="preserve"> En Ejecución </v>
      </c>
      <c r="I291" s="16">
        <f ca="1">IFERROR(__xludf.DUMMYFUNCTION("""COMPUTED_VALUE"""),14675652)</f>
        <v>14675652</v>
      </c>
      <c r="J291" s="83" t="s">
        <v>48</v>
      </c>
      <c r="K291" s="16"/>
      <c r="L291" s="16"/>
      <c r="M291" s="16">
        <f ca="1">IFERROR(__xludf.DUMMYFUNCTION("""COMPUTED_VALUE"""),14675652)</f>
        <v>14675652</v>
      </c>
      <c r="N291" s="21">
        <f ca="1">IFERROR(__xludf.DUMMYFUNCTION("""COMPUTED_VALUE"""),0)</f>
        <v>0</v>
      </c>
      <c r="O291" s="19"/>
      <c r="P291" s="19"/>
      <c r="Q291" s="19"/>
      <c r="R291" s="19"/>
      <c r="S291" s="19"/>
      <c r="T291" s="19"/>
      <c r="U291" s="19"/>
      <c r="V291" s="19"/>
      <c r="W291" s="20">
        <f ca="1">IFERROR(__xludf.DUMMYFUNCTION("""COMPUTED_VALUE"""),14675652)</f>
        <v>14675652</v>
      </c>
      <c r="X291" s="20" t="str">
        <f ca="1">IFERROR(__xludf.DUMMYFUNCTION("""COMPUTED_VALUE""")," MUNICIPALIDAD DE SAN IGNACIO ")</f>
        <v xml:space="preserve"> MUNICIPALIDAD DE SAN IGNACIO </v>
      </c>
    </row>
    <row r="292" spans="1:24" ht="15.75" customHeight="1" x14ac:dyDescent="0.25">
      <c r="A292" s="16" t="str">
        <f ca="1">IFERROR(__xludf.DUMMYFUNCTION("""COMPUTED_VALUE""")," REGIÓN DE ATACAMA ")</f>
        <v xml:space="preserve"> REGIÓN DE ATACAMA </v>
      </c>
      <c r="B292" s="16" t="str">
        <f t="shared" ca="1" si="1"/>
        <v xml:space="preserve"> CALDERA </v>
      </c>
      <c r="C292" s="16" t="str">
        <f ca="1">IFERROR(__xludf.DUMMYFUNCTION("""COMPUTED_VALUE""")," “MEJORAMIENTO Y AMPLIACIÓN SEDE SOCIAL JUNTA DE VECINOS MAR AZUL, CALDERA 2023” ")</f>
        <v xml:space="preserve"> “MEJORAMIENTO Y AMPLIACIÓN SEDE SOCIAL JUNTA DE VECINOS MAR AZUL, CALDERA 2023” </v>
      </c>
      <c r="D292" s="16" t="str">
        <f ca="1">IFERROR(__xludf.DUMMYFUNCTION("""COMPUTED_VALUE""")," 1-C-2023-2524 ")</f>
        <v xml:space="preserve"> 1-C-2023-2524 </v>
      </c>
      <c r="E292" s="16" t="str">
        <f ca="1">IFERROR(__xludf.DUMMYFUNCTION("""COMPUTED_VALUE""")," 100% Girado ")</f>
        <v xml:space="preserve"> 100% Girado </v>
      </c>
      <c r="F292" s="17">
        <f ca="1">IFERROR(__xludf.DUMMYFUNCTION("""COMPUTED_VALUE"""),45390)</f>
        <v>45390</v>
      </c>
      <c r="G292" s="16">
        <f ca="1">IFERROR(__xludf.DUMMYFUNCTION("""COMPUTED_VALUE"""),123144568)</f>
        <v>123144568</v>
      </c>
      <c r="H292" s="16" t="str">
        <f ca="1">IFERROR(__xludf.DUMMYFUNCTION("""COMPUTED_VALUE""")," 100% Girado ")</f>
        <v xml:space="preserve"> 100% Girado </v>
      </c>
      <c r="I292" s="16">
        <f ca="1">IFERROR(__xludf.DUMMYFUNCTION("""COMPUTED_VALUE"""),123144568)</f>
        <v>123144568</v>
      </c>
      <c r="J292" s="83" t="s">
        <v>48</v>
      </c>
      <c r="K292" s="16"/>
      <c r="L292" s="16"/>
      <c r="M292" s="16"/>
      <c r="N292" s="21">
        <f ca="1">IFERROR(__xludf.DUMMYFUNCTION("""COMPUTED_VALUE"""),123144568)</f>
        <v>123144568</v>
      </c>
      <c r="O292" s="19"/>
      <c r="P292" s="19"/>
      <c r="Q292" s="19"/>
      <c r="R292" s="19"/>
      <c r="S292" s="19"/>
      <c r="T292" s="19"/>
      <c r="U292" s="19"/>
      <c r="V292" s="19"/>
      <c r="W292" s="20">
        <f ca="1">IFERROR(__xludf.DUMMYFUNCTION("""COMPUTED_VALUE"""),123144568)</f>
        <v>123144568</v>
      </c>
      <c r="X292" s="20" t="str">
        <f ca="1">IFERROR(__xludf.DUMMYFUNCTION("""COMPUTED_VALUE""")," MUNICIPALIDAD DE CALDERA ")</f>
        <v xml:space="preserve"> MUNICIPALIDAD DE CALDERA </v>
      </c>
    </row>
    <row r="293" spans="1:24" ht="15.75" customHeight="1" x14ac:dyDescent="0.25">
      <c r="A293" s="16" t="str">
        <f ca="1">IFERROR(__xludf.DUMMYFUNCTION("""COMPUTED_VALUE""")," REGIÓN DE COQUIMBO ")</f>
        <v xml:space="preserve"> REGIÓN DE COQUIMBO </v>
      </c>
      <c r="B293" s="16" t="str">
        <f t="shared" ca="1" si="1"/>
        <v xml:space="preserve"> MONTE PATRIA </v>
      </c>
      <c r="C293" s="16" t="str">
        <f ca="1">IFERROR(__xludf.DUMMYFUNCTION("""COMPUTED_VALUE""")," [SATE] CONSTRUCCION Y MEJORAMIENTO DE SEÑALETICA VARIOS SECTORES , MONTE PATRIA ")</f>
        <v xml:space="preserve"> [SATE] CONSTRUCCION Y MEJORAMIENTO DE SEÑALETICA VARIOS SECTORES , MONTE PATRIA </v>
      </c>
      <c r="D293" s="16" t="str">
        <f ca="1">IFERROR(__xludf.DUMMYFUNCTION("""COMPUTED_VALUE""")," 1-C-2022-2489 ")</f>
        <v xml:space="preserve"> 1-C-2022-2489 </v>
      </c>
      <c r="E293" s="16" t="str">
        <f ca="1">IFERROR(__xludf.DUMMYFUNCTION("""COMPUTED_VALUE""")," 100% Girado ")</f>
        <v xml:space="preserve"> 100% Girado </v>
      </c>
      <c r="F293" s="17">
        <f ca="1">IFERROR(__xludf.DUMMYFUNCTION("""COMPUTED_VALUE"""),45400)</f>
        <v>45400</v>
      </c>
      <c r="G293" s="16">
        <f ca="1">IFERROR(__xludf.DUMMYFUNCTION("""COMPUTED_VALUE"""),127989876)</f>
        <v>127989876</v>
      </c>
      <c r="H293" s="16" t="str">
        <f ca="1">IFERROR(__xludf.DUMMYFUNCTION("""COMPUTED_VALUE""")," 100% Girado ")</f>
        <v xml:space="preserve"> 100% Girado </v>
      </c>
      <c r="I293" s="16">
        <f ca="1">IFERROR(__xludf.DUMMYFUNCTION("""COMPUTED_VALUE"""),127989876)</f>
        <v>127989876</v>
      </c>
      <c r="J293" s="83" t="s">
        <v>48</v>
      </c>
      <c r="K293" s="16"/>
      <c r="L293" s="16"/>
      <c r="M293" s="16"/>
      <c r="N293" s="21">
        <f ca="1">IFERROR(__xludf.DUMMYFUNCTION("""COMPUTED_VALUE"""),127989876)</f>
        <v>127989876</v>
      </c>
      <c r="O293" s="19"/>
      <c r="P293" s="19"/>
      <c r="Q293" s="19"/>
      <c r="R293" s="19"/>
      <c r="S293" s="19"/>
      <c r="T293" s="19"/>
      <c r="U293" s="19"/>
      <c r="V293" s="19"/>
      <c r="W293" s="20">
        <f ca="1">IFERROR(__xludf.DUMMYFUNCTION("""COMPUTED_VALUE"""),127989876)</f>
        <v>127989876</v>
      </c>
      <c r="X293" s="20" t="str">
        <f ca="1">IFERROR(__xludf.DUMMYFUNCTION("""COMPUTED_VALUE""")," MUNICIPALIDAD DE MONTE PATRIA ")</f>
        <v xml:space="preserve"> MUNICIPALIDAD DE MONTE PATRIA </v>
      </c>
    </row>
    <row r="294" spans="1:24" ht="15.75" customHeight="1" x14ac:dyDescent="0.25">
      <c r="A294" s="16" t="str">
        <f ca="1">IFERROR(__xludf.DUMMYFUNCTION("""COMPUTED_VALUE""")," REGIÓN DE COQUIMBO ")</f>
        <v xml:space="preserve"> REGIÓN DE COQUIMBO </v>
      </c>
      <c r="B294" s="16" t="str">
        <f t="shared" ca="1" si="1"/>
        <v xml:space="preserve"> LOS VILOS </v>
      </c>
      <c r="C294" s="16" t="str">
        <f ca="1">IFERROR(__xludf.DUMMYFUNCTION("""COMPUTED_VALUE""")," [SATE] REPOSICIÓN SEDE VILLA LAS AMÉRICAS, COMUNA DE LOS VILOS ")</f>
        <v xml:space="preserve"> [SATE] REPOSICIÓN SEDE VILLA LAS AMÉRICAS, COMUNA DE LOS VILOS </v>
      </c>
      <c r="D294" s="16" t="str">
        <f ca="1">IFERROR(__xludf.DUMMYFUNCTION("""COMPUTED_VALUE""")," 1-C-2023-2005 ")</f>
        <v xml:space="preserve"> 1-C-2023-2005 </v>
      </c>
      <c r="E294" s="16" t="str">
        <f ca="1">IFERROR(__xludf.DUMMYFUNCTION("""COMPUTED_VALUE""")," 100% Girado ")</f>
        <v xml:space="preserve"> 100% Girado </v>
      </c>
      <c r="F294" s="17">
        <f ca="1">IFERROR(__xludf.DUMMYFUNCTION("""COMPUTED_VALUE"""),45385)</f>
        <v>45385</v>
      </c>
      <c r="G294" s="16">
        <f ca="1">IFERROR(__xludf.DUMMYFUNCTION("""COMPUTED_VALUE"""),123860026)</f>
        <v>123860026</v>
      </c>
      <c r="H294" s="16" t="str">
        <f ca="1">IFERROR(__xludf.DUMMYFUNCTION("""COMPUTED_VALUE""")," 100% Girado ")</f>
        <v xml:space="preserve"> 100% Girado </v>
      </c>
      <c r="I294" s="16">
        <f ca="1">IFERROR(__xludf.DUMMYFUNCTION("""COMPUTED_VALUE"""),123860026)</f>
        <v>123860026</v>
      </c>
      <c r="J294" s="83" t="s">
        <v>48</v>
      </c>
      <c r="K294" s="16"/>
      <c r="L294" s="16"/>
      <c r="M294" s="16"/>
      <c r="N294" s="21">
        <f ca="1">IFERROR(__xludf.DUMMYFUNCTION("""COMPUTED_VALUE"""),123860026)</f>
        <v>123860026</v>
      </c>
      <c r="O294" s="19"/>
      <c r="P294" s="19"/>
      <c r="Q294" s="19"/>
      <c r="R294" s="19"/>
      <c r="S294" s="19"/>
      <c r="T294" s="19"/>
      <c r="U294" s="19"/>
      <c r="V294" s="19"/>
      <c r="W294" s="20">
        <f ca="1">IFERROR(__xludf.DUMMYFUNCTION("""COMPUTED_VALUE"""),123860026)</f>
        <v>123860026</v>
      </c>
      <c r="X294" s="20" t="str">
        <f ca="1">IFERROR(__xludf.DUMMYFUNCTION("""COMPUTED_VALUE""")," MUNICIPALIDAD DE LOS VILOS ")</f>
        <v xml:space="preserve"> MUNICIPALIDAD DE LOS VILOS </v>
      </c>
    </row>
    <row r="295" spans="1:24" ht="15.75" customHeight="1" x14ac:dyDescent="0.25">
      <c r="A295" s="16" t="str">
        <f ca="1">IFERROR(__xludf.DUMMYFUNCTION("""COMPUTED_VALUE""")," REGIÓN DE COQUIMBO ")</f>
        <v xml:space="preserve"> REGIÓN DE COQUIMBO </v>
      </c>
      <c r="B295" s="16" t="str">
        <f t="shared" ca="1" si="1"/>
        <v xml:space="preserve"> COQUIMBO </v>
      </c>
      <c r="C295" s="16" t="str">
        <f ca="1">IFERROR(__xludf.DUMMYFUNCTION("""COMPUTED_VALUE""")," MEJORAMIENTO PLAZA EL PEÑON ")</f>
        <v xml:space="preserve"> MEJORAMIENTO PLAZA EL PEÑON </v>
      </c>
      <c r="D295" s="16" t="str">
        <f ca="1">IFERROR(__xludf.DUMMYFUNCTION("""COMPUTED_VALUE""")," 1-C-2023-2599 ")</f>
        <v xml:space="preserve"> 1-C-2023-2599 </v>
      </c>
      <c r="E295" s="16" t="str">
        <f ca="1">IFERROR(__xludf.DUMMYFUNCTION("""COMPUTED_VALUE""")," 100% Girado ")</f>
        <v xml:space="preserve"> 100% Girado </v>
      </c>
      <c r="F295" s="17">
        <f ca="1">IFERROR(__xludf.DUMMYFUNCTION("""COMPUTED_VALUE"""),45369)</f>
        <v>45369</v>
      </c>
      <c r="G295" s="16">
        <f ca="1">IFERROR(__xludf.DUMMYFUNCTION("""COMPUTED_VALUE"""),149812394)</f>
        <v>149812394</v>
      </c>
      <c r="H295" s="16" t="str">
        <f ca="1">IFERROR(__xludf.DUMMYFUNCTION("""COMPUTED_VALUE""")," 100% Girado ")</f>
        <v xml:space="preserve"> 100% Girado </v>
      </c>
      <c r="I295" s="16">
        <f ca="1">IFERROR(__xludf.DUMMYFUNCTION("""COMPUTED_VALUE"""),149812394)</f>
        <v>149812394</v>
      </c>
      <c r="J295" s="83" t="s">
        <v>48</v>
      </c>
      <c r="K295" s="16"/>
      <c r="L295" s="16"/>
      <c r="M295" s="16"/>
      <c r="N295" s="21">
        <f ca="1">IFERROR(__xludf.DUMMYFUNCTION("""COMPUTED_VALUE"""),149812394)</f>
        <v>149812394</v>
      </c>
      <c r="O295" s="19"/>
      <c r="P295" s="19"/>
      <c r="Q295" s="19"/>
      <c r="R295" s="19"/>
      <c r="S295" s="19"/>
      <c r="T295" s="19"/>
      <c r="U295" s="19"/>
      <c r="V295" s="19"/>
      <c r="W295" s="20">
        <f ca="1">IFERROR(__xludf.DUMMYFUNCTION("""COMPUTED_VALUE"""),149812394)</f>
        <v>149812394</v>
      </c>
      <c r="X295" s="20" t="str">
        <f ca="1">IFERROR(__xludf.DUMMYFUNCTION("""COMPUTED_VALUE""")," MUNICIPALIDAD DE COQUIMBO ")</f>
        <v xml:space="preserve"> MUNICIPALIDAD DE COQUIMBO </v>
      </c>
    </row>
    <row r="296" spans="1:24" ht="15.75" customHeight="1" x14ac:dyDescent="0.25">
      <c r="A296" s="16" t="str">
        <f ca="1">IFERROR(__xludf.DUMMYFUNCTION("""COMPUTED_VALUE""")," REGIÓN DE VALPARAÍSO ")</f>
        <v xml:space="preserve"> REGIÓN DE VALPARAÍSO </v>
      </c>
      <c r="B296" s="16" t="str">
        <f t="shared" ca="1" si="1"/>
        <v xml:space="preserve"> QUILPUÉ </v>
      </c>
      <c r="C296" s="16" t="str">
        <f ca="1">IFERROR(__xludf.DUMMYFUNCTION("""COMPUTED_VALUE""")," SPD CONSTRUCCION PLAZA MIRADOR BLANCHARD, EL RETIRO, QUILPUÉ ")</f>
        <v xml:space="preserve"> SPD CONSTRUCCION PLAZA MIRADOR BLANCHARD, EL RETIRO, QUILPUÉ </v>
      </c>
      <c r="D296" s="16" t="str">
        <f ca="1">IFERROR(__xludf.DUMMYFUNCTION("""COMPUTED_VALUE""")," 1-SPD-2022-245 ")</f>
        <v xml:space="preserve"> 1-SPD-2022-245 </v>
      </c>
      <c r="E296" s="16" t="str">
        <f ca="1">IFERROR(__xludf.DUMMYFUNCTION("""COMPUTED_VALUE""")," 100% Girado ")</f>
        <v xml:space="preserve"> 100% Girado </v>
      </c>
      <c r="F296" s="17">
        <f ca="1">IFERROR(__xludf.DUMMYFUNCTION("""COMPUTED_VALUE"""),45400)</f>
        <v>45400</v>
      </c>
      <c r="G296" s="16">
        <f ca="1">IFERROR(__xludf.DUMMYFUNCTION("""COMPUTED_VALUE"""),74572657)</f>
        <v>74572657</v>
      </c>
      <c r="H296" s="16" t="str">
        <f ca="1">IFERROR(__xludf.DUMMYFUNCTION("""COMPUTED_VALUE""")," 100% Girado ")</f>
        <v xml:space="preserve"> 100% Girado </v>
      </c>
      <c r="I296" s="16">
        <f ca="1">IFERROR(__xludf.DUMMYFUNCTION("""COMPUTED_VALUE"""),74572657)</f>
        <v>74572657</v>
      </c>
      <c r="J296" s="83" t="s">
        <v>48</v>
      </c>
      <c r="K296" s="16"/>
      <c r="L296" s="16"/>
      <c r="M296" s="16"/>
      <c r="N296" s="21">
        <f ca="1">IFERROR(__xludf.DUMMYFUNCTION("""COMPUTED_VALUE"""),74572657)</f>
        <v>74572657</v>
      </c>
      <c r="O296" s="19"/>
      <c r="P296" s="19"/>
      <c r="Q296" s="19"/>
      <c r="R296" s="19"/>
      <c r="S296" s="19"/>
      <c r="T296" s="19"/>
      <c r="U296" s="19"/>
      <c r="V296" s="19"/>
      <c r="W296" s="20">
        <f ca="1">IFERROR(__xludf.DUMMYFUNCTION("""COMPUTED_VALUE"""),74572657)</f>
        <v>74572657</v>
      </c>
      <c r="X296" s="20" t="str">
        <f ca="1">IFERROR(__xludf.DUMMYFUNCTION("""COMPUTED_VALUE""")," MUNICIPALIDAD DE QUILPUÉ ")</f>
        <v xml:space="preserve"> MUNICIPALIDAD DE QUILPUÉ </v>
      </c>
    </row>
    <row r="297" spans="1:24" ht="15.75" customHeight="1" x14ac:dyDescent="0.25">
      <c r="A297" s="16" t="str">
        <f ca="1">IFERROR(__xludf.DUMMYFUNCTION("""COMPUTED_VALUE""")," REGIÓN DE VALPARAÍSO ")</f>
        <v xml:space="preserve"> REGIÓN DE VALPARAÍSO </v>
      </c>
      <c r="B297" s="16" t="str">
        <f t="shared" ca="1" si="1"/>
        <v xml:space="preserve"> CALERA </v>
      </c>
      <c r="C297" s="16" t="str">
        <f ca="1">IFERROR(__xludf.DUMMYFUNCTION("""COMPUTED_VALUE""")," CONSTRUCCIÓN ACERAS J.J GODOY, DESDE CALLE MIGUEL SAEZ A LÍNEA FERREA, LA CALERA ")</f>
        <v xml:space="preserve"> CONSTRUCCIÓN ACERAS J.J GODOY, DESDE CALLE MIGUEL SAEZ A LÍNEA FERREA, LA CALERA </v>
      </c>
      <c r="D297" s="16" t="str">
        <f ca="1">IFERROR(__xludf.DUMMYFUNCTION("""COMPUTED_VALUE""")," 1-C-2023-1129 ")</f>
        <v xml:space="preserve"> 1-C-2023-1129 </v>
      </c>
      <c r="E297" s="16" t="str">
        <f ca="1">IFERROR(__xludf.DUMMYFUNCTION("""COMPUTED_VALUE""")," 100% Girado ")</f>
        <v xml:space="preserve"> 100% Girado </v>
      </c>
      <c r="F297" s="17">
        <f ca="1">IFERROR(__xludf.DUMMYFUNCTION("""COMPUTED_VALUE"""),45407)</f>
        <v>45407</v>
      </c>
      <c r="G297" s="16">
        <f ca="1">IFERROR(__xludf.DUMMYFUNCTION("""COMPUTED_VALUE"""),154122488)</f>
        <v>154122488</v>
      </c>
      <c r="H297" s="16" t="str">
        <f ca="1">IFERROR(__xludf.DUMMYFUNCTION("""COMPUTED_VALUE""")," 100% Girado ")</f>
        <v xml:space="preserve"> 100% Girado </v>
      </c>
      <c r="I297" s="16">
        <f ca="1">IFERROR(__xludf.DUMMYFUNCTION("""COMPUTED_VALUE"""),154122488)</f>
        <v>154122488</v>
      </c>
      <c r="J297" s="83" t="s">
        <v>48</v>
      </c>
      <c r="K297" s="16"/>
      <c r="L297" s="16"/>
      <c r="M297" s="16"/>
      <c r="N297" s="21">
        <f ca="1">IFERROR(__xludf.DUMMYFUNCTION("""COMPUTED_VALUE"""),154122488)</f>
        <v>154122488</v>
      </c>
      <c r="O297" s="19"/>
      <c r="P297" s="19"/>
      <c r="Q297" s="19"/>
      <c r="R297" s="19"/>
      <c r="S297" s="19"/>
      <c r="T297" s="19"/>
      <c r="U297" s="19"/>
      <c r="V297" s="19"/>
      <c r="W297" s="20">
        <f ca="1">IFERROR(__xludf.DUMMYFUNCTION("""COMPUTED_VALUE"""),154122488)</f>
        <v>154122488</v>
      </c>
      <c r="X297" s="20" t="str">
        <f ca="1">IFERROR(__xludf.DUMMYFUNCTION("""COMPUTED_VALUE""")," MUNICIPALIDAD DE CALERA ")</f>
        <v xml:space="preserve"> MUNICIPALIDAD DE CALERA </v>
      </c>
    </row>
    <row r="298" spans="1:24" ht="15.75" customHeight="1" x14ac:dyDescent="0.25">
      <c r="A298" s="16" t="str">
        <f ca="1">IFERROR(__xludf.DUMMYFUNCTION("""COMPUTED_VALUE""")," REGIÓN DE VALPARAÍSO ")</f>
        <v xml:space="preserve"> REGIÓN DE VALPARAÍSO </v>
      </c>
      <c r="B298" s="16" t="str">
        <f t="shared" ca="1" si="1"/>
        <v xml:space="preserve"> LOS ANDES </v>
      </c>
      <c r="C298" s="16" t="str">
        <f ca="1">IFERROR(__xludf.DUMMYFUNCTION("""COMPUTED_VALUE""")," REPOSICION DE VEREDAS CALLE JULIO MOTT SALAMANCA , LOS ANDES ")</f>
        <v xml:space="preserve"> REPOSICION DE VEREDAS CALLE JULIO MOTT SALAMANCA , LOS ANDES </v>
      </c>
      <c r="D298" s="16" t="str">
        <f ca="1">IFERROR(__xludf.DUMMYFUNCTION("""COMPUTED_VALUE""")," 1-C-2023-1762 ")</f>
        <v xml:space="preserve"> 1-C-2023-1762 </v>
      </c>
      <c r="E298" s="16" t="str">
        <f ca="1">IFERROR(__xludf.DUMMYFUNCTION("""COMPUTED_VALUE""")," 100% Girado ")</f>
        <v xml:space="preserve"> 100% Girado </v>
      </c>
      <c r="F298" s="17">
        <f ca="1">IFERROR(__xludf.DUMMYFUNCTION("""COMPUTED_VALUE"""),45400)</f>
        <v>45400</v>
      </c>
      <c r="G298" s="16">
        <f ca="1">IFERROR(__xludf.DUMMYFUNCTION("""COMPUTED_VALUE"""),50961863)</f>
        <v>50961863</v>
      </c>
      <c r="H298" s="16" t="str">
        <f ca="1">IFERROR(__xludf.DUMMYFUNCTION("""COMPUTED_VALUE""")," 100% Girado ")</f>
        <v xml:space="preserve"> 100% Girado </v>
      </c>
      <c r="I298" s="16">
        <f ca="1">IFERROR(__xludf.DUMMYFUNCTION("""COMPUTED_VALUE"""),50961863)</f>
        <v>50961863</v>
      </c>
      <c r="J298" s="83" t="s">
        <v>48</v>
      </c>
      <c r="K298" s="16"/>
      <c r="L298" s="16"/>
      <c r="M298" s="16"/>
      <c r="N298" s="21">
        <f ca="1">IFERROR(__xludf.DUMMYFUNCTION("""COMPUTED_VALUE"""),50961863)</f>
        <v>50961863</v>
      </c>
      <c r="O298" s="19"/>
      <c r="P298" s="19"/>
      <c r="Q298" s="19"/>
      <c r="R298" s="19"/>
      <c r="S298" s="19"/>
      <c r="T298" s="19"/>
      <c r="U298" s="19"/>
      <c r="V298" s="19"/>
      <c r="W298" s="20">
        <f ca="1">IFERROR(__xludf.DUMMYFUNCTION("""COMPUTED_VALUE"""),50961863)</f>
        <v>50961863</v>
      </c>
      <c r="X298" s="20" t="str">
        <f ca="1">IFERROR(__xludf.DUMMYFUNCTION("""COMPUTED_VALUE""")," MUNICIPALIDAD DE LOS ANDES ")</f>
        <v xml:space="preserve"> MUNICIPALIDAD DE LOS ANDES </v>
      </c>
    </row>
    <row r="299" spans="1:24" ht="15.75" customHeight="1" x14ac:dyDescent="0.25">
      <c r="A299" s="16" t="str">
        <f ca="1">IFERROR(__xludf.DUMMYFUNCTION("""COMPUTED_VALUE""")," REGIÓN DE VALPARAÍSO ")</f>
        <v xml:space="preserve"> REGIÓN DE VALPARAÍSO </v>
      </c>
      <c r="B299" s="16" t="str">
        <f t="shared" ca="1" si="1"/>
        <v xml:space="preserve"> CASABLANCA </v>
      </c>
      <c r="C299" s="16" t="str">
        <f ca="1">IFERROR(__xludf.DUMMYFUNCTION("""COMPUTED_VALUE""")," CONSERVACION DE ACERA NORTE AVENIDA DIEGO PORTALES ")</f>
        <v xml:space="preserve"> CONSERVACION DE ACERA NORTE AVENIDA DIEGO PORTALES </v>
      </c>
      <c r="D299" s="16" t="str">
        <f ca="1">IFERROR(__xludf.DUMMYFUNCTION("""COMPUTED_VALUE""")," 1-C-2023-2156 ")</f>
        <v xml:space="preserve"> 1-C-2023-2156 </v>
      </c>
      <c r="E299" s="16" t="str">
        <f ca="1">IFERROR(__xludf.DUMMYFUNCTION("""COMPUTED_VALUE""")," 100% Girado ")</f>
        <v xml:space="preserve"> 100% Girado </v>
      </c>
      <c r="F299" s="17">
        <f ca="1">IFERROR(__xludf.DUMMYFUNCTION("""COMPUTED_VALUE"""),45401)</f>
        <v>45401</v>
      </c>
      <c r="G299" s="16">
        <f ca="1">IFERROR(__xludf.DUMMYFUNCTION("""COMPUTED_VALUE"""),139712946)</f>
        <v>139712946</v>
      </c>
      <c r="H299" s="16" t="str">
        <f ca="1">IFERROR(__xludf.DUMMYFUNCTION("""COMPUTED_VALUE""")," 100% Girado ")</f>
        <v xml:space="preserve"> 100% Girado </v>
      </c>
      <c r="I299" s="16">
        <f ca="1">IFERROR(__xludf.DUMMYFUNCTION("""COMPUTED_VALUE"""),139712946)</f>
        <v>139712946</v>
      </c>
      <c r="J299" s="83" t="s">
        <v>48</v>
      </c>
      <c r="K299" s="16"/>
      <c r="L299" s="16"/>
      <c r="M299" s="16"/>
      <c r="N299" s="21">
        <f ca="1">IFERROR(__xludf.DUMMYFUNCTION("""COMPUTED_VALUE"""),139712946)</f>
        <v>139712946</v>
      </c>
      <c r="O299" s="19"/>
      <c r="P299" s="19"/>
      <c r="Q299" s="19"/>
      <c r="R299" s="19"/>
      <c r="S299" s="19"/>
      <c r="T299" s="19"/>
      <c r="U299" s="19"/>
      <c r="V299" s="19"/>
      <c r="W299" s="20">
        <f ca="1">IFERROR(__xludf.DUMMYFUNCTION("""COMPUTED_VALUE"""),139712946)</f>
        <v>139712946</v>
      </c>
      <c r="X299" s="20" t="str">
        <f ca="1">IFERROR(__xludf.DUMMYFUNCTION("""COMPUTED_VALUE""")," MUNICIPALIDAD DE CASABLANCA ")</f>
        <v xml:space="preserve"> MUNICIPALIDAD DE CASABLANCA </v>
      </c>
    </row>
    <row r="300" spans="1:24" ht="15.75" customHeight="1" x14ac:dyDescent="0.25">
      <c r="A300" s="16" t="str">
        <f ca="1">IFERROR(__xludf.DUMMYFUNCTION("""COMPUTED_VALUE""")," REGIÓN DE VALPARAÍSO ")</f>
        <v xml:space="preserve"> REGIÓN DE VALPARAÍSO </v>
      </c>
      <c r="B300" s="16" t="str">
        <f t="shared" ca="1" si="1"/>
        <v xml:space="preserve"> QUILPUÉ </v>
      </c>
      <c r="C300" s="16" t="str">
        <f ca="1">IFERROR(__xludf.DUMMYFUNCTION("""COMPUTED_VALUE""")," CATASTROFE - RECUPERACION DE DIVERSOS ESPACIOS PUBLICOS EN AREA AFECTADA POR INCENDIO, COMUNA DE QUILPUÉ ")</f>
        <v xml:space="preserve"> CATASTROFE - RECUPERACION DE DIVERSOS ESPACIOS PUBLICOS EN AREA AFECTADA POR INCENDIO, COMUNA DE QUILPUÉ </v>
      </c>
      <c r="D300" s="16" t="str">
        <f ca="1">IFERROR(__xludf.DUMMYFUNCTION("""COMPUTED_VALUE""")," 1-C-2024-639 ")</f>
        <v xml:space="preserve"> 1-C-2024-639 </v>
      </c>
      <c r="E300" s="16" t="str">
        <f ca="1">IFERROR(__xludf.DUMMYFUNCTION("""COMPUTED_VALUE""")," 100% Girado ")</f>
        <v xml:space="preserve"> 100% Girado </v>
      </c>
      <c r="F300" s="17">
        <f ca="1">IFERROR(__xludf.DUMMYFUNCTION("""COMPUTED_VALUE"""),45407)</f>
        <v>45407</v>
      </c>
      <c r="G300" s="16">
        <f ca="1">IFERROR(__xludf.DUMMYFUNCTION("""COMPUTED_VALUE"""),86917066)</f>
        <v>86917066</v>
      </c>
      <c r="H300" s="16" t="str">
        <f ca="1">IFERROR(__xludf.DUMMYFUNCTION("""COMPUTED_VALUE""")," 100% Girado ")</f>
        <v xml:space="preserve"> 100% Girado </v>
      </c>
      <c r="I300" s="16">
        <f ca="1">IFERROR(__xludf.DUMMYFUNCTION("""COMPUTED_VALUE"""),86917066)</f>
        <v>86917066</v>
      </c>
      <c r="J300" s="83" t="s">
        <v>48</v>
      </c>
      <c r="K300" s="16"/>
      <c r="L300" s="16"/>
      <c r="M300" s="16"/>
      <c r="N300" s="21">
        <f ca="1">IFERROR(__xludf.DUMMYFUNCTION("""COMPUTED_VALUE"""),86917066)</f>
        <v>86917066</v>
      </c>
      <c r="O300" s="19"/>
      <c r="P300" s="19"/>
      <c r="Q300" s="19"/>
      <c r="R300" s="19"/>
      <c r="S300" s="19"/>
      <c r="T300" s="19"/>
      <c r="U300" s="19"/>
      <c r="V300" s="19"/>
      <c r="W300" s="20">
        <f ca="1">IFERROR(__xludf.DUMMYFUNCTION("""COMPUTED_VALUE"""),86917066)</f>
        <v>86917066</v>
      </c>
      <c r="X300" s="20" t="str">
        <f ca="1">IFERROR(__xludf.DUMMYFUNCTION("""COMPUTED_VALUE""")," MUNICIPALIDAD DE QUILPUÉ ")</f>
        <v xml:space="preserve"> MUNICIPALIDAD DE QUILPUÉ </v>
      </c>
    </row>
    <row r="301" spans="1:24" ht="15.75" customHeight="1" x14ac:dyDescent="0.25">
      <c r="A301" s="16" t="str">
        <f ca="1">IFERROR(__xludf.DUMMYFUNCTION("""COMPUTED_VALUE""")," REGIÓN DEL MAULE ")</f>
        <v xml:space="preserve"> REGIÓN DEL MAULE </v>
      </c>
      <c r="B301" s="16" t="str">
        <f t="shared" ca="1" si="1"/>
        <v xml:space="preserve"> TALCA </v>
      </c>
      <c r="C301" s="16" t="str">
        <f ca="1">IFERROR(__xludf.DUMMYFUNCTION("""COMPUTED_VALUE""")," MEJORAMIENTO DE EQUIPAMIENTO, VILLA LA PAZ, TALCA. ")</f>
        <v xml:space="preserve"> MEJORAMIENTO DE EQUIPAMIENTO, VILLA LA PAZ, TALCA. </v>
      </c>
      <c r="D301" s="16" t="str">
        <f ca="1">IFERROR(__xludf.DUMMYFUNCTION("""COMPUTED_VALUE""")," 1-C-2022-395 [FET] ")</f>
        <v xml:space="preserve"> 1-C-2022-395 [FET] </v>
      </c>
      <c r="E301" s="16" t="str">
        <f ca="1">IFERROR(__xludf.DUMMYFUNCTION("""COMPUTED_VALUE""")," En Ejecución ")</f>
        <v xml:space="preserve"> En Ejecución </v>
      </c>
      <c r="F301" s="17">
        <f ca="1">IFERROR(__xludf.DUMMYFUNCTION("""COMPUTED_VALUE"""),44799)</f>
        <v>44799</v>
      </c>
      <c r="G301" s="16">
        <f ca="1">IFERROR(__xludf.DUMMYFUNCTION("""COMPUTED_VALUE"""),95148794)</f>
        <v>95148794</v>
      </c>
      <c r="H301" s="16" t="str">
        <f ca="1">IFERROR(__xludf.DUMMYFUNCTION("""COMPUTED_VALUE""")," En Ejecución ")</f>
        <v xml:space="preserve"> En Ejecución </v>
      </c>
      <c r="I301" s="16">
        <f ca="1">IFERROR(__xludf.DUMMYFUNCTION("""COMPUTED_VALUE"""),17028766)</f>
        <v>17028766</v>
      </c>
      <c r="J301" s="83" t="s">
        <v>48</v>
      </c>
      <c r="K301" s="16"/>
      <c r="L301" s="16"/>
      <c r="M301" s="16"/>
      <c r="N301" s="21">
        <f ca="1">IFERROR(__xludf.DUMMYFUNCTION("""COMPUTED_VALUE"""),17028766)</f>
        <v>17028766</v>
      </c>
      <c r="O301" s="19"/>
      <c r="P301" s="19"/>
      <c r="Q301" s="19"/>
      <c r="R301" s="19"/>
      <c r="S301" s="19"/>
      <c r="T301" s="19"/>
      <c r="U301" s="19"/>
      <c r="V301" s="19"/>
      <c r="W301" s="20">
        <f ca="1">IFERROR(__xludf.DUMMYFUNCTION("""COMPUTED_VALUE"""),17028766)</f>
        <v>17028766</v>
      </c>
      <c r="X301" s="20" t="str">
        <f ca="1">IFERROR(__xludf.DUMMYFUNCTION("""COMPUTED_VALUE""")," MUNICIPALIDAD DE TALCA ")</f>
        <v xml:space="preserve"> MUNICIPALIDAD DE TALCA </v>
      </c>
    </row>
    <row r="302" spans="1:24" ht="15.75" customHeight="1" x14ac:dyDescent="0.25">
      <c r="A302" s="16" t="str">
        <f ca="1">IFERROR(__xludf.DUMMYFUNCTION("""COMPUTED_VALUE""")," REGIÓN DEL MAULE ")</f>
        <v xml:space="preserve"> REGIÓN DEL MAULE </v>
      </c>
      <c r="B302" s="16" t="str">
        <f t="shared" ca="1" si="1"/>
        <v xml:space="preserve"> CHANCO </v>
      </c>
      <c r="C302" s="16" t="str">
        <f ca="1">IFERROR(__xludf.DUMMYFUNCTION("""COMPUTED_VALUE""")," MEJORAMIENTO CAMINO LOS MÉDANOS, COMUNA DE CHANCO ")</f>
        <v xml:space="preserve"> MEJORAMIENTO CAMINO LOS MÉDANOS, COMUNA DE CHANCO </v>
      </c>
      <c r="D302" s="16" t="str">
        <f ca="1">IFERROR(__xludf.DUMMYFUNCTION("""COMPUTED_VALUE""")," 1-C-2022-2716 ")</f>
        <v xml:space="preserve"> 1-C-2022-2716 </v>
      </c>
      <c r="E302" s="16" t="str">
        <f ca="1">IFERROR(__xludf.DUMMYFUNCTION("""COMPUTED_VALUE""")," 100% Girado ")</f>
        <v xml:space="preserve"> 100% Girado </v>
      </c>
      <c r="F302" s="17">
        <f ca="1">IFERROR(__xludf.DUMMYFUNCTION("""COMPUTED_VALUE"""),45385)</f>
        <v>45385</v>
      </c>
      <c r="G302" s="16">
        <f ca="1">IFERROR(__xludf.DUMMYFUNCTION("""COMPUTED_VALUE"""),74999999)</f>
        <v>74999999</v>
      </c>
      <c r="H302" s="16" t="str">
        <f ca="1">IFERROR(__xludf.DUMMYFUNCTION("""COMPUTED_VALUE""")," 100% Girado ")</f>
        <v xml:space="preserve"> 100% Girado </v>
      </c>
      <c r="I302" s="16">
        <f ca="1">IFERROR(__xludf.DUMMYFUNCTION("""COMPUTED_VALUE"""),74999999)</f>
        <v>74999999</v>
      </c>
      <c r="J302" s="83" t="s">
        <v>48</v>
      </c>
      <c r="K302" s="16"/>
      <c r="L302" s="16"/>
      <c r="M302" s="16"/>
      <c r="N302" s="21">
        <f ca="1">IFERROR(__xludf.DUMMYFUNCTION("""COMPUTED_VALUE"""),74999999)</f>
        <v>74999999</v>
      </c>
      <c r="O302" s="19"/>
      <c r="P302" s="19"/>
      <c r="Q302" s="19"/>
      <c r="R302" s="19"/>
      <c r="S302" s="19"/>
      <c r="T302" s="19"/>
      <c r="U302" s="19"/>
      <c r="V302" s="19"/>
      <c r="W302" s="20">
        <f ca="1">IFERROR(__xludf.DUMMYFUNCTION("""COMPUTED_VALUE"""),74999999)</f>
        <v>74999999</v>
      </c>
      <c r="X302" s="20" t="str">
        <f ca="1">IFERROR(__xludf.DUMMYFUNCTION("""COMPUTED_VALUE""")," MUNICIPALIDAD DE CHANCO ")</f>
        <v xml:space="preserve"> MUNICIPALIDAD DE CHANCO </v>
      </c>
    </row>
    <row r="303" spans="1:24" ht="15.75" customHeight="1" x14ac:dyDescent="0.25">
      <c r="A303" s="16" t="str">
        <f ca="1">IFERROR(__xludf.DUMMYFUNCTION("""COMPUTED_VALUE""")," REGIÓN DEL MAULE ")</f>
        <v xml:space="preserve"> REGIÓN DEL MAULE </v>
      </c>
      <c r="B303" s="16" t="str">
        <f t="shared" ca="1" si="1"/>
        <v xml:space="preserve"> CHANCO </v>
      </c>
      <c r="C303" s="16" t="str">
        <f ca="1">IFERROR(__xludf.DUMMYFUNCTION("""COMPUTED_VALUE""")," MEJORAMIENTO CAMINO EL MAITEN, CHANCO ")</f>
        <v xml:space="preserve"> MEJORAMIENTO CAMINO EL MAITEN, CHANCO </v>
      </c>
      <c r="D303" s="16" t="str">
        <f ca="1">IFERROR(__xludf.DUMMYFUNCTION("""COMPUTED_VALUE""")," 1-C-2023-922 ")</f>
        <v xml:space="preserve"> 1-C-2023-922 </v>
      </c>
      <c r="E303" s="16" t="str">
        <f ca="1">IFERROR(__xludf.DUMMYFUNCTION("""COMPUTED_VALUE""")," 100% Girado ")</f>
        <v xml:space="preserve"> 100% Girado </v>
      </c>
      <c r="F303" s="17">
        <f ca="1">IFERROR(__xludf.DUMMYFUNCTION("""COMPUTED_VALUE"""),45385)</f>
        <v>45385</v>
      </c>
      <c r="G303" s="16">
        <f ca="1">IFERROR(__xludf.DUMMYFUNCTION("""COMPUTED_VALUE"""),80270000)</f>
        <v>80270000</v>
      </c>
      <c r="H303" s="16" t="str">
        <f ca="1">IFERROR(__xludf.DUMMYFUNCTION("""COMPUTED_VALUE""")," 100% Girado ")</f>
        <v xml:space="preserve"> 100% Girado </v>
      </c>
      <c r="I303" s="16">
        <f ca="1">IFERROR(__xludf.DUMMYFUNCTION("""COMPUTED_VALUE"""),80270000)</f>
        <v>80270000</v>
      </c>
      <c r="J303" s="83" t="s">
        <v>48</v>
      </c>
      <c r="K303" s="16"/>
      <c r="L303" s="16"/>
      <c r="M303" s="16"/>
      <c r="N303" s="21">
        <f ca="1">IFERROR(__xludf.DUMMYFUNCTION("""COMPUTED_VALUE"""),80270000)</f>
        <v>80270000</v>
      </c>
      <c r="O303" s="19"/>
      <c r="P303" s="19"/>
      <c r="Q303" s="19"/>
      <c r="R303" s="19"/>
      <c r="S303" s="19"/>
      <c r="T303" s="19"/>
      <c r="U303" s="19"/>
      <c r="V303" s="19"/>
      <c r="W303" s="20">
        <f ca="1">IFERROR(__xludf.DUMMYFUNCTION("""COMPUTED_VALUE"""),80270000)</f>
        <v>80270000</v>
      </c>
      <c r="X303" s="20" t="str">
        <f ca="1">IFERROR(__xludf.DUMMYFUNCTION("""COMPUTED_VALUE""")," MUNICIPALIDAD DE CHANCO ")</f>
        <v xml:space="preserve"> MUNICIPALIDAD DE CHANCO </v>
      </c>
    </row>
    <row r="304" spans="1:24" ht="15.75" customHeight="1" x14ac:dyDescent="0.25">
      <c r="A304" s="16" t="str">
        <f ca="1">IFERROR(__xludf.DUMMYFUNCTION("""COMPUTED_VALUE""")," REGIÓN DEL MAULE ")</f>
        <v xml:space="preserve"> REGIÓN DEL MAULE </v>
      </c>
      <c r="B304" s="16" t="str">
        <f t="shared" ca="1" si="1"/>
        <v xml:space="preserve"> CHANCO </v>
      </c>
      <c r="C304" s="16" t="str">
        <f ca="1">IFERROR(__xludf.DUMMYFUNCTION("""COMPUTED_VALUE""")," MEJORAMIENTO CAMINO LAS TRANCAS COMUNA DE CHANCO ")</f>
        <v xml:space="preserve"> MEJORAMIENTO CAMINO LAS TRANCAS COMUNA DE CHANCO </v>
      </c>
      <c r="D304" s="16" t="str">
        <f ca="1">IFERROR(__xludf.DUMMYFUNCTION("""COMPUTED_VALUE""")," 1-C-2023-1020 ")</f>
        <v xml:space="preserve"> 1-C-2023-1020 </v>
      </c>
      <c r="E304" s="16" t="str">
        <f ca="1">IFERROR(__xludf.DUMMYFUNCTION("""COMPUTED_VALUE""")," 100% Girado ")</f>
        <v xml:space="preserve"> 100% Girado </v>
      </c>
      <c r="F304" s="17">
        <f ca="1">IFERROR(__xludf.DUMMYFUNCTION("""COMPUTED_VALUE"""),45385)</f>
        <v>45385</v>
      </c>
      <c r="G304" s="16">
        <f ca="1">IFERROR(__xludf.DUMMYFUNCTION("""COMPUTED_VALUE"""),102422000)</f>
        <v>102422000</v>
      </c>
      <c r="H304" s="16" t="str">
        <f ca="1">IFERROR(__xludf.DUMMYFUNCTION("""COMPUTED_VALUE""")," 100% Girado ")</f>
        <v xml:space="preserve"> 100% Girado </v>
      </c>
      <c r="I304" s="16">
        <f ca="1">IFERROR(__xludf.DUMMYFUNCTION("""COMPUTED_VALUE"""),102422000)</f>
        <v>102422000</v>
      </c>
      <c r="J304" s="83" t="s">
        <v>48</v>
      </c>
      <c r="K304" s="16"/>
      <c r="L304" s="16"/>
      <c r="M304" s="16"/>
      <c r="N304" s="21">
        <f ca="1">IFERROR(__xludf.DUMMYFUNCTION("""COMPUTED_VALUE"""),102422000)</f>
        <v>102422000</v>
      </c>
      <c r="O304" s="19"/>
      <c r="P304" s="19"/>
      <c r="Q304" s="19"/>
      <c r="R304" s="19"/>
      <c r="S304" s="19"/>
      <c r="T304" s="19"/>
      <c r="U304" s="19"/>
      <c r="V304" s="19"/>
      <c r="W304" s="20">
        <f ca="1">IFERROR(__xludf.DUMMYFUNCTION("""COMPUTED_VALUE"""),102422000)</f>
        <v>102422000</v>
      </c>
      <c r="X304" s="20" t="str">
        <f ca="1">IFERROR(__xludf.DUMMYFUNCTION("""COMPUTED_VALUE""")," MUNICIPALIDAD DE CHANCO ")</f>
        <v xml:space="preserve"> MUNICIPALIDAD DE CHANCO </v>
      </c>
    </row>
    <row r="305" spans="1:24" ht="15.75" customHeight="1" x14ac:dyDescent="0.25">
      <c r="A305" s="16" t="str">
        <f ca="1">IFERROR(__xludf.DUMMYFUNCTION("""COMPUTED_VALUE""")," REGIÓN DEL MAULE ")</f>
        <v xml:space="preserve"> REGIÓN DEL MAULE </v>
      </c>
      <c r="B305" s="16" t="str">
        <f t="shared" ca="1" si="1"/>
        <v xml:space="preserve"> CHANCO </v>
      </c>
      <c r="C305" s="16" t="str">
        <f ca="1">IFERROR(__xludf.DUMMYFUNCTION("""COMPUTED_VALUE""")," MEJORAMIENTO CAMINO INTERIOR LAS MARGARITAS, CHANCO ")</f>
        <v xml:space="preserve"> MEJORAMIENTO CAMINO INTERIOR LAS MARGARITAS, CHANCO </v>
      </c>
      <c r="D305" s="16" t="str">
        <f ca="1">IFERROR(__xludf.DUMMYFUNCTION("""COMPUTED_VALUE""")," 1-C-2023-1209 ")</f>
        <v xml:space="preserve"> 1-C-2023-1209 </v>
      </c>
      <c r="E305" s="16" t="str">
        <f ca="1">IFERROR(__xludf.DUMMYFUNCTION("""COMPUTED_VALUE""")," 100% Girado ")</f>
        <v xml:space="preserve"> 100% Girado </v>
      </c>
      <c r="F305" s="17">
        <f ca="1">IFERROR(__xludf.DUMMYFUNCTION("""COMPUTED_VALUE"""),45385)</f>
        <v>45385</v>
      </c>
      <c r="G305" s="16">
        <f ca="1">IFERROR(__xludf.DUMMYFUNCTION("""COMPUTED_VALUE"""),154422499)</f>
        <v>154422499</v>
      </c>
      <c r="H305" s="16" t="str">
        <f ca="1">IFERROR(__xludf.DUMMYFUNCTION("""COMPUTED_VALUE""")," 100% Girado ")</f>
        <v xml:space="preserve"> 100% Girado </v>
      </c>
      <c r="I305" s="16">
        <f ca="1">IFERROR(__xludf.DUMMYFUNCTION("""COMPUTED_VALUE"""),154422499)</f>
        <v>154422499</v>
      </c>
      <c r="J305" s="83" t="s">
        <v>48</v>
      </c>
      <c r="K305" s="16"/>
      <c r="L305" s="16"/>
      <c r="M305" s="16"/>
      <c r="N305" s="21">
        <f ca="1">IFERROR(__xludf.DUMMYFUNCTION("""COMPUTED_VALUE"""),154422499)</f>
        <v>154422499</v>
      </c>
      <c r="O305" s="19"/>
      <c r="P305" s="19"/>
      <c r="Q305" s="19"/>
      <c r="R305" s="19"/>
      <c r="S305" s="19"/>
      <c r="T305" s="19"/>
      <c r="U305" s="19"/>
      <c r="V305" s="19"/>
      <c r="W305" s="20">
        <f ca="1">IFERROR(__xludf.DUMMYFUNCTION("""COMPUTED_VALUE"""),154422499)</f>
        <v>154422499</v>
      </c>
      <c r="X305" s="20" t="str">
        <f ca="1">IFERROR(__xludf.DUMMYFUNCTION("""COMPUTED_VALUE""")," MUNICIPALIDAD DE CHANCO ")</f>
        <v xml:space="preserve"> MUNICIPALIDAD DE CHANCO </v>
      </c>
    </row>
    <row r="306" spans="1:24" ht="15.75" customHeight="1" x14ac:dyDescent="0.25">
      <c r="A306" s="16" t="str">
        <f ca="1">IFERROR(__xludf.DUMMYFUNCTION("""COMPUTED_VALUE""")," REGIÓN DEL MAULE ")</f>
        <v xml:space="preserve"> REGIÓN DEL MAULE </v>
      </c>
      <c r="B306" s="16" t="str">
        <f t="shared" ca="1" si="1"/>
        <v xml:space="preserve"> CHANCO </v>
      </c>
      <c r="C306" s="16" t="str">
        <f ca="1">IFERROR(__xludf.DUMMYFUNCTION("""COMPUTED_VALUE""")," MEJORAMIENTO CAMINO INTERIOR LAGUNILLAS EL CARMÍN,CHANCO ")</f>
        <v xml:space="preserve"> MEJORAMIENTO CAMINO INTERIOR LAGUNILLAS EL CARMÍN,CHANCO </v>
      </c>
      <c r="D306" s="16" t="str">
        <f ca="1">IFERROR(__xludf.DUMMYFUNCTION("""COMPUTED_VALUE""")," 1-C-2023-1494 ")</f>
        <v xml:space="preserve"> 1-C-2023-1494 </v>
      </c>
      <c r="E306" s="16" t="str">
        <f ca="1">IFERROR(__xludf.DUMMYFUNCTION("""COMPUTED_VALUE""")," 100% Girado ")</f>
        <v xml:space="preserve"> 100% Girado </v>
      </c>
      <c r="F306" s="17">
        <f ca="1">IFERROR(__xludf.DUMMYFUNCTION("""COMPUTED_VALUE"""),45385)</f>
        <v>45385</v>
      </c>
      <c r="G306" s="16">
        <f ca="1">IFERROR(__xludf.DUMMYFUNCTION("""COMPUTED_VALUE"""),153850000)</f>
        <v>153850000</v>
      </c>
      <c r="H306" s="16" t="str">
        <f ca="1">IFERROR(__xludf.DUMMYFUNCTION("""COMPUTED_VALUE""")," 100% Girado ")</f>
        <v xml:space="preserve"> 100% Girado </v>
      </c>
      <c r="I306" s="16">
        <f ca="1">IFERROR(__xludf.DUMMYFUNCTION("""COMPUTED_VALUE"""),153850000)</f>
        <v>153850000</v>
      </c>
      <c r="J306" s="83" t="s">
        <v>48</v>
      </c>
      <c r="K306" s="16"/>
      <c r="L306" s="16"/>
      <c r="M306" s="16"/>
      <c r="N306" s="21">
        <f ca="1">IFERROR(__xludf.DUMMYFUNCTION("""COMPUTED_VALUE"""),153850000)</f>
        <v>153850000</v>
      </c>
      <c r="O306" s="19"/>
      <c r="P306" s="19"/>
      <c r="Q306" s="19"/>
      <c r="R306" s="19"/>
      <c r="S306" s="19"/>
      <c r="T306" s="19"/>
      <c r="U306" s="19"/>
      <c r="V306" s="19"/>
      <c r="W306" s="20">
        <f ca="1">IFERROR(__xludf.DUMMYFUNCTION("""COMPUTED_VALUE"""),153850000)</f>
        <v>153850000</v>
      </c>
      <c r="X306" s="20" t="str">
        <f ca="1">IFERROR(__xludf.DUMMYFUNCTION("""COMPUTED_VALUE""")," MUNICIPALIDAD DE CHANCO ")</f>
        <v xml:space="preserve"> MUNICIPALIDAD DE CHANCO </v>
      </c>
    </row>
    <row r="307" spans="1:24" ht="15.75" customHeight="1" x14ac:dyDescent="0.25">
      <c r="A307" s="16" t="str">
        <f ca="1">IFERROR(__xludf.DUMMYFUNCTION("""COMPUTED_VALUE""")," REGIÓN DEL MAULE ")</f>
        <v xml:space="preserve"> REGIÓN DEL MAULE </v>
      </c>
      <c r="B307" s="16" t="str">
        <f t="shared" ca="1" si="1"/>
        <v xml:space="preserve"> MOLINA </v>
      </c>
      <c r="C307" s="16" t="str">
        <f ca="1">IFERROR(__xludf.DUMMYFUNCTION("""COMPUTED_VALUE""")," [CATÁSTROFE] REPOSICÓN DE CONECTIVIDAD DE CAMINOS DE TUICIÓN MUNICIPAL AFECTADOS POR SISTEMA FRONTAL AGOSTO 2023 ")</f>
        <v xml:space="preserve"> [CATÁSTROFE] REPOSICÓN DE CONECTIVIDAD DE CAMINOS DE TUICIÓN MUNICIPAL AFECTADOS POR SISTEMA FRONTAL AGOSTO 2023 </v>
      </c>
      <c r="D307" s="16" t="str">
        <f ca="1">IFERROR(__xludf.DUMMYFUNCTION("""COMPUTED_VALUE""")," 1-C-2023-2647 ")</f>
        <v xml:space="preserve"> 1-C-2023-2647 </v>
      </c>
      <c r="E307" s="16" t="str">
        <f ca="1">IFERROR(__xludf.DUMMYFUNCTION("""COMPUTED_VALUE""")," 100% Girado ")</f>
        <v xml:space="preserve"> 100% Girado </v>
      </c>
      <c r="F307" s="17">
        <f ca="1">IFERROR(__xludf.DUMMYFUNCTION("""COMPUTED_VALUE"""),45391)</f>
        <v>45391</v>
      </c>
      <c r="G307" s="16">
        <f ca="1">IFERROR(__xludf.DUMMYFUNCTION("""COMPUTED_VALUE"""),49985950)</f>
        <v>49985950</v>
      </c>
      <c r="H307" s="16" t="str">
        <f ca="1">IFERROR(__xludf.DUMMYFUNCTION("""COMPUTED_VALUE""")," 100% Girado ")</f>
        <v xml:space="preserve"> 100% Girado </v>
      </c>
      <c r="I307" s="16">
        <f ca="1">IFERROR(__xludf.DUMMYFUNCTION("""COMPUTED_VALUE"""),49985950)</f>
        <v>49985950</v>
      </c>
      <c r="J307" s="83" t="s">
        <v>48</v>
      </c>
      <c r="K307" s="16"/>
      <c r="L307" s="16"/>
      <c r="M307" s="16"/>
      <c r="N307" s="21">
        <f ca="1">IFERROR(__xludf.DUMMYFUNCTION("""COMPUTED_VALUE"""),49985950)</f>
        <v>49985950</v>
      </c>
      <c r="O307" s="19"/>
      <c r="P307" s="19"/>
      <c r="Q307" s="19"/>
      <c r="R307" s="19"/>
      <c r="S307" s="19"/>
      <c r="T307" s="19"/>
      <c r="U307" s="19"/>
      <c r="V307" s="19"/>
      <c r="W307" s="20">
        <f ca="1">IFERROR(__xludf.DUMMYFUNCTION("""COMPUTED_VALUE"""),49985950)</f>
        <v>49985950</v>
      </c>
      <c r="X307" s="20" t="str">
        <f ca="1">IFERROR(__xludf.DUMMYFUNCTION("""COMPUTED_VALUE""")," MUNICIPALIDAD DE MOLINA ")</f>
        <v xml:space="preserve"> MUNICIPALIDAD DE MOLINA </v>
      </c>
    </row>
    <row r="308" spans="1:24" ht="15.75" customHeight="1" x14ac:dyDescent="0.25">
      <c r="A308" s="16" t="str">
        <f ca="1">IFERROR(__xludf.DUMMYFUNCTION("""COMPUTED_VALUE""")," REGIÓN DEL MAULE ")</f>
        <v xml:space="preserve"> REGIÓN DEL MAULE </v>
      </c>
      <c r="B308" s="16" t="str">
        <f t="shared" ca="1" si="1"/>
        <v xml:space="preserve"> CHANCO </v>
      </c>
      <c r="C308" s="16" t="str">
        <f ca="1">IFERROR(__xludf.DUMMYFUNCTION("""COMPUTED_VALUE""")," CATASTROFE MEJORAMIENTO CAMINOS SECTOR PUNCHEMA,CHANCO ")</f>
        <v xml:space="preserve"> CATASTROFE MEJORAMIENTO CAMINOS SECTOR PUNCHEMA,CHANCO </v>
      </c>
      <c r="D308" s="16" t="str">
        <f ca="1">IFERROR(__xludf.DUMMYFUNCTION("""COMPUTED_VALUE""")," 1-C-2023-2840 ")</f>
        <v xml:space="preserve"> 1-C-2023-2840 </v>
      </c>
      <c r="E308" s="16" t="str">
        <f ca="1">IFERROR(__xludf.DUMMYFUNCTION("""COMPUTED_VALUE""")," 100% Girado ")</f>
        <v xml:space="preserve"> 100% Girado </v>
      </c>
      <c r="F308" s="17">
        <f ca="1">IFERROR(__xludf.DUMMYFUNCTION("""COMPUTED_VALUE"""),45391)</f>
        <v>45391</v>
      </c>
      <c r="G308" s="16">
        <f ca="1">IFERROR(__xludf.DUMMYFUNCTION("""COMPUTED_VALUE"""),30000000)</f>
        <v>30000000</v>
      </c>
      <c r="H308" s="16" t="str">
        <f ca="1">IFERROR(__xludf.DUMMYFUNCTION("""COMPUTED_VALUE""")," 100% Girado ")</f>
        <v xml:space="preserve"> 100% Girado </v>
      </c>
      <c r="I308" s="16">
        <f ca="1">IFERROR(__xludf.DUMMYFUNCTION("""COMPUTED_VALUE"""),30000000)</f>
        <v>30000000</v>
      </c>
      <c r="J308" s="83" t="s">
        <v>48</v>
      </c>
      <c r="K308" s="16"/>
      <c r="L308" s="16"/>
      <c r="M308" s="16"/>
      <c r="N308" s="21">
        <f ca="1">IFERROR(__xludf.DUMMYFUNCTION("""COMPUTED_VALUE"""),30000000)</f>
        <v>30000000</v>
      </c>
      <c r="O308" s="19"/>
      <c r="P308" s="19"/>
      <c r="Q308" s="19"/>
      <c r="R308" s="19"/>
      <c r="S308" s="19"/>
      <c r="T308" s="19"/>
      <c r="U308" s="19"/>
      <c r="V308" s="19"/>
      <c r="W308" s="20">
        <f ca="1">IFERROR(__xludf.DUMMYFUNCTION("""COMPUTED_VALUE"""),30000000)</f>
        <v>30000000</v>
      </c>
      <c r="X308" s="20" t="str">
        <f ca="1">IFERROR(__xludf.DUMMYFUNCTION("""COMPUTED_VALUE""")," MUNICIPALIDAD DE CHANCO ")</f>
        <v xml:space="preserve"> MUNICIPALIDAD DE CHANCO </v>
      </c>
    </row>
    <row r="309" spans="1:24" ht="15.75" customHeight="1" x14ac:dyDescent="0.25">
      <c r="A309" s="16" t="str">
        <f ca="1">IFERROR(__xludf.DUMMYFUNCTION("""COMPUTED_VALUE""")," REGIÓN DEL MAULE ")</f>
        <v xml:space="preserve"> REGIÓN DEL MAULE </v>
      </c>
      <c r="B309" s="16" t="str">
        <f t="shared" ca="1" si="1"/>
        <v xml:space="preserve"> CHANCO </v>
      </c>
      <c r="C309" s="16" t="str">
        <f ca="1">IFERROR(__xludf.DUMMYFUNCTION("""COMPUTED_VALUE""")," REPOSICIÓN DE VEREDAS, SOLERAS Y DEMARCACIÓN VIAL CHANCO URBANO SUR ")</f>
        <v xml:space="preserve"> REPOSICIÓN DE VEREDAS, SOLERAS Y DEMARCACIÓN VIAL CHANCO URBANO SUR </v>
      </c>
      <c r="D309" s="16" t="str">
        <f ca="1">IFERROR(__xludf.DUMMYFUNCTION("""COMPUTED_VALUE""")," 1-B-2024-57 ")</f>
        <v xml:space="preserve"> 1-B-2024-57 </v>
      </c>
      <c r="E309" s="16" t="str">
        <f ca="1">IFERROR(__xludf.DUMMYFUNCTION("""COMPUTED_VALUE""")," 100% Girado ")</f>
        <v xml:space="preserve"> 100% Girado </v>
      </c>
      <c r="F309" s="17">
        <f ca="1">IFERROR(__xludf.DUMMYFUNCTION("""COMPUTED_VALUE"""),45407)</f>
        <v>45407</v>
      </c>
      <c r="G309" s="16">
        <f ca="1">IFERROR(__xludf.DUMMYFUNCTION("""COMPUTED_VALUE"""),125929730)</f>
        <v>125929730</v>
      </c>
      <c r="H309" s="16" t="str">
        <f ca="1">IFERROR(__xludf.DUMMYFUNCTION("""COMPUTED_VALUE""")," 100% Girado ")</f>
        <v xml:space="preserve"> 100% Girado </v>
      </c>
      <c r="I309" s="16">
        <f ca="1">IFERROR(__xludf.DUMMYFUNCTION("""COMPUTED_VALUE"""),125929730)</f>
        <v>125929730</v>
      </c>
      <c r="J309" s="83" t="s">
        <v>48</v>
      </c>
      <c r="K309" s="16"/>
      <c r="L309" s="16"/>
      <c r="M309" s="16"/>
      <c r="N309" s="21">
        <f ca="1">IFERROR(__xludf.DUMMYFUNCTION("""COMPUTED_VALUE"""),125929730)</f>
        <v>125929730</v>
      </c>
      <c r="O309" s="19"/>
      <c r="P309" s="19"/>
      <c r="Q309" s="19"/>
      <c r="R309" s="19"/>
      <c r="S309" s="19"/>
      <c r="T309" s="19"/>
      <c r="U309" s="19"/>
      <c r="V309" s="19"/>
      <c r="W309" s="20">
        <f ca="1">IFERROR(__xludf.DUMMYFUNCTION("""COMPUTED_VALUE"""),125929730)</f>
        <v>125929730</v>
      </c>
      <c r="X309" s="20" t="str">
        <f ca="1">IFERROR(__xludf.DUMMYFUNCTION("""COMPUTED_VALUE""")," MUNICIPALIDAD DE CHANCO ")</f>
        <v xml:space="preserve"> MUNICIPALIDAD DE CHANCO </v>
      </c>
    </row>
    <row r="310" spans="1:24" ht="15.75" customHeight="1" x14ac:dyDescent="0.25">
      <c r="A310" s="16" t="str">
        <f ca="1">IFERROR(__xludf.DUMMYFUNCTION("""COMPUTED_VALUE""")," REGIÓN DEL BIOBÍO ")</f>
        <v xml:space="preserve"> REGIÓN DEL BIOBÍO </v>
      </c>
      <c r="B310" s="16" t="str">
        <f t="shared" ca="1" si="1"/>
        <v xml:space="preserve"> CONCEPCIÓN </v>
      </c>
      <c r="C310" s="16" t="str">
        <f ca="1">IFERROR(__xludf.DUMMYFUNCTION("""COMPUTED_VALUE""")," REPOSICIÓN SEDE SOCIAL JUNTA DE VECINOS PEDRO AGUIRRE CERDA ")</f>
        <v xml:space="preserve"> REPOSICIÓN SEDE SOCIAL JUNTA DE VECINOS PEDRO AGUIRRE CERDA </v>
      </c>
      <c r="D310" s="16" t="str">
        <f ca="1">IFERROR(__xludf.DUMMYFUNCTION("""COMPUTED_VALUE""")," 1-C-2016-1549 ")</f>
        <v xml:space="preserve"> 1-C-2016-1549 </v>
      </c>
      <c r="E310" s="16" t="str">
        <f ca="1">IFERROR(__xludf.DUMMYFUNCTION("""COMPUTED_VALUE""")," 100% Girado ")</f>
        <v xml:space="preserve"> 100% Girado </v>
      </c>
      <c r="F310" s="17">
        <f ca="1">IFERROR(__xludf.DUMMYFUNCTION("""COMPUTED_VALUE"""),43920)</f>
        <v>43920</v>
      </c>
      <c r="G310" s="16">
        <f ca="1">IFERROR(__xludf.DUMMYFUNCTION("""COMPUTED_VALUE"""),69344531)</f>
        <v>69344531</v>
      </c>
      <c r="H310" s="16" t="str">
        <f ca="1">IFERROR(__xludf.DUMMYFUNCTION("""COMPUTED_VALUE""")," 100% Girado ")</f>
        <v xml:space="preserve"> 100% Girado </v>
      </c>
      <c r="I310" s="16">
        <f ca="1">IFERROR(__xludf.DUMMYFUNCTION("""COMPUTED_VALUE"""),9722218)</f>
        <v>9722218</v>
      </c>
      <c r="J310" s="83" t="s">
        <v>48</v>
      </c>
      <c r="K310" s="16"/>
      <c r="L310" s="16"/>
      <c r="M310" s="16"/>
      <c r="N310" s="21">
        <f ca="1">IFERROR(__xludf.DUMMYFUNCTION("""COMPUTED_VALUE"""),9722218)</f>
        <v>9722218</v>
      </c>
      <c r="O310" s="19"/>
      <c r="P310" s="19"/>
      <c r="Q310" s="19"/>
      <c r="R310" s="19"/>
      <c r="S310" s="19"/>
      <c r="T310" s="19"/>
      <c r="U310" s="19"/>
      <c r="V310" s="19"/>
      <c r="W310" s="20">
        <f ca="1">IFERROR(__xludf.DUMMYFUNCTION("""COMPUTED_VALUE"""),9722218)</f>
        <v>9722218</v>
      </c>
      <c r="X310" s="20" t="str">
        <f ca="1">IFERROR(__xludf.DUMMYFUNCTION("""COMPUTED_VALUE""")," MUNICIPALIDAD DE CONCEPCIÓN ")</f>
        <v xml:space="preserve"> MUNICIPALIDAD DE CONCEPCIÓN </v>
      </c>
    </row>
    <row r="311" spans="1:24" ht="15.75" customHeight="1" x14ac:dyDescent="0.25">
      <c r="A311" s="16" t="str">
        <f ca="1">IFERROR(__xludf.DUMMYFUNCTION("""COMPUTED_VALUE""")," REGIÓN DEL BIOBÍO ")</f>
        <v xml:space="preserve"> REGIÓN DEL BIOBÍO </v>
      </c>
      <c r="B311" s="16" t="str">
        <f t="shared" ca="1" si="1"/>
        <v xml:space="preserve"> CORONEL </v>
      </c>
      <c r="C311" s="16" t="str">
        <f ca="1">IFERROR(__xludf.DUMMYFUNCTION("""COMPUTED_VALUE""")," MEJORAMIENTO ÁREA VERDE CALLE LOS NOGALES, ENTRE LAS ENCINAS Y LOS CANELOS LAGUNILLAS 3, CORONEL ")</f>
        <v xml:space="preserve"> MEJORAMIENTO ÁREA VERDE CALLE LOS NOGALES, ENTRE LAS ENCINAS Y LOS CANELOS LAGUNILLAS 3, CORONEL </v>
      </c>
      <c r="D311" s="16" t="str">
        <f ca="1">IFERROR(__xludf.DUMMYFUNCTION("""COMPUTED_VALUE""")," 1-C-2023-1774 ")</f>
        <v xml:space="preserve"> 1-C-2023-1774 </v>
      </c>
      <c r="E311" s="16" t="str">
        <f ca="1">IFERROR(__xludf.DUMMYFUNCTION("""COMPUTED_VALUE""")," 100% Girado ")</f>
        <v xml:space="preserve"> 100% Girado </v>
      </c>
      <c r="F311" s="17">
        <f ca="1">IFERROR(__xludf.DUMMYFUNCTION("""COMPUTED_VALUE"""),45385)</f>
        <v>45385</v>
      </c>
      <c r="G311" s="16">
        <f ca="1">IFERROR(__xludf.DUMMYFUNCTION("""COMPUTED_VALUE"""),153924492)</f>
        <v>153924492</v>
      </c>
      <c r="H311" s="16" t="str">
        <f ca="1">IFERROR(__xludf.DUMMYFUNCTION("""COMPUTED_VALUE""")," 100% Girado ")</f>
        <v xml:space="preserve"> 100% Girado </v>
      </c>
      <c r="I311" s="16">
        <f ca="1">IFERROR(__xludf.DUMMYFUNCTION("""COMPUTED_VALUE"""),153924492)</f>
        <v>153924492</v>
      </c>
      <c r="J311" s="83" t="s">
        <v>48</v>
      </c>
      <c r="K311" s="16"/>
      <c r="L311" s="16"/>
      <c r="M311" s="16"/>
      <c r="N311" s="21">
        <f ca="1">IFERROR(__xludf.DUMMYFUNCTION("""COMPUTED_VALUE"""),153924492)</f>
        <v>153924492</v>
      </c>
      <c r="O311" s="19"/>
      <c r="P311" s="19"/>
      <c r="Q311" s="19"/>
      <c r="R311" s="19"/>
      <c r="S311" s="19"/>
      <c r="T311" s="19"/>
      <c r="U311" s="19"/>
      <c r="V311" s="19"/>
      <c r="W311" s="20">
        <f ca="1">IFERROR(__xludf.DUMMYFUNCTION("""COMPUTED_VALUE"""),153924492)</f>
        <v>153924492</v>
      </c>
      <c r="X311" s="20" t="str">
        <f ca="1">IFERROR(__xludf.DUMMYFUNCTION("""COMPUTED_VALUE""")," MUNICIPALIDAD DE CORONEL ")</f>
        <v xml:space="preserve"> MUNICIPALIDAD DE CORONEL </v>
      </c>
    </row>
    <row r="312" spans="1:24" ht="15.75" customHeight="1" x14ac:dyDescent="0.25">
      <c r="A312" s="16" t="str">
        <f ca="1">IFERROR(__xludf.DUMMYFUNCTION("""COMPUTED_VALUE""")," REGIÓN DEL BIOBÍO ")</f>
        <v xml:space="preserve"> REGIÓN DEL BIOBÍO </v>
      </c>
      <c r="B312" s="16" t="str">
        <f t="shared" ca="1" si="1"/>
        <v xml:space="preserve"> CONCEPCIÓN </v>
      </c>
      <c r="C312" s="16" t="str">
        <f ca="1">IFERROR(__xludf.DUMMYFUNCTION("""COMPUTED_VALUE""")," NORMALIZACIÓN SEMÁFOROS INTERSECCIONES AV. CHACABUCO CON JANEQUEO Y ONGOLMO ")</f>
        <v xml:space="preserve"> NORMALIZACIÓN SEMÁFOROS INTERSECCIONES AV. CHACABUCO CON JANEQUEO Y ONGOLMO </v>
      </c>
      <c r="D312" s="16" t="str">
        <f ca="1">IFERROR(__xludf.DUMMYFUNCTION("""COMPUTED_VALUE""")," 1-C-2023-1807 ")</f>
        <v xml:space="preserve"> 1-C-2023-1807 </v>
      </c>
      <c r="E312" s="16" t="str">
        <f ca="1">IFERROR(__xludf.DUMMYFUNCTION("""COMPUTED_VALUE""")," 100% Girado ")</f>
        <v xml:space="preserve"> 100% Girado </v>
      </c>
      <c r="F312" s="17">
        <f ca="1">IFERROR(__xludf.DUMMYFUNCTION("""COMPUTED_VALUE"""),45383)</f>
        <v>45383</v>
      </c>
      <c r="G312" s="16">
        <f ca="1">IFERROR(__xludf.DUMMYFUNCTION("""COMPUTED_VALUE"""),154114526)</f>
        <v>154114526</v>
      </c>
      <c r="H312" s="16" t="str">
        <f ca="1">IFERROR(__xludf.DUMMYFUNCTION("""COMPUTED_VALUE""")," 100% Girado ")</f>
        <v xml:space="preserve"> 100% Girado </v>
      </c>
      <c r="I312" s="16">
        <f ca="1">IFERROR(__xludf.DUMMYFUNCTION("""COMPUTED_VALUE"""),154114526)</f>
        <v>154114526</v>
      </c>
      <c r="J312" s="83" t="s">
        <v>48</v>
      </c>
      <c r="K312" s="16"/>
      <c r="L312" s="16"/>
      <c r="M312" s="16"/>
      <c r="N312" s="21">
        <f ca="1">IFERROR(__xludf.DUMMYFUNCTION("""COMPUTED_VALUE"""),154114526)</f>
        <v>154114526</v>
      </c>
      <c r="O312" s="19"/>
      <c r="P312" s="19"/>
      <c r="Q312" s="19"/>
      <c r="R312" s="19"/>
      <c r="S312" s="19"/>
      <c r="T312" s="19"/>
      <c r="U312" s="19"/>
      <c r="V312" s="19"/>
      <c r="W312" s="20">
        <f ca="1">IFERROR(__xludf.DUMMYFUNCTION("""COMPUTED_VALUE"""),154114526)</f>
        <v>154114526</v>
      </c>
      <c r="X312" s="20" t="str">
        <f ca="1">IFERROR(__xludf.DUMMYFUNCTION("""COMPUTED_VALUE""")," MUNICIPALIDAD DE CONCEPCIÓN ")</f>
        <v xml:space="preserve"> MUNICIPALIDAD DE CONCEPCIÓN </v>
      </c>
    </row>
    <row r="313" spans="1:24" ht="15.75" customHeight="1" x14ac:dyDescent="0.25">
      <c r="A313" s="16" t="str">
        <f ca="1">IFERROR(__xludf.DUMMYFUNCTION("""COMPUTED_VALUE""")," REGIÓN DEL BIOBÍO ")</f>
        <v xml:space="preserve"> REGIÓN DEL BIOBÍO </v>
      </c>
      <c r="B313" s="16" t="str">
        <f t="shared" ca="1" si="1"/>
        <v xml:space="preserve"> LOS ÁLAMOS </v>
      </c>
      <c r="C313" s="16" t="str">
        <f ca="1">IFERROR(__xludf.DUMMYFUNCTION("""COMPUTED_VALUE""")," [SATE] CONSTRUCCIÓN LUMINARIAS DIVERSOS SECTORES PANGUE Y SARA DE LEBU, LOS ÁLAMOS ")</f>
        <v xml:space="preserve"> [SATE] CONSTRUCCIÓN LUMINARIAS DIVERSOS SECTORES PANGUE Y SARA DE LEBU, LOS ÁLAMOS </v>
      </c>
      <c r="D313" s="16" t="str">
        <f ca="1">IFERROR(__xludf.DUMMYFUNCTION("""COMPUTED_VALUE""")," 1-C-2023-2020 ")</f>
        <v xml:space="preserve"> 1-C-2023-2020 </v>
      </c>
      <c r="E313" s="16" t="str">
        <f ca="1">IFERROR(__xludf.DUMMYFUNCTION("""COMPUTED_VALUE""")," 100% Girado ")</f>
        <v xml:space="preserve"> 100% Girado </v>
      </c>
      <c r="F313" s="17">
        <f ca="1">IFERROR(__xludf.DUMMYFUNCTION("""COMPUTED_VALUE"""),45401)</f>
        <v>45401</v>
      </c>
      <c r="G313" s="16">
        <f ca="1">IFERROR(__xludf.DUMMYFUNCTION("""COMPUTED_VALUE"""),149999999)</f>
        <v>149999999</v>
      </c>
      <c r="H313" s="16" t="str">
        <f ca="1">IFERROR(__xludf.DUMMYFUNCTION("""COMPUTED_VALUE""")," 100% Girado ")</f>
        <v xml:space="preserve"> 100% Girado </v>
      </c>
      <c r="I313" s="16">
        <f ca="1">IFERROR(__xludf.DUMMYFUNCTION("""COMPUTED_VALUE"""),149999999)</f>
        <v>149999999</v>
      </c>
      <c r="J313" s="83" t="s">
        <v>48</v>
      </c>
      <c r="K313" s="16"/>
      <c r="L313" s="16"/>
      <c r="M313" s="16"/>
      <c r="N313" s="21">
        <f ca="1">IFERROR(__xludf.DUMMYFUNCTION("""COMPUTED_VALUE"""),149999999)</f>
        <v>149999999</v>
      </c>
      <c r="O313" s="19"/>
      <c r="P313" s="19"/>
      <c r="Q313" s="19"/>
      <c r="R313" s="19"/>
      <c r="S313" s="19"/>
      <c r="T313" s="19"/>
      <c r="U313" s="19"/>
      <c r="V313" s="19"/>
      <c r="W313" s="20">
        <f ca="1">IFERROR(__xludf.DUMMYFUNCTION("""COMPUTED_VALUE"""),149999999)</f>
        <v>149999999</v>
      </c>
      <c r="X313" s="20" t="str">
        <f ca="1">IFERROR(__xludf.DUMMYFUNCTION("""COMPUTED_VALUE""")," MUNICIPALIDAD DE LOS ÁLAMOS ")</f>
        <v xml:space="preserve"> MUNICIPALIDAD DE LOS ÁLAMOS </v>
      </c>
    </row>
    <row r="314" spans="1:24" ht="15.75" customHeight="1" x14ac:dyDescent="0.25">
      <c r="A314" s="16" t="str">
        <f ca="1">IFERROR(__xludf.DUMMYFUNCTION("""COMPUTED_VALUE""")," REGIÓN DEL BIOBÍO ")</f>
        <v xml:space="preserve"> REGIÓN DEL BIOBÍO </v>
      </c>
      <c r="B314" s="16" t="str">
        <f t="shared" ca="1" si="1"/>
        <v xml:space="preserve"> CORONEL </v>
      </c>
      <c r="C314" s="16" t="str">
        <f ca="1">IFERROR(__xludf.DUMMYFUNCTION("""COMPUTED_VALUE""")," HABILITACIÓN ECOMERCADO SOLIDARIO CORONEL ")</f>
        <v xml:space="preserve"> HABILITACIÓN ECOMERCADO SOLIDARIO CORONEL </v>
      </c>
      <c r="D314" s="16" t="str">
        <f ca="1">IFERROR(__xludf.DUMMYFUNCTION("""COMPUTED_VALUE""")," 1-C-2023-2181 ")</f>
        <v xml:space="preserve"> 1-C-2023-2181 </v>
      </c>
      <c r="E314" s="16" t="str">
        <f ca="1">IFERROR(__xludf.DUMMYFUNCTION("""COMPUTED_VALUE""")," 100% Girado ")</f>
        <v xml:space="preserve"> 100% Girado </v>
      </c>
      <c r="F314" s="17">
        <f ca="1">IFERROR(__xludf.DUMMYFUNCTION("""COMPUTED_VALUE"""),45404)</f>
        <v>45404</v>
      </c>
      <c r="G314" s="16">
        <f ca="1">IFERROR(__xludf.DUMMYFUNCTION("""COMPUTED_VALUE"""),49999993)</f>
        <v>49999993</v>
      </c>
      <c r="H314" s="16" t="str">
        <f ca="1">IFERROR(__xludf.DUMMYFUNCTION("""COMPUTED_VALUE""")," 100% Girado ")</f>
        <v xml:space="preserve"> 100% Girado </v>
      </c>
      <c r="I314" s="16">
        <f ca="1">IFERROR(__xludf.DUMMYFUNCTION("""COMPUTED_VALUE"""),49999993)</f>
        <v>49999993</v>
      </c>
      <c r="J314" s="83" t="s">
        <v>48</v>
      </c>
      <c r="K314" s="16"/>
      <c r="L314" s="16"/>
      <c r="M314" s="16"/>
      <c r="N314" s="21">
        <f ca="1">IFERROR(__xludf.DUMMYFUNCTION("""COMPUTED_VALUE"""),49999993)</f>
        <v>49999993</v>
      </c>
      <c r="O314" s="19"/>
      <c r="P314" s="19"/>
      <c r="Q314" s="19"/>
      <c r="R314" s="19"/>
      <c r="S314" s="19"/>
      <c r="T314" s="19"/>
      <c r="U314" s="19"/>
      <c r="V314" s="19"/>
      <c r="W314" s="20">
        <f ca="1">IFERROR(__xludf.DUMMYFUNCTION("""COMPUTED_VALUE"""),49999993)</f>
        <v>49999993</v>
      </c>
      <c r="X314" s="20" t="str">
        <f ca="1">IFERROR(__xludf.DUMMYFUNCTION("""COMPUTED_VALUE""")," MUNICIPALIDAD DE CORONEL ")</f>
        <v xml:space="preserve"> MUNICIPALIDAD DE CORONEL </v>
      </c>
    </row>
    <row r="315" spans="1:24" ht="15.75" customHeight="1" x14ac:dyDescent="0.25">
      <c r="A315" s="16" t="str">
        <f ca="1">IFERROR(__xludf.DUMMYFUNCTION("""COMPUTED_VALUE""")," REGIÓN DEL BIOBÍO ")</f>
        <v xml:space="preserve"> REGIÓN DEL BIOBÍO </v>
      </c>
      <c r="B315" s="16" t="str">
        <f t="shared" ca="1" si="1"/>
        <v xml:space="preserve"> CONCEPCIÓN </v>
      </c>
      <c r="C315" s="16" t="str">
        <f ca="1">IFERROR(__xludf.DUMMYFUNCTION("""COMPUTED_VALUE""")," MEJORAMIENTO Y AMPLIACIÓN DE ÁREA VERDE SOBRE TERRENO EQUIPAMIENTO, LAS MONJAS ")</f>
        <v xml:space="preserve"> MEJORAMIENTO Y AMPLIACIÓN DE ÁREA VERDE SOBRE TERRENO EQUIPAMIENTO, LAS MONJAS </v>
      </c>
      <c r="D315" s="16" t="str">
        <f ca="1">IFERROR(__xludf.DUMMYFUNCTION("""COMPUTED_VALUE""")," 1-C-2023-2793 ")</f>
        <v xml:space="preserve"> 1-C-2023-2793 </v>
      </c>
      <c r="E315" s="16" t="str">
        <f ca="1">IFERROR(__xludf.DUMMYFUNCTION("""COMPUTED_VALUE""")," 100% Girado ")</f>
        <v xml:space="preserve"> 100% Girado </v>
      </c>
      <c r="F315" s="17">
        <f ca="1">IFERROR(__xludf.DUMMYFUNCTION("""COMPUTED_VALUE"""),45379)</f>
        <v>45379</v>
      </c>
      <c r="G315" s="16">
        <f ca="1">IFERROR(__xludf.DUMMYFUNCTION("""COMPUTED_VALUE"""),149454995)</f>
        <v>149454995</v>
      </c>
      <c r="H315" s="16" t="str">
        <f ca="1">IFERROR(__xludf.DUMMYFUNCTION("""COMPUTED_VALUE""")," 100% Girado ")</f>
        <v xml:space="preserve"> 100% Girado </v>
      </c>
      <c r="I315" s="16">
        <f ca="1">IFERROR(__xludf.DUMMYFUNCTION("""COMPUTED_VALUE"""),149454995)</f>
        <v>149454995</v>
      </c>
      <c r="J315" s="83" t="s">
        <v>48</v>
      </c>
      <c r="K315" s="16"/>
      <c r="L315" s="16"/>
      <c r="M315" s="16"/>
      <c r="N315" s="21">
        <f ca="1">IFERROR(__xludf.DUMMYFUNCTION("""COMPUTED_VALUE"""),149454995)</f>
        <v>149454995</v>
      </c>
      <c r="O315" s="19"/>
      <c r="P315" s="19"/>
      <c r="Q315" s="19"/>
      <c r="R315" s="19"/>
      <c r="S315" s="19"/>
      <c r="T315" s="19"/>
      <c r="U315" s="19"/>
      <c r="V315" s="19"/>
      <c r="W315" s="20">
        <f ca="1">IFERROR(__xludf.DUMMYFUNCTION("""COMPUTED_VALUE"""),149454995)</f>
        <v>149454995</v>
      </c>
      <c r="X315" s="20" t="str">
        <f ca="1">IFERROR(__xludf.DUMMYFUNCTION("""COMPUTED_VALUE""")," MUNICIPALIDAD DE CONCEPCIÓN ")</f>
        <v xml:space="preserve"> MUNICIPALIDAD DE CONCEPCIÓN </v>
      </c>
    </row>
    <row r="316" spans="1:24" ht="15.75" customHeight="1" x14ac:dyDescent="0.25">
      <c r="A316" s="16" t="str">
        <f ca="1">IFERROR(__xludf.DUMMYFUNCTION("""COMPUTED_VALUE""")," REGIÓN DEL BIOBÍO ")</f>
        <v xml:space="preserve"> REGIÓN DEL BIOBÍO </v>
      </c>
      <c r="B316" s="16" t="str">
        <f t="shared" ca="1" si="1"/>
        <v xml:space="preserve"> CORONEL </v>
      </c>
      <c r="C316" s="16" t="str">
        <f ca="1">IFERROR(__xludf.DUMMYFUNCTION("""COMPUTED_VALUE""")," MEJORAMIENTO PASEO MONTT - BANNEN - LAUTARO, CORONEL ")</f>
        <v xml:space="preserve"> MEJORAMIENTO PASEO MONTT - BANNEN - LAUTARO, CORONEL </v>
      </c>
      <c r="D316" s="16" t="str">
        <f ca="1">IFERROR(__xludf.DUMMYFUNCTION("""COMPUTED_VALUE""")," 1-C-2023-2834 ")</f>
        <v xml:space="preserve"> 1-C-2023-2834 </v>
      </c>
      <c r="E316" s="16" t="str">
        <f ca="1">IFERROR(__xludf.DUMMYFUNCTION("""COMPUTED_VALUE""")," 100% Girado ")</f>
        <v xml:space="preserve"> 100% Girado </v>
      </c>
      <c r="F316" s="17">
        <f ca="1">IFERROR(__xludf.DUMMYFUNCTION("""COMPUTED_VALUE"""),45404)</f>
        <v>45404</v>
      </c>
      <c r="G316" s="16">
        <f ca="1">IFERROR(__xludf.DUMMYFUNCTION("""COMPUTED_VALUE"""),153776521)</f>
        <v>153776521</v>
      </c>
      <c r="H316" s="16" t="str">
        <f ca="1">IFERROR(__xludf.DUMMYFUNCTION("""COMPUTED_VALUE""")," 100% Girado ")</f>
        <v xml:space="preserve"> 100% Girado </v>
      </c>
      <c r="I316" s="16">
        <f ca="1">IFERROR(__xludf.DUMMYFUNCTION("""COMPUTED_VALUE"""),153776521)</f>
        <v>153776521</v>
      </c>
      <c r="J316" s="83" t="s">
        <v>48</v>
      </c>
      <c r="K316" s="16"/>
      <c r="L316" s="16"/>
      <c r="M316" s="16"/>
      <c r="N316" s="21">
        <f ca="1">IFERROR(__xludf.DUMMYFUNCTION("""COMPUTED_VALUE"""),153776521)</f>
        <v>153776521</v>
      </c>
      <c r="O316" s="19"/>
      <c r="P316" s="19"/>
      <c r="Q316" s="19"/>
      <c r="R316" s="19"/>
      <c r="S316" s="19"/>
      <c r="T316" s="19"/>
      <c r="U316" s="19"/>
      <c r="V316" s="19"/>
      <c r="W316" s="20">
        <f ca="1">IFERROR(__xludf.DUMMYFUNCTION("""COMPUTED_VALUE"""),153776521)</f>
        <v>153776521</v>
      </c>
      <c r="X316" s="20" t="str">
        <f ca="1">IFERROR(__xludf.DUMMYFUNCTION("""COMPUTED_VALUE""")," MUNICIPALIDAD DE CORONEL ")</f>
        <v xml:space="preserve"> MUNICIPALIDAD DE CORONEL </v>
      </c>
    </row>
    <row r="317" spans="1:24" ht="15.75" customHeight="1" x14ac:dyDescent="0.25">
      <c r="A317" s="16" t="str">
        <f ca="1">IFERROR(__xludf.DUMMYFUNCTION("""COMPUTED_VALUE""")," REGIÓN DEL BIOBÍO ")</f>
        <v xml:space="preserve"> REGIÓN DEL BIOBÍO </v>
      </c>
      <c r="B317" s="16" t="str">
        <f t="shared" ca="1" si="1"/>
        <v xml:space="preserve"> CORONEL </v>
      </c>
      <c r="C317" s="16" t="str">
        <f ca="1">IFERROR(__xludf.DUMMYFUNCTION("""COMPUTED_VALUE""")," MEJORAMIENTO ILUMINACION PEATONAL ENTORNO PLAZA, CORONEL ")</f>
        <v xml:space="preserve"> MEJORAMIENTO ILUMINACION PEATONAL ENTORNO PLAZA, CORONEL </v>
      </c>
      <c r="D317" s="16" t="str">
        <f ca="1">IFERROR(__xludf.DUMMYFUNCTION("""COMPUTED_VALUE""")," 1-C-2023-2835 ")</f>
        <v xml:space="preserve"> 1-C-2023-2835 </v>
      </c>
      <c r="E317" s="16" t="str">
        <f ca="1">IFERROR(__xludf.DUMMYFUNCTION("""COMPUTED_VALUE""")," 100% Girado ")</f>
        <v xml:space="preserve"> 100% Girado </v>
      </c>
      <c r="F317" s="17">
        <f ca="1">IFERROR(__xludf.DUMMYFUNCTION("""COMPUTED_VALUE"""),45404)</f>
        <v>45404</v>
      </c>
      <c r="G317" s="16">
        <f ca="1">IFERROR(__xludf.DUMMYFUNCTION("""COMPUTED_VALUE"""),119597826)</f>
        <v>119597826</v>
      </c>
      <c r="H317" s="16" t="str">
        <f ca="1">IFERROR(__xludf.DUMMYFUNCTION("""COMPUTED_VALUE""")," 100% Girado ")</f>
        <v xml:space="preserve"> 100% Girado </v>
      </c>
      <c r="I317" s="16">
        <f ca="1">IFERROR(__xludf.DUMMYFUNCTION("""COMPUTED_VALUE"""),119597826)</f>
        <v>119597826</v>
      </c>
      <c r="J317" s="83" t="s">
        <v>48</v>
      </c>
      <c r="K317" s="16"/>
      <c r="L317" s="16"/>
      <c r="M317" s="16"/>
      <c r="N317" s="21">
        <f ca="1">IFERROR(__xludf.DUMMYFUNCTION("""COMPUTED_VALUE"""),119597826)</f>
        <v>119597826</v>
      </c>
      <c r="O317" s="19"/>
      <c r="P317" s="19"/>
      <c r="Q317" s="19"/>
      <c r="R317" s="19"/>
      <c r="S317" s="19"/>
      <c r="T317" s="19"/>
      <c r="U317" s="19"/>
      <c r="V317" s="19"/>
      <c r="W317" s="20">
        <f ca="1">IFERROR(__xludf.DUMMYFUNCTION("""COMPUTED_VALUE"""),119597826)</f>
        <v>119597826</v>
      </c>
      <c r="X317" s="20" t="str">
        <f ca="1">IFERROR(__xludf.DUMMYFUNCTION("""COMPUTED_VALUE""")," MUNICIPALIDAD DE CORONEL ")</f>
        <v xml:space="preserve"> MUNICIPALIDAD DE CORONEL </v>
      </c>
    </row>
    <row r="318" spans="1:24" ht="15.75" customHeight="1" x14ac:dyDescent="0.25">
      <c r="A318" s="16" t="str">
        <f ca="1">IFERROR(__xludf.DUMMYFUNCTION("""COMPUTED_VALUE""")," REGIÓN DEL BIOBÍO ")</f>
        <v xml:space="preserve"> REGIÓN DEL BIOBÍO </v>
      </c>
      <c r="B318" s="16" t="str">
        <f t="shared" ca="1" si="1"/>
        <v xml:space="preserve"> LOS ÁLAMOS </v>
      </c>
      <c r="C318" s="16" t="str">
        <f ca="1">IFERROR(__xludf.DUMMYFUNCTION("""COMPUTED_VALUE""")," MEJORAMIENTO PLATABANDA ACERA CALLE MATADERO LADO OESTE, LOS ÁLAMOS ")</f>
        <v xml:space="preserve"> MEJORAMIENTO PLATABANDA ACERA CALLE MATADERO LADO OESTE, LOS ÁLAMOS </v>
      </c>
      <c r="D318" s="16" t="str">
        <f ca="1">IFERROR(__xludf.DUMMYFUNCTION("""COMPUTED_VALUE""")," 1-C-2024-407 ")</f>
        <v xml:space="preserve"> 1-C-2024-407 </v>
      </c>
      <c r="E318" s="16" t="str">
        <f ca="1">IFERROR(__xludf.DUMMYFUNCTION("""COMPUTED_VALUE""")," 100% Girado ")</f>
        <v xml:space="preserve"> 100% Girado </v>
      </c>
      <c r="F318" s="17">
        <f ca="1">IFERROR(__xludf.DUMMYFUNCTION("""COMPUTED_VALUE"""),45394)</f>
        <v>45394</v>
      </c>
      <c r="G318" s="16">
        <f ca="1">IFERROR(__xludf.DUMMYFUNCTION("""COMPUTED_VALUE"""),161372689)</f>
        <v>161372689</v>
      </c>
      <c r="H318" s="16" t="str">
        <f ca="1">IFERROR(__xludf.DUMMYFUNCTION("""COMPUTED_VALUE""")," 100% Girado ")</f>
        <v xml:space="preserve"> 100% Girado </v>
      </c>
      <c r="I318" s="16">
        <f ca="1">IFERROR(__xludf.DUMMYFUNCTION("""COMPUTED_VALUE"""),161372689)</f>
        <v>161372689</v>
      </c>
      <c r="J318" s="83" t="s">
        <v>48</v>
      </c>
      <c r="K318" s="16"/>
      <c r="L318" s="16"/>
      <c r="M318" s="16"/>
      <c r="N318" s="21">
        <f ca="1">IFERROR(__xludf.DUMMYFUNCTION("""COMPUTED_VALUE"""),161372689)</f>
        <v>161372689</v>
      </c>
      <c r="O318" s="19"/>
      <c r="P318" s="19"/>
      <c r="Q318" s="19"/>
      <c r="R318" s="19"/>
      <c r="S318" s="19"/>
      <c r="T318" s="19"/>
      <c r="U318" s="19"/>
      <c r="V318" s="19"/>
      <c r="W318" s="20">
        <f ca="1">IFERROR(__xludf.DUMMYFUNCTION("""COMPUTED_VALUE"""),161372689)</f>
        <v>161372689</v>
      </c>
      <c r="X318" s="20" t="str">
        <f ca="1">IFERROR(__xludf.DUMMYFUNCTION("""COMPUTED_VALUE""")," MUNICIPALIDAD DE LOS ÁLAMOS ")</f>
        <v xml:space="preserve"> MUNICIPALIDAD DE LOS ÁLAMOS </v>
      </c>
    </row>
    <row r="319" spans="1:24" ht="15.75" customHeight="1" x14ac:dyDescent="0.25">
      <c r="A319" s="16" t="str">
        <f ca="1">IFERROR(__xludf.DUMMYFUNCTION("""COMPUTED_VALUE""")," REGIÓN DEL BIOBÍO ")</f>
        <v xml:space="preserve"> REGIÓN DEL BIOBÍO </v>
      </c>
      <c r="B319" s="16" t="str">
        <f t="shared" ca="1" si="1"/>
        <v xml:space="preserve"> LOS ÁLAMOS </v>
      </c>
      <c r="C319" s="16" t="str">
        <f ca="1">IFERROR(__xludf.DUMMYFUNCTION("""COMPUTED_VALUE""")," MEJORAMIENTO PLATABANDA ACERA CALLE COLON, PEDRO DE VALDIVIA Y MATADERO, LOS ALAMOS ")</f>
        <v xml:space="preserve"> MEJORAMIENTO PLATABANDA ACERA CALLE COLON, PEDRO DE VALDIVIA Y MATADERO, LOS ALAMOS </v>
      </c>
      <c r="D319" s="16" t="str">
        <f ca="1">IFERROR(__xludf.DUMMYFUNCTION("""COMPUTED_VALUE""")," 1-C-2024-408 ")</f>
        <v xml:space="preserve"> 1-C-2024-408 </v>
      </c>
      <c r="E319" s="16" t="str">
        <f ca="1">IFERROR(__xludf.DUMMYFUNCTION("""COMPUTED_VALUE""")," 100% Girado ")</f>
        <v xml:space="preserve"> 100% Girado </v>
      </c>
      <c r="F319" s="17">
        <f ca="1">IFERROR(__xludf.DUMMYFUNCTION("""COMPUTED_VALUE"""),45394)</f>
        <v>45394</v>
      </c>
      <c r="G319" s="16">
        <f ca="1">IFERROR(__xludf.DUMMYFUNCTION("""COMPUTED_VALUE"""),161622627)</f>
        <v>161622627</v>
      </c>
      <c r="H319" s="16" t="str">
        <f ca="1">IFERROR(__xludf.DUMMYFUNCTION("""COMPUTED_VALUE""")," 100% Girado ")</f>
        <v xml:space="preserve"> 100% Girado </v>
      </c>
      <c r="I319" s="16">
        <f ca="1">IFERROR(__xludf.DUMMYFUNCTION("""COMPUTED_VALUE"""),161622627)</f>
        <v>161622627</v>
      </c>
      <c r="J319" s="83" t="s">
        <v>48</v>
      </c>
      <c r="K319" s="16"/>
      <c r="L319" s="16"/>
      <c r="M319" s="16"/>
      <c r="N319" s="21">
        <f ca="1">IFERROR(__xludf.DUMMYFUNCTION("""COMPUTED_VALUE"""),161622627)</f>
        <v>161622627</v>
      </c>
      <c r="O319" s="19"/>
      <c r="P319" s="19"/>
      <c r="Q319" s="19"/>
      <c r="R319" s="19"/>
      <c r="S319" s="19"/>
      <c r="T319" s="19"/>
      <c r="U319" s="19"/>
      <c r="V319" s="19"/>
      <c r="W319" s="20">
        <f ca="1">IFERROR(__xludf.DUMMYFUNCTION("""COMPUTED_VALUE"""),161622627)</f>
        <v>161622627</v>
      </c>
      <c r="X319" s="20" t="str">
        <f ca="1">IFERROR(__xludf.DUMMYFUNCTION("""COMPUTED_VALUE""")," MUNICIPALIDAD DE LOS ÁLAMOS ")</f>
        <v xml:space="preserve"> MUNICIPALIDAD DE LOS ÁLAMOS </v>
      </c>
    </row>
    <row r="320" spans="1:24" ht="15.75" customHeight="1" x14ac:dyDescent="0.25">
      <c r="A320" s="16" t="str">
        <f ca="1">IFERROR(__xludf.DUMMYFUNCTION("""COMPUTED_VALUE""")," REGIÓN DEL BIOBÍO ")</f>
        <v xml:space="preserve"> REGIÓN DEL BIOBÍO </v>
      </c>
      <c r="B320" s="16" t="str">
        <f t="shared" ca="1" si="1"/>
        <v xml:space="preserve"> LOS ÁLAMOS </v>
      </c>
      <c r="C320" s="16" t="str">
        <f ca="1">IFERROR(__xludf.DUMMYFUNCTION("""COMPUTED_VALUE""")," MEJORAMIENTO PLATABANDA ACERA CALLE PILPILCO CERRO ALTO, LOS ÁLAMOS ")</f>
        <v xml:space="preserve"> MEJORAMIENTO PLATABANDA ACERA CALLE PILPILCO CERRO ALTO, LOS ÁLAMOS </v>
      </c>
      <c r="D320" s="16" t="str">
        <f ca="1">IFERROR(__xludf.DUMMYFUNCTION("""COMPUTED_VALUE""")," 1-C-2024-409 ")</f>
        <v xml:space="preserve"> 1-C-2024-409 </v>
      </c>
      <c r="E320" s="16" t="str">
        <f ca="1">IFERROR(__xludf.DUMMYFUNCTION("""COMPUTED_VALUE""")," 100% Girado ")</f>
        <v xml:space="preserve"> 100% Girado </v>
      </c>
      <c r="F320" s="17">
        <f ca="1">IFERROR(__xludf.DUMMYFUNCTION("""COMPUTED_VALUE"""),45394)</f>
        <v>45394</v>
      </c>
      <c r="G320" s="16">
        <f ca="1">IFERROR(__xludf.DUMMYFUNCTION("""COMPUTED_VALUE"""),159509991)</f>
        <v>159509991</v>
      </c>
      <c r="H320" s="16" t="str">
        <f ca="1">IFERROR(__xludf.DUMMYFUNCTION("""COMPUTED_VALUE""")," 100% Girado ")</f>
        <v xml:space="preserve"> 100% Girado </v>
      </c>
      <c r="I320" s="16">
        <f ca="1">IFERROR(__xludf.DUMMYFUNCTION("""COMPUTED_VALUE"""),159509991)</f>
        <v>159509991</v>
      </c>
      <c r="J320" s="83" t="s">
        <v>48</v>
      </c>
      <c r="K320" s="16"/>
      <c r="L320" s="16"/>
      <c r="M320" s="16"/>
      <c r="N320" s="21">
        <f ca="1">IFERROR(__xludf.DUMMYFUNCTION("""COMPUTED_VALUE"""),159509991)</f>
        <v>159509991</v>
      </c>
      <c r="O320" s="19"/>
      <c r="P320" s="19"/>
      <c r="Q320" s="19"/>
      <c r="R320" s="19"/>
      <c r="S320" s="19"/>
      <c r="T320" s="19"/>
      <c r="U320" s="19"/>
      <c r="V320" s="19"/>
      <c r="W320" s="20">
        <f ca="1">IFERROR(__xludf.DUMMYFUNCTION("""COMPUTED_VALUE"""),159509991)</f>
        <v>159509991</v>
      </c>
      <c r="X320" s="20" t="str">
        <f ca="1">IFERROR(__xludf.DUMMYFUNCTION("""COMPUTED_VALUE""")," MUNICIPALIDAD DE LOS ÁLAMOS ")</f>
        <v xml:space="preserve"> MUNICIPALIDAD DE LOS ÁLAMOS </v>
      </c>
    </row>
    <row r="321" spans="1:24" ht="15.75" customHeight="1" x14ac:dyDescent="0.25">
      <c r="A321" s="16" t="str">
        <f ca="1">IFERROR(__xludf.DUMMYFUNCTION("""COMPUTED_VALUE""")," REGIÓN DEL BIOBÍO ")</f>
        <v xml:space="preserve"> REGIÓN DEL BIOBÍO </v>
      </c>
      <c r="B321" s="16" t="str">
        <f t="shared" ca="1" si="1"/>
        <v xml:space="preserve"> CURANILAHUE </v>
      </c>
      <c r="C321" s="16" t="str">
        <f ca="1">IFERROR(__xludf.DUMMYFUNCTION("""COMPUTED_VALUE""")," RECUPERACIÓN PLAZOLETA E INSTALACIÓN DE MOSAICOS EN MURO CALLE ARAUCO ")</f>
        <v xml:space="preserve"> RECUPERACIÓN PLAZOLETA E INSTALACIÓN DE MOSAICOS EN MURO CALLE ARAUCO </v>
      </c>
      <c r="D321" s="16" t="str">
        <f ca="1">IFERROR(__xludf.DUMMYFUNCTION("""COMPUTED_VALUE""")," 1-C-2024-426 ")</f>
        <v xml:space="preserve"> 1-C-2024-426 </v>
      </c>
      <c r="E321" s="16" t="str">
        <f ca="1">IFERROR(__xludf.DUMMYFUNCTION("""COMPUTED_VALUE""")," 100% Girado ")</f>
        <v xml:space="preserve"> 100% Girado </v>
      </c>
      <c r="F321" s="17">
        <f ca="1">IFERROR(__xludf.DUMMYFUNCTION("""COMPUTED_VALUE"""),45387)</f>
        <v>45387</v>
      </c>
      <c r="G321" s="16">
        <f ca="1">IFERROR(__xludf.DUMMYFUNCTION("""COMPUTED_VALUE"""),99110964)</f>
        <v>99110964</v>
      </c>
      <c r="H321" s="16" t="str">
        <f ca="1">IFERROR(__xludf.DUMMYFUNCTION("""COMPUTED_VALUE""")," 100% Girado ")</f>
        <v xml:space="preserve"> 100% Girado </v>
      </c>
      <c r="I321" s="16">
        <f ca="1">IFERROR(__xludf.DUMMYFUNCTION("""COMPUTED_VALUE"""),99110964)</f>
        <v>99110964</v>
      </c>
      <c r="J321" s="83" t="s">
        <v>48</v>
      </c>
      <c r="K321" s="16"/>
      <c r="L321" s="16"/>
      <c r="M321" s="16"/>
      <c r="N321" s="21">
        <f ca="1">IFERROR(__xludf.DUMMYFUNCTION("""COMPUTED_VALUE"""),99110964)</f>
        <v>99110964</v>
      </c>
      <c r="O321" s="19"/>
      <c r="P321" s="19"/>
      <c r="Q321" s="19"/>
      <c r="R321" s="19"/>
      <c r="S321" s="19"/>
      <c r="T321" s="19"/>
      <c r="U321" s="19"/>
      <c r="V321" s="19"/>
      <c r="W321" s="20">
        <f ca="1">IFERROR(__xludf.DUMMYFUNCTION("""COMPUTED_VALUE"""),99110964)</f>
        <v>99110964</v>
      </c>
      <c r="X321" s="20" t="str">
        <f ca="1">IFERROR(__xludf.DUMMYFUNCTION("""COMPUTED_VALUE""")," MUNICIPALIDAD DE CURANILAHUE ")</f>
        <v xml:space="preserve"> MUNICIPALIDAD DE CURANILAHUE </v>
      </c>
    </row>
    <row r="322" spans="1:24" ht="15.75" customHeight="1" x14ac:dyDescent="0.25">
      <c r="A322" s="16" t="str">
        <f ca="1">IFERROR(__xludf.DUMMYFUNCTION("""COMPUTED_VALUE""")," REGIÓN DEL BIOBÍO ")</f>
        <v xml:space="preserve"> REGIÓN DEL BIOBÍO </v>
      </c>
      <c r="B322" s="16" t="str">
        <f t="shared" ca="1" si="1"/>
        <v xml:space="preserve"> CURANILAHUE </v>
      </c>
      <c r="C322" s="16" t="str">
        <f ca="1">IFERROR(__xludf.DUMMYFUNCTION("""COMPUTED_VALUE""")," MEJORAMIENTO MURO E INSTALACIÓN DE MOSAICOS EN AV. EDUARDO FREI ENTRE S. ALDEA Y PJE. F. REYES Y MEJORAMIENTO ESP. PUBLICO AV. EDUARDO FREI ALT. 1060 ")</f>
        <v xml:space="preserve"> MEJORAMIENTO MURO E INSTALACIÓN DE MOSAICOS EN AV. EDUARDO FREI ENTRE S. ALDEA Y PJE. F. REYES Y MEJORAMIENTO ESP. PUBLICO AV. EDUARDO FREI ALT. 1060 </v>
      </c>
      <c r="D322" s="16" t="str">
        <f ca="1">IFERROR(__xludf.DUMMYFUNCTION("""COMPUTED_VALUE""")," 1-C-2024-427 ")</f>
        <v xml:space="preserve"> 1-C-2024-427 </v>
      </c>
      <c r="E322" s="16" t="str">
        <f ca="1">IFERROR(__xludf.DUMMYFUNCTION("""COMPUTED_VALUE""")," 100% Girado ")</f>
        <v xml:space="preserve"> 100% Girado </v>
      </c>
      <c r="F322" s="17">
        <f ca="1">IFERROR(__xludf.DUMMYFUNCTION("""COMPUTED_VALUE"""),45394)</f>
        <v>45394</v>
      </c>
      <c r="G322" s="16">
        <f ca="1">IFERROR(__xludf.DUMMYFUNCTION("""COMPUTED_VALUE"""),106661978)</f>
        <v>106661978</v>
      </c>
      <c r="H322" s="16" t="str">
        <f ca="1">IFERROR(__xludf.DUMMYFUNCTION("""COMPUTED_VALUE""")," 100% Girado ")</f>
        <v xml:space="preserve"> 100% Girado </v>
      </c>
      <c r="I322" s="16">
        <f ca="1">IFERROR(__xludf.DUMMYFUNCTION("""COMPUTED_VALUE"""),106661978)</f>
        <v>106661978</v>
      </c>
      <c r="J322" s="83" t="s">
        <v>48</v>
      </c>
      <c r="K322" s="16"/>
      <c r="L322" s="16"/>
      <c r="M322" s="16"/>
      <c r="N322" s="21">
        <f ca="1">IFERROR(__xludf.DUMMYFUNCTION("""COMPUTED_VALUE"""),106661978)</f>
        <v>106661978</v>
      </c>
      <c r="O322" s="19"/>
      <c r="P322" s="19"/>
      <c r="Q322" s="19"/>
      <c r="R322" s="19"/>
      <c r="S322" s="19"/>
      <c r="T322" s="19"/>
      <c r="U322" s="19"/>
      <c r="V322" s="19"/>
      <c r="W322" s="20">
        <f ca="1">IFERROR(__xludf.DUMMYFUNCTION("""COMPUTED_VALUE"""),106661978)</f>
        <v>106661978</v>
      </c>
      <c r="X322" s="20" t="str">
        <f ca="1">IFERROR(__xludf.DUMMYFUNCTION("""COMPUTED_VALUE""")," MUNICIPALIDAD DE CURANILAHUE ")</f>
        <v xml:space="preserve"> MUNICIPALIDAD DE CURANILAHUE </v>
      </c>
    </row>
    <row r="323" spans="1:24" ht="15.75" customHeight="1" x14ac:dyDescent="0.25">
      <c r="A323" s="16" t="str">
        <f ca="1">IFERROR(__xludf.DUMMYFUNCTION("""COMPUTED_VALUE""")," REGIÓN DE LA ARAUCANÍA ")</f>
        <v xml:space="preserve"> REGIÓN DE LA ARAUCANÍA </v>
      </c>
      <c r="B323" s="16" t="str">
        <f t="shared" ca="1" si="1"/>
        <v xml:space="preserve"> CURACAUTÍN </v>
      </c>
      <c r="C323" s="16" t="str">
        <f ca="1">IFERROR(__xludf.DUMMYFUNCTION("""COMPUTED_VALUE""")," CONSTRUCCIÓN SISTEMA FOTOVOLTAICO ESC. RAMÓN RAMÍREZ DE MALALCAHUELLO, COMUNA CURACAUTÍN ")</f>
        <v xml:space="preserve"> CONSTRUCCIÓN SISTEMA FOTOVOLTAICO ESC. RAMÓN RAMÍREZ DE MALALCAHUELLO, COMUNA CURACAUTÍN </v>
      </c>
      <c r="D323" s="16" t="str">
        <f ca="1">IFERROR(__xludf.DUMMYFUNCTION("""COMPUTED_VALUE""")," 1-C-2018-1310 ")</f>
        <v xml:space="preserve"> 1-C-2018-1310 </v>
      </c>
      <c r="E323" s="16" t="str">
        <f ca="1">IFERROR(__xludf.DUMMYFUNCTION("""COMPUTED_VALUE""")," 100% Girado ")</f>
        <v xml:space="preserve"> 100% Girado </v>
      </c>
      <c r="F323" s="17">
        <f ca="1">IFERROR(__xludf.DUMMYFUNCTION("""COMPUTED_VALUE"""),44186)</f>
        <v>44186</v>
      </c>
      <c r="G323" s="16">
        <f ca="1">IFERROR(__xludf.DUMMYFUNCTION("""COMPUTED_VALUE"""),59970000)</f>
        <v>59970000</v>
      </c>
      <c r="H323" s="16" t="str">
        <f ca="1">IFERROR(__xludf.DUMMYFUNCTION("""COMPUTED_VALUE""")," 100% Girado ")</f>
        <v xml:space="preserve"> 100% Girado </v>
      </c>
      <c r="I323" s="16">
        <f ca="1">IFERROR(__xludf.DUMMYFUNCTION("""COMPUTED_VALUE"""),17987025)</f>
        <v>17987025</v>
      </c>
      <c r="J323" s="83" t="s">
        <v>48</v>
      </c>
      <c r="K323" s="16"/>
      <c r="L323" s="16"/>
      <c r="M323" s="16"/>
      <c r="N323" s="21">
        <f ca="1">IFERROR(__xludf.DUMMYFUNCTION("""COMPUTED_VALUE"""),17987025)</f>
        <v>17987025</v>
      </c>
      <c r="O323" s="19"/>
      <c r="P323" s="19"/>
      <c r="Q323" s="19"/>
      <c r="R323" s="19"/>
      <c r="S323" s="19"/>
      <c r="T323" s="19"/>
      <c r="U323" s="19"/>
      <c r="V323" s="19"/>
      <c r="W323" s="20">
        <f ca="1">IFERROR(__xludf.DUMMYFUNCTION("""COMPUTED_VALUE"""),17987025)</f>
        <v>17987025</v>
      </c>
      <c r="X323" s="20" t="str">
        <f ca="1">IFERROR(__xludf.DUMMYFUNCTION("""COMPUTED_VALUE""")," MUNICIPALIDAD DE CURACAUTÍN ")</f>
        <v xml:space="preserve"> MUNICIPALIDAD DE CURACAUTÍN </v>
      </c>
    </row>
    <row r="324" spans="1:24" ht="15.75" customHeight="1" x14ac:dyDescent="0.25">
      <c r="A324" s="16" t="str">
        <f ca="1">IFERROR(__xludf.DUMMYFUNCTION("""COMPUTED_VALUE""")," REGIÓN DE LA ARAUCANÍA ")</f>
        <v xml:space="preserve"> REGIÓN DE LA ARAUCANÍA </v>
      </c>
      <c r="B324" s="16" t="str">
        <f t="shared" ca="1" si="1"/>
        <v xml:space="preserve"> CURARREHUE </v>
      </c>
      <c r="C324" s="16" t="str">
        <f ca="1">IFERROR(__xludf.DUMMYFUNCTION("""COMPUTED_VALUE""")," MEJORAMIENTO CEMENTERIO REIGOLIL ")</f>
        <v xml:space="preserve"> MEJORAMIENTO CEMENTERIO REIGOLIL </v>
      </c>
      <c r="D324" s="16" t="str">
        <f ca="1">IFERROR(__xludf.DUMMYFUNCTION("""COMPUTED_VALUE""")," 1-C-2019-364 ")</f>
        <v xml:space="preserve"> 1-C-2019-364 </v>
      </c>
      <c r="E324" s="16" t="str">
        <f ca="1">IFERROR(__xludf.DUMMYFUNCTION("""COMPUTED_VALUE""")," En Ejecución ")</f>
        <v xml:space="preserve"> En Ejecución </v>
      </c>
      <c r="F324" s="17">
        <f ca="1">IFERROR(__xludf.DUMMYFUNCTION("""COMPUTED_VALUE"""),44158)</f>
        <v>44158</v>
      </c>
      <c r="G324" s="16">
        <f ca="1">IFERROR(__xludf.DUMMYFUNCTION("""COMPUTED_VALUE"""),59957102)</f>
        <v>59957102</v>
      </c>
      <c r="H324" s="16" t="str">
        <f ca="1">IFERROR(__xludf.DUMMYFUNCTION("""COMPUTED_VALUE""")," En Ejecución ")</f>
        <v xml:space="preserve"> En Ejecución </v>
      </c>
      <c r="I324" s="16">
        <f ca="1">IFERROR(__xludf.DUMMYFUNCTION("""COMPUTED_VALUE"""),41969966)</f>
        <v>41969966</v>
      </c>
      <c r="J324" s="83" t="s">
        <v>48</v>
      </c>
      <c r="K324" s="16"/>
      <c r="L324" s="16"/>
      <c r="M324" s="16"/>
      <c r="N324" s="21">
        <f ca="1">IFERROR(__xludf.DUMMYFUNCTION("""COMPUTED_VALUE"""),41969966)</f>
        <v>41969966</v>
      </c>
      <c r="O324" s="19"/>
      <c r="P324" s="19"/>
      <c r="Q324" s="19"/>
      <c r="R324" s="19"/>
      <c r="S324" s="19"/>
      <c r="T324" s="19"/>
      <c r="U324" s="19"/>
      <c r="V324" s="19"/>
      <c r="W324" s="20">
        <f ca="1">IFERROR(__xludf.DUMMYFUNCTION("""COMPUTED_VALUE"""),41969966)</f>
        <v>41969966</v>
      </c>
      <c r="X324" s="20" t="str">
        <f ca="1">IFERROR(__xludf.DUMMYFUNCTION("""COMPUTED_VALUE""")," MUNICIPALIDAD DE CURARREHUE ")</f>
        <v xml:space="preserve"> MUNICIPALIDAD DE CURARREHUE </v>
      </c>
    </row>
    <row r="325" spans="1:24" ht="15.75" customHeight="1" x14ac:dyDescent="0.25">
      <c r="A325" s="16" t="str">
        <f ca="1">IFERROR(__xludf.DUMMYFUNCTION("""COMPUTED_VALUE""")," REGIÓN DE LA ARAUCANÍA ")</f>
        <v xml:space="preserve"> REGIÓN DE LA ARAUCANÍA </v>
      </c>
      <c r="B325" s="16" t="str">
        <f t="shared" ca="1" si="1"/>
        <v xml:space="preserve"> VILLARRICA </v>
      </c>
      <c r="C325" s="16" t="str">
        <f ca="1">IFERROR(__xludf.DUMMYFUNCTION("""COMPUTED_VALUE""")," MEJORAMIENTO EDIFICIO MUNICIPAL MONTT ")</f>
        <v xml:space="preserve"> MEJORAMIENTO EDIFICIO MUNICIPAL MONTT </v>
      </c>
      <c r="D325" s="16" t="str">
        <f ca="1">IFERROR(__xludf.DUMMYFUNCTION("""COMPUTED_VALUE""")," 1-C-2021-303 ")</f>
        <v xml:space="preserve"> 1-C-2021-303 </v>
      </c>
      <c r="E325" s="16" t="str">
        <f ca="1">IFERROR(__xludf.DUMMYFUNCTION("""COMPUTED_VALUE""")," En Ejecución ")</f>
        <v xml:space="preserve"> En Ejecución </v>
      </c>
      <c r="F325" s="17">
        <f ca="1">IFERROR(__xludf.DUMMYFUNCTION("""COMPUTED_VALUE"""),44434)</f>
        <v>44434</v>
      </c>
      <c r="G325" s="16">
        <f ca="1">IFERROR(__xludf.DUMMYFUNCTION("""COMPUTED_VALUE"""),54850524)</f>
        <v>54850524</v>
      </c>
      <c r="H325" s="16" t="str">
        <f ca="1">IFERROR(__xludf.DUMMYFUNCTION("""COMPUTED_VALUE""")," En Ejecución ")</f>
        <v xml:space="preserve"> En Ejecución </v>
      </c>
      <c r="I325" s="16">
        <f ca="1">IFERROR(__xludf.DUMMYFUNCTION("""COMPUTED_VALUE"""),22719630)</f>
        <v>22719630</v>
      </c>
      <c r="J325" s="83" t="s">
        <v>48</v>
      </c>
      <c r="K325" s="16"/>
      <c r="L325" s="16"/>
      <c r="M325" s="16"/>
      <c r="N325" s="21">
        <f ca="1">IFERROR(__xludf.DUMMYFUNCTION("""COMPUTED_VALUE"""),22719630)</f>
        <v>22719630</v>
      </c>
      <c r="O325" s="19"/>
      <c r="P325" s="19"/>
      <c r="Q325" s="19"/>
      <c r="R325" s="19"/>
      <c r="S325" s="19"/>
      <c r="T325" s="19"/>
      <c r="U325" s="19"/>
      <c r="V325" s="19"/>
      <c r="W325" s="20">
        <f ca="1">IFERROR(__xludf.DUMMYFUNCTION("""COMPUTED_VALUE"""),22719630)</f>
        <v>22719630</v>
      </c>
      <c r="X325" s="20" t="str">
        <f ca="1">IFERROR(__xludf.DUMMYFUNCTION("""COMPUTED_VALUE""")," MUNICIPALIDAD DE VILLARRICA ")</f>
        <v xml:space="preserve"> MUNICIPALIDAD DE VILLARRICA </v>
      </c>
    </row>
    <row r="326" spans="1:24" ht="15.75" customHeight="1" x14ac:dyDescent="0.25">
      <c r="A326" s="16" t="str">
        <f ca="1">IFERROR(__xludf.DUMMYFUNCTION("""COMPUTED_VALUE""")," REGIÓN DE LA ARAUCANÍA ")</f>
        <v xml:space="preserve"> REGIÓN DE LA ARAUCANÍA </v>
      </c>
      <c r="B326" s="16" t="str">
        <f t="shared" ca="1" si="1"/>
        <v xml:space="preserve"> LAUTARO </v>
      </c>
      <c r="C326" s="16" t="str">
        <f ca="1">IFERROR(__xludf.DUMMYFUNCTION("""COMPUTED_VALUE""")," (SATE) CONSTRUCCIÓN SEDE COMUNIDAD JUANITA VIUDA DE MILLAQUEO, LAUTARO ")</f>
        <v xml:space="preserve"> (SATE) CONSTRUCCIÓN SEDE COMUNIDAD JUANITA VIUDA DE MILLAQUEO, LAUTARO </v>
      </c>
      <c r="D326" s="16" t="str">
        <f ca="1">IFERROR(__xludf.DUMMYFUNCTION("""COMPUTED_VALUE""")," 1-C-2022-1357 ")</f>
        <v xml:space="preserve"> 1-C-2022-1357 </v>
      </c>
      <c r="E326" s="16" t="str">
        <f ca="1">IFERROR(__xludf.DUMMYFUNCTION("""COMPUTED_VALUE""")," 100% Girado ")</f>
        <v xml:space="preserve"> 100% Girado </v>
      </c>
      <c r="F326" s="17">
        <f ca="1">IFERROR(__xludf.DUMMYFUNCTION("""COMPUTED_VALUE"""),45406)</f>
        <v>45406</v>
      </c>
      <c r="G326" s="16">
        <f ca="1">IFERROR(__xludf.DUMMYFUNCTION("""COMPUTED_VALUE"""),80043116)</f>
        <v>80043116</v>
      </c>
      <c r="H326" s="16" t="str">
        <f ca="1">IFERROR(__xludf.DUMMYFUNCTION("""COMPUTED_VALUE""")," 100% Girado ")</f>
        <v xml:space="preserve"> 100% Girado </v>
      </c>
      <c r="I326" s="16">
        <f ca="1">IFERROR(__xludf.DUMMYFUNCTION("""COMPUTED_VALUE"""),80043116)</f>
        <v>80043116</v>
      </c>
      <c r="J326" s="83" t="s">
        <v>48</v>
      </c>
      <c r="K326" s="16"/>
      <c r="L326" s="16"/>
      <c r="M326" s="16"/>
      <c r="N326" s="21">
        <f ca="1">IFERROR(__xludf.DUMMYFUNCTION("""COMPUTED_VALUE"""),80043116)</f>
        <v>80043116</v>
      </c>
      <c r="O326" s="19"/>
      <c r="P326" s="19"/>
      <c r="Q326" s="19"/>
      <c r="R326" s="19"/>
      <c r="S326" s="19"/>
      <c r="T326" s="19"/>
      <c r="U326" s="19"/>
      <c r="V326" s="19"/>
      <c r="W326" s="20">
        <f ca="1">IFERROR(__xludf.DUMMYFUNCTION("""COMPUTED_VALUE"""),80043116)</f>
        <v>80043116</v>
      </c>
      <c r="X326" s="20" t="str">
        <f ca="1">IFERROR(__xludf.DUMMYFUNCTION("""COMPUTED_VALUE""")," MUNICIPALIDAD DE LAUTARO ")</f>
        <v xml:space="preserve"> MUNICIPALIDAD DE LAUTARO </v>
      </c>
    </row>
    <row r="327" spans="1:24" ht="15.75" customHeight="1" x14ac:dyDescent="0.25">
      <c r="A327" s="16" t="str">
        <f ca="1">IFERROR(__xludf.DUMMYFUNCTION("""COMPUTED_VALUE""")," REGIÓN DE LA ARAUCANÍA ")</f>
        <v xml:space="preserve"> REGIÓN DE LA ARAUCANÍA </v>
      </c>
      <c r="B327" s="16" t="str">
        <f t="shared" ca="1" si="1"/>
        <v xml:space="preserve"> TEMUCO </v>
      </c>
      <c r="C327" s="16" t="str">
        <f ca="1">IFERROR(__xludf.DUMMYFUNCTION("""COMPUTED_VALUE""")," REPOSICIÓN DE VEREDAS CALLE ECUADOR, ENTRE RUDECINDO ORTEGA Y CENTENARIO, TEMUCO ")</f>
        <v xml:space="preserve"> REPOSICIÓN DE VEREDAS CALLE ECUADOR, ENTRE RUDECINDO ORTEGA Y CENTENARIO, TEMUCO </v>
      </c>
      <c r="D327" s="16" t="str">
        <f ca="1">IFERROR(__xludf.DUMMYFUNCTION("""COMPUTED_VALUE""")," 1-C-2022-1646 ")</f>
        <v xml:space="preserve"> 1-C-2022-1646 </v>
      </c>
      <c r="E327" s="16" t="str">
        <f ca="1">IFERROR(__xludf.DUMMYFUNCTION("""COMPUTED_VALUE""")," 100% Girado ")</f>
        <v xml:space="preserve"> 100% Girado </v>
      </c>
      <c r="F327" s="17">
        <f ca="1">IFERROR(__xludf.DUMMYFUNCTION("""COMPUTED_VALUE"""),45406)</f>
        <v>45406</v>
      </c>
      <c r="G327" s="16">
        <f ca="1">IFERROR(__xludf.DUMMYFUNCTION("""COMPUTED_VALUE"""),90653949)</f>
        <v>90653949</v>
      </c>
      <c r="H327" s="16" t="str">
        <f ca="1">IFERROR(__xludf.DUMMYFUNCTION("""COMPUTED_VALUE""")," 100% Girado ")</f>
        <v xml:space="preserve"> 100% Girado </v>
      </c>
      <c r="I327" s="16">
        <f ca="1">IFERROR(__xludf.DUMMYFUNCTION("""COMPUTED_VALUE"""),90653949)</f>
        <v>90653949</v>
      </c>
      <c r="J327" s="83" t="s">
        <v>48</v>
      </c>
      <c r="K327" s="16"/>
      <c r="L327" s="16"/>
      <c r="M327" s="16"/>
      <c r="N327" s="21">
        <f ca="1">IFERROR(__xludf.DUMMYFUNCTION("""COMPUTED_VALUE"""),90653949)</f>
        <v>90653949</v>
      </c>
      <c r="O327" s="19"/>
      <c r="P327" s="19"/>
      <c r="Q327" s="19"/>
      <c r="R327" s="19"/>
      <c r="S327" s="19"/>
      <c r="T327" s="19"/>
      <c r="U327" s="19"/>
      <c r="V327" s="19"/>
      <c r="W327" s="20">
        <f ca="1">IFERROR(__xludf.DUMMYFUNCTION("""COMPUTED_VALUE"""),90653949)</f>
        <v>90653949</v>
      </c>
      <c r="X327" s="20" t="str">
        <f ca="1">IFERROR(__xludf.DUMMYFUNCTION("""COMPUTED_VALUE""")," MUNICIPALIDAD DE TEMUCO ")</f>
        <v xml:space="preserve"> MUNICIPALIDAD DE TEMUCO </v>
      </c>
    </row>
    <row r="328" spans="1:24" ht="15.75" customHeight="1" x14ac:dyDescent="0.25">
      <c r="A328" s="16" t="str">
        <f ca="1">IFERROR(__xludf.DUMMYFUNCTION("""COMPUTED_VALUE""")," REGIÓN DE LA ARAUCANÍA ")</f>
        <v xml:space="preserve"> REGIÓN DE LA ARAUCANÍA </v>
      </c>
      <c r="B328" s="16" t="str">
        <f t="shared" ca="1" si="1"/>
        <v xml:space="preserve"> VICTORIA </v>
      </c>
      <c r="C328" s="16" t="str">
        <f ca="1">IFERROR(__xludf.DUMMYFUNCTION("""COMPUTED_VALUE""")," [SATE] MEJORAMIENTO GIMNASIO 1, VICTORIA ")</f>
        <v xml:space="preserve"> [SATE] MEJORAMIENTO GIMNASIO 1, VICTORIA </v>
      </c>
      <c r="D328" s="16" t="str">
        <f ca="1">IFERROR(__xludf.DUMMYFUNCTION("""COMPUTED_VALUE""")," 1-C-2023-123 ")</f>
        <v xml:space="preserve"> 1-C-2023-123 </v>
      </c>
      <c r="E328" s="16" t="str">
        <f ca="1">IFERROR(__xludf.DUMMYFUNCTION("""COMPUTED_VALUE""")," 100% Girado ")</f>
        <v xml:space="preserve"> 100% Girado </v>
      </c>
      <c r="F328" s="17">
        <f ca="1">IFERROR(__xludf.DUMMYFUNCTION("""COMPUTED_VALUE"""),45391)</f>
        <v>45391</v>
      </c>
      <c r="G328" s="16">
        <f ca="1">IFERROR(__xludf.DUMMYFUNCTION("""COMPUTED_VALUE"""),147531666)</f>
        <v>147531666</v>
      </c>
      <c r="H328" s="16" t="str">
        <f ca="1">IFERROR(__xludf.DUMMYFUNCTION("""COMPUTED_VALUE""")," 100% Girado ")</f>
        <v xml:space="preserve"> 100% Girado </v>
      </c>
      <c r="I328" s="16">
        <f ca="1">IFERROR(__xludf.DUMMYFUNCTION("""COMPUTED_VALUE"""),147531666)</f>
        <v>147531666</v>
      </c>
      <c r="J328" s="83" t="s">
        <v>48</v>
      </c>
      <c r="K328" s="16"/>
      <c r="L328" s="16"/>
      <c r="M328" s="16"/>
      <c r="N328" s="21">
        <f ca="1">IFERROR(__xludf.DUMMYFUNCTION("""COMPUTED_VALUE"""),147531666)</f>
        <v>147531666</v>
      </c>
      <c r="O328" s="19"/>
      <c r="P328" s="19"/>
      <c r="Q328" s="19"/>
      <c r="R328" s="19"/>
      <c r="S328" s="19"/>
      <c r="T328" s="19"/>
      <c r="U328" s="19"/>
      <c r="V328" s="19"/>
      <c r="W328" s="20">
        <f ca="1">IFERROR(__xludf.DUMMYFUNCTION("""COMPUTED_VALUE"""),147531666)</f>
        <v>147531666</v>
      </c>
      <c r="X328" s="20" t="str">
        <f ca="1">IFERROR(__xludf.DUMMYFUNCTION("""COMPUTED_VALUE""")," MUNICIPALIDAD DE VICTORIA ")</f>
        <v xml:space="preserve"> MUNICIPALIDAD DE VICTORIA </v>
      </c>
    </row>
    <row r="329" spans="1:24" ht="15.75" customHeight="1" x14ac:dyDescent="0.25">
      <c r="A329" s="16" t="str">
        <f ca="1">IFERROR(__xludf.DUMMYFUNCTION("""COMPUTED_VALUE""")," REGIÓN DE LOS LAGOS ")</f>
        <v xml:space="preserve"> REGIÓN DE LOS LAGOS </v>
      </c>
      <c r="B329" s="16" t="str">
        <f t="shared" ca="1" si="1"/>
        <v xml:space="preserve"> QUINCHAO </v>
      </c>
      <c r="C329" s="16" t="str">
        <f ca="1">IFERROR(__xludf.DUMMYFUNCTION("""COMPUTED_VALUE""")," MEJORAMIENTO CECOSF MEULIN, COMUNA DE QUINCHAO ")</f>
        <v xml:space="preserve"> MEJORAMIENTO CECOSF MEULIN, COMUNA DE QUINCHAO </v>
      </c>
      <c r="D329" s="16" t="str">
        <f ca="1">IFERROR(__xludf.DUMMYFUNCTION("""COMPUTED_VALUE""")," 1-C-2023-2154 ")</f>
        <v xml:space="preserve"> 1-C-2023-2154 </v>
      </c>
      <c r="E329" s="16" t="str">
        <f ca="1">IFERROR(__xludf.DUMMYFUNCTION("""COMPUTED_VALUE""")," 100% Girado ")</f>
        <v xml:space="preserve"> 100% Girado </v>
      </c>
      <c r="F329" s="17">
        <f ca="1">IFERROR(__xludf.DUMMYFUNCTION("""COMPUTED_VALUE"""),45391)</f>
        <v>45391</v>
      </c>
      <c r="G329" s="16">
        <f ca="1">IFERROR(__xludf.DUMMYFUNCTION("""COMPUTED_VALUE"""),154419600)</f>
        <v>154419600</v>
      </c>
      <c r="H329" s="16" t="str">
        <f ca="1">IFERROR(__xludf.DUMMYFUNCTION("""COMPUTED_VALUE""")," 100% Girado ")</f>
        <v xml:space="preserve"> 100% Girado </v>
      </c>
      <c r="I329" s="16">
        <f ca="1">IFERROR(__xludf.DUMMYFUNCTION("""COMPUTED_VALUE"""),154419600)</f>
        <v>154419600</v>
      </c>
      <c r="J329" s="83" t="s">
        <v>48</v>
      </c>
      <c r="K329" s="16"/>
      <c r="L329" s="16"/>
      <c r="M329" s="16"/>
      <c r="N329" s="21">
        <f ca="1">IFERROR(__xludf.DUMMYFUNCTION("""COMPUTED_VALUE"""),154419600)</f>
        <v>154419600</v>
      </c>
      <c r="O329" s="19"/>
      <c r="P329" s="19"/>
      <c r="Q329" s="19"/>
      <c r="R329" s="19"/>
      <c r="S329" s="19"/>
      <c r="T329" s="19"/>
      <c r="U329" s="19"/>
      <c r="V329" s="19"/>
      <c r="W329" s="20">
        <f ca="1">IFERROR(__xludf.DUMMYFUNCTION("""COMPUTED_VALUE"""),154419600)</f>
        <v>154419600</v>
      </c>
      <c r="X329" s="20" t="str">
        <f ca="1">IFERROR(__xludf.DUMMYFUNCTION("""COMPUTED_VALUE""")," MUNICIPALIDAD DE QUINCHAO ")</f>
        <v xml:space="preserve"> MUNICIPALIDAD DE QUINCHAO </v>
      </c>
    </row>
    <row r="330" spans="1:24" ht="15.75" customHeight="1" x14ac:dyDescent="0.25">
      <c r="A330" s="16" t="str">
        <f ca="1">IFERROR(__xludf.DUMMYFUNCTION("""COMPUTED_VALUE""")," REGIÓN DE AYSÉN DEL GENERAL CARLOS IBÁÑEZ DEL CAMPO ")</f>
        <v xml:space="preserve"> REGIÓN DE AYSÉN DEL GENERAL CARLOS IBÁÑEZ DEL CAMPO </v>
      </c>
      <c r="B330" s="16" t="str">
        <f t="shared" ca="1" si="1"/>
        <v xml:space="preserve"> AYSÉN </v>
      </c>
      <c r="C330" s="16" t="str">
        <f ca="1">IFERROR(__xludf.DUMMYFUNCTION("""COMPUTED_VALUE""")," REPOSICIÓN ACERAS CALLE FLORENTINO CERECEDA PUERTO AYSÉN ")</f>
        <v xml:space="preserve"> REPOSICIÓN ACERAS CALLE FLORENTINO CERECEDA PUERTO AYSÉN </v>
      </c>
      <c r="D330" s="16" t="str">
        <f ca="1">IFERROR(__xludf.DUMMYFUNCTION("""COMPUTED_VALUE""")," 1-C-2023-1544 ")</f>
        <v xml:space="preserve"> 1-C-2023-1544 </v>
      </c>
      <c r="E330" s="16" t="str">
        <f ca="1">IFERROR(__xludf.DUMMYFUNCTION("""COMPUTED_VALUE""")," 100% Girado ")</f>
        <v xml:space="preserve"> 100% Girado </v>
      </c>
      <c r="F330" s="17">
        <f ca="1">IFERROR(__xludf.DUMMYFUNCTION("""COMPUTED_VALUE"""),45357)</f>
        <v>45357</v>
      </c>
      <c r="G330" s="16">
        <f ca="1">IFERROR(__xludf.DUMMYFUNCTION("""COMPUTED_VALUE"""),133490251)</f>
        <v>133490251</v>
      </c>
      <c r="H330" s="16" t="str">
        <f ca="1">IFERROR(__xludf.DUMMYFUNCTION("""COMPUTED_VALUE""")," 100% Girado ")</f>
        <v xml:space="preserve"> 100% Girado </v>
      </c>
      <c r="I330" s="16">
        <f ca="1">IFERROR(__xludf.DUMMYFUNCTION("""COMPUTED_VALUE"""),133490251)</f>
        <v>133490251</v>
      </c>
      <c r="J330" s="83" t="s">
        <v>48</v>
      </c>
      <c r="K330" s="16"/>
      <c r="L330" s="16"/>
      <c r="M330" s="16"/>
      <c r="N330" s="21">
        <f ca="1">IFERROR(__xludf.DUMMYFUNCTION("""COMPUTED_VALUE"""),133490251)</f>
        <v>133490251</v>
      </c>
      <c r="O330" s="19"/>
      <c r="P330" s="19"/>
      <c r="Q330" s="19"/>
      <c r="R330" s="19"/>
      <c r="S330" s="19"/>
      <c r="T330" s="19"/>
      <c r="U330" s="19"/>
      <c r="V330" s="19"/>
      <c r="W330" s="20">
        <f ca="1">IFERROR(__xludf.DUMMYFUNCTION("""COMPUTED_VALUE"""),133490251)</f>
        <v>133490251</v>
      </c>
      <c r="X330" s="20" t="str">
        <f ca="1">IFERROR(__xludf.DUMMYFUNCTION("""COMPUTED_VALUE""")," MUNICIPALIDAD DE AYSÉN ")</f>
        <v xml:space="preserve"> MUNICIPALIDAD DE AYSÉN </v>
      </c>
    </row>
    <row r="331" spans="1:24" ht="15.75" customHeight="1" x14ac:dyDescent="0.25">
      <c r="A331" s="16" t="str">
        <f ca="1">IFERROR(__xludf.DUMMYFUNCTION("""COMPUTED_VALUE""")," REGIÓN DE AYSÉN DEL GENERAL CARLOS IBÁÑEZ DEL CAMPO ")</f>
        <v xml:space="preserve"> REGIÓN DE AYSÉN DEL GENERAL CARLOS IBÁÑEZ DEL CAMPO </v>
      </c>
      <c r="B331" s="16" t="str">
        <f t="shared" ca="1" si="1"/>
        <v xml:space="preserve"> AYSÉN </v>
      </c>
      <c r="C331" s="16" t="str">
        <f ca="1">IFERROR(__xludf.DUMMYFUNCTION("""COMPUTED_VALUE""")," REPOSICIÓN ACERAS CALLE JUAN DOUGNAC PUERTO AYSÉN ")</f>
        <v xml:space="preserve"> REPOSICIÓN ACERAS CALLE JUAN DOUGNAC PUERTO AYSÉN </v>
      </c>
      <c r="D331" s="16" t="str">
        <f ca="1">IFERROR(__xludf.DUMMYFUNCTION("""COMPUTED_VALUE""")," 1-C-2023-1545 ")</f>
        <v xml:space="preserve"> 1-C-2023-1545 </v>
      </c>
      <c r="E331" s="16" t="str">
        <f ca="1">IFERROR(__xludf.DUMMYFUNCTION("""COMPUTED_VALUE""")," 100% Girado ")</f>
        <v xml:space="preserve"> 100% Girado </v>
      </c>
      <c r="F331" s="17">
        <f ca="1">IFERROR(__xludf.DUMMYFUNCTION("""COMPUTED_VALUE"""),45357)</f>
        <v>45357</v>
      </c>
      <c r="G331" s="16">
        <f ca="1">IFERROR(__xludf.DUMMYFUNCTION("""COMPUTED_VALUE"""),131106000)</f>
        <v>131106000</v>
      </c>
      <c r="H331" s="16" t="str">
        <f ca="1">IFERROR(__xludf.DUMMYFUNCTION("""COMPUTED_VALUE""")," 100% Girado ")</f>
        <v xml:space="preserve"> 100% Girado </v>
      </c>
      <c r="I331" s="16">
        <f ca="1">IFERROR(__xludf.DUMMYFUNCTION("""COMPUTED_VALUE"""),131106000)</f>
        <v>131106000</v>
      </c>
      <c r="J331" s="83" t="s">
        <v>48</v>
      </c>
      <c r="K331" s="16"/>
      <c r="L331" s="16"/>
      <c r="M331" s="16"/>
      <c r="N331" s="21">
        <f ca="1">IFERROR(__xludf.DUMMYFUNCTION("""COMPUTED_VALUE"""),131106000)</f>
        <v>131106000</v>
      </c>
      <c r="O331" s="19"/>
      <c r="P331" s="19"/>
      <c r="Q331" s="19"/>
      <c r="R331" s="19"/>
      <c r="S331" s="19"/>
      <c r="T331" s="19"/>
      <c r="U331" s="19"/>
      <c r="V331" s="19"/>
      <c r="W331" s="20">
        <f ca="1">IFERROR(__xludf.DUMMYFUNCTION("""COMPUTED_VALUE"""),131106000)</f>
        <v>131106000</v>
      </c>
      <c r="X331" s="20" t="str">
        <f ca="1">IFERROR(__xludf.DUMMYFUNCTION("""COMPUTED_VALUE""")," MUNICIPALIDAD DE AYSÉN ")</f>
        <v xml:space="preserve"> MUNICIPALIDAD DE AYSÉN </v>
      </c>
    </row>
    <row r="332" spans="1:24" ht="15.75" customHeight="1" x14ac:dyDescent="0.25">
      <c r="A332" s="16" t="str">
        <f ca="1">IFERROR(__xludf.DUMMYFUNCTION("""COMPUTED_VALUE""")," REGIÓN DE AYSÉN DEL GENERAL CARLOS IBÁÑEZ DEL CAMPO ")</f>
        <v xml:space="preserve"> REGIÓN DE AYSÉN DEL GENERAL CARLOS IBÁÑEZ DEL CAMPO </v>
      </c>
      <c r="B332" s="16" t="str">
        <f t="shared" ca="1" si="1"/>
        <v xml:space="preserve"> AYSÉN </v>
      </c>
      <c r="C332" s="16" t="str">
        <f ca="1">IFERROR(__xludf.DUMMYFUNCTION("""COMPUTED_VALUE""")," REPOSICIÓN DIVERSAS ACERAS CALETA ANDRADE ")</f>
        <v xml:space="preserve"> REPOSICIÓN DIVERSAS ACERAS CALETA ANDRADE </v>
      </c>
      <c r="D332" s="16" t="str">
        <f ca="1">IFERROR(__xludf.DUMMYFUNCTION("""COMPUTED_VALUE""")," 1-C-2023-1548 ")</f>
        <v xml:space="preserve"> 1-C-2023-1548 </v>
      </c>
      <c r="E332" s="16" t="str">
        <f ca="1">IFERROR(__xludf.DUMMYFUNCTION("""COMPUTED_VALUE""")," 100% Girado ")</f>
        <v xml:space="preserve"> 100% Girado </v>
      </c>
      <c r="F332" s="17">
        <f ca="1">IFERROR(__xludf.DUMMYFUNCTION("""COMPUTED_VALUE"""),45357)</f>
        <v>45357</v>
      </c>
      <c r="G332" s="16">
        <f ca="1">IFERROR(__xludf.DUMMYFUNCTION("""COMPUTED_VALUE"""),121703556)</f>
        <v>121703556</v>
      </c>
      <c r="H332" s="16" t="str">
        <f ca="1">IFERROR(__xludf.DUMMYFUNCTION("""COMPUTED_VALUE""")," 100% Girado ")</f>
        <v xml:space="preserve"> 100% Girado </v>
      </c>
      <c r="I332" s="16">
        <f ca="1">IFERROR(__xludf.DUMMYFUNCTION("""COMPUTED_VALUE"""),121703556)</f>
        <v>121703556</v>
      </c>
      <c r="J332" s="83" t="s">
        <v>48</v>
      </c>
      <c r="K332" s="16"/>
      <c r="L332" s="16"/>
      <c r="M332" s="16"/>
      <c r="N332" s="21">
        <f ca="1">IFERROR(__xludf.DUMMYFUNCTION("""COMPUTED_VALUE"""),121703556)</f>
        <v>121703556</v>
      </c>
      <c r="O332" s="19"/>
      <c r="P332" s="19"/>
      <c r="Q332" s="19"/>
      <c r="R332" s="19"/>
      <c r="S332" s="19"/>
      <c r="T332" s="19"/>
      <c r="U332" s="19"/>
      <c r="V332" s="19"/>
      <c r="W332" s="20">
        <f ca="1">IFERROR(__xludf.DUMMYFUNCTION("""COMPUTED_VALUE"""),121703556)</f>
        <v>121703556</v>
      </c>
      <c r="X332" s="20" t="str">
        <f ca="1">IFERROR(__xludf.DUMMYFUNCTION("""COMPUTED_VALUE""")," MUNICIPALIDAD DE AYSÉN ")</f>
        <v xml:space="preserve"> MUNICIPALIDAD DE AYSÉN </v>
      </c>
    </row>
    <row r="333" spans="1:24" ht="15.75" customHeight="1" x14ac:dyDescent="0.25">
      <c r="A333" s="16" t="str">
        <f ca="1">IFERROR(__xludf.DUMMYFUNCTION("""COMPUTED_VALUE""")," REGIÓN METROPOLITANA ")</f>
        <v xml:space="preserve"> REGIÓN METROPOLITANA </v>
      </c>
      <c r="B333" s="16" t="str">
        <f t="shared" ca="1" si="1"/>
        <v xml:space="preserve"> MAIPÚ </v>
      </c>
      <c r="C333" s="16" t="str">
        <f ca="1">IFERROR(__xludf.DUMMYFUNCTION("""COMPUTED_VALUE""")," MEJORAMIENTO BANDEJÓN CENTRAL PAJARITOS, COMUNA DE MAIPÚ ")</f>
        <v xml:space="preserve"> MEJORAMIENTO BANDEJÓN CENTRAL PAJARITOS, COMUNA DE MAIPÚ </v>
      </c>
      <c r="D333" s="16" t="str">
        <f ca="1">IFERROR(__xludf.DUMMYFUNCTION("""COMPUTED_VALUE""")," 1-C-2022-1596 ")</f>
        <v xml:space="preserve"> 1-C-2022-1596 </v>
      </c>
      <c r="E333" s="16" t="str">
        <f ca="1">IFERROR(__xludf.DUMMYFUNCTION("""COMPUTED_VALUE""")," 100% Girado ")</f>
        <v xml:space="preserve"> 100% Girado </v>
      </c>
      <c r="F333" s="17">
        <f ca="1">IFERROR(__xludf.DUMMYFUNCTION("""COMPUTED_VALUE"""),45385)</f>
        <v>45385</v>
      </c>
      <c r="G333" s="16">
        <f ca="1">IFERROR(__xludf.DUMMYFUNCTION("""COMPUTED_VALUE"""),91032661)</f>
        <v>91032661</v>
      </c>
      <c r="H333" s="16" t="str">
        <f ca="1">IFERROR(__xludf.DUMMYFUNCTION("""COMPUTED_VALUE""")," 100% Girado ")</f>
        <v xml:space="preserve"> 100% Girado </v>
      </c>
      <c r="I333" s="16">
        <f ca="1">IFERROR(__xludf.DUMMYFUNCTION("""COMPUTED_VALUE"""),91032661)</f>
        <v>91032661</v>
      </c>
      <c r="J333" s="83" t="s">
        <v>48</v>
      </c>
      <c r="K333" s="16"/>
      <c r="L333" s="16"/>
      <c r="M333" s="16"/>
      <c r="N333" s="21">
        <f ca="1">IFERROR(__xludf.DUMMYFUNCTION("""COMPUTED_VALUE"""),91032661)</f>
        <v>91032661</v>
      </c>
      <c r="O333" s="19"/>
      <c r="P333" s="19"/>
      <c r="Q333" s="19"/>
      <c r="R333" s="19"/>
      <c r="S333" s="19"/>
      <c r="T333" s="19"/>
      <c r="U333" s="19"/>
      <c r="V333" s="19"/>
      <c r="W333" s="20">
        <f ca="1">IFERROR(__xludf.DUMMYFUNCTION("""COMPUTED_VALUE"""),91032661)</f>
        <v>91032661</v>
      </c>
      <c r="X333" s="20" t="str">
        <f ca="1">IFERROR(__xludf.DUMMYFUNCTION("""COMPUTED_VALUE""")," MUNICIPALIDAD DE MAIPÚ ")</f>
        <v xml:space="preserve"> MUNICIPALIDAD DE MAIPÚ </v>
      </c>
    </row>
    <row r="334" spans="1:24" ht="15.75" customHeight="1" x14ac:dyDescent="0.25">
      <c r="A334" s="16" t="str">
        <f ca="1">IFERROR(__xludf.DUMMYFUNCTION("""COMPUTED_VALUE""")," REGIÓN METROPOLITANA ")</f>
        <v xml:space="preserve"> REGIÓN METROPOLITANA </v>
      </c>
      <c r="B334" s="16" t="str">
        <f t="shared" ca="1" si="1"/>
        <v xml:space="preserve"> TALAGANTE </v>
      </c>
      <c r="C334" s="16" t="str">
        <f ca="1">IFERROR(__xludf.DUMMYFUNCTION("""COMPUTED_VALUE""")," HABILITACIÓN CIRCUITO DE CALISTENIA ESTADIO LUCAS PACHECO ")</f>
        <v xml:space="preserve"> HABILITACIÓN CIRCUITO DE CALISTENIA ESTADIO LUCAS PACHECO </v>
      </c>
      <c r="D334" s="16" t="str">
        <f ca="1">IFERROR(__xludf.DUMMYFUNCTION("""COMPUTED_VALUE""")," 1-C-2022-2317 ")</f>
        <v xml:space="preserve"> 1-C-2022-2317 </v>
      </c>
      <c r="E334" s="16" t="str">
        <f ca="1">IFERROR(__xludf.DUMMYFUNCTION("""COMPUTED_VALUE""")," 100% Girado ")</f>
        <v xml:space="preserve"> 100% Girado </v>
      </c>
      <c r="F334" s="17">
        <f ca="1">IFERROR(__xludf.DUMMYFUNCTION("""COMPUTED_VALUE"""),45387)</f>
        <v>45387</v>
      </c>
      <c r="G334" s="16">
        <f ca="1">IFERROR(__xludf.DUMMYFUNCTION("""COMPUTED_VALUE"""),109665530)</f>
        <v>109665530</v>
      </c>
      <c r="H334" s="16" t="str">
        <f ca="1">IFERROR(__xludf.DUMMYFUNCTION("""COMPUTED_VALUE""")," 100% Girado ")</f>
        <v xml:space="preserve"> 100% Girado </v>
      </c>
      <c r="I334" s="16">
        <f ca="1">IFERROR(__xludf.DUMMYFUNCTION("""COMPUTED_VALUE"""),109665530)</f>
        <v>109665530</v>
      </c>
      <c r="J334" s="83" t="s">
        <v>48</v>
      </c>
      <c r="K334" s="16"/>
      <c r="L334" s="16"/>
      <c r="M334" s="16"/>
      <c r="N334" s="21">
        <f ca="1">IFERROR(__xludf.DUMMYFUNCTION("""COMPUTED_VALUE"""),109665530)</f>
        <v>109665530</v>
      </c>
      <c r="O334" s="19"/>
      <c r="P334" s="19"/>
      <c r="Q334" s="19"/>
      <c r="R334" s="19"/>
      <c r="S334" s="19"/>
      <c r="T334" s="19"/>
      <c r="U334" s="19"/>
      <c r="V334" s="19"/>
      <c r="W334" s="20">
        <f ca="1">IFERROR(__xludf.DUMMYFUNCTION("""COMPUTED_VALUE"""),109665530)</f>
        <v>109665530</v>
      </c>
      <c r="X334" s="20" t="str">
        <f ca="1">IFERROR(__xludf.DUMMYFUNCTION("""COMPUTED_VALUE""")," MUNICIPALIDAD DE TALAGANTE ")</f>
        <v xml:space="preserve"> MUNICIPALIDAD DE TALAGANTE </v>
      </c>
    </row>
    <row r="335" spans="1:24" ht="15.75" customHeight="1" x14ac:dyDescent="0.25">
      <c r="A335" s="16" t="str">
        <f ca="1">IFERROR(__xludf.DUMMYFUNCTION("""COMPUTED_VALUE""")," REGIÓN METROPOLITANA ")</f>
        <v xml:space="preserve"> REGIÓN METROPOLITANA </v>
      </c>
      <c r="B335" s="16" t="str">
        <f t="shared" ca="1" si="1"/>
        <v xml:space="preserve"> SAN MIGUEL </v>
      </c>
      <c r="C335" s="16" t="str">
        <f ca="1">IFERROR(__xludf.DUMMYFUNCTION("""COMPUTED_VALUE""")," MEJORAMIENTO DE ESPACIO PÚBLICO SECTOR LO OVALLE ")</f>
        <v xml:space="preserve"> MEJORAMIENTO DE ESPACIO PÚBLICO SECTOR LO OVALLE </v>
      </c>
      <c r="D335" s="16" t="str">
        <f ca="1">IFERROR(__xludf.DUMMYFUNCTION("""COMPUTED_VALUE""")," 1-SPD-2022-483 ")</f>
        <v xml:space="preserve"> 1-SPD-2022-483 </v>
      </c>
      <c r="E335" s="16" t="str">
        <f ca="1">IFERROR(__xludf.DUMMYFUNCTION("""COMPUTED_VALUE""")," 100% Girado ")</f>
        <v xml:space="preserve"> 100% Girado </v>
      </c>
      <c r="F335" s="17">
        <f ca="1">IFERROR(__xludf.DUMMYFUNCTION("""COMPUTED_VALUE"""),45390)</f>
        <v>45390</v>
      </c>
      <c r="G335" s="16">
        <f ca="1">IFERROR(__xludf.DUMMYFUNCTION("""COMPUTED_VALUE"""),74996854)</f>
        <v>74996854</v>
      </c>
      <c r="H335" s="16" t="str">
        <f ca="1">IFERROR(__xludf.DUMMYFUNCTION("""COMPUTED_VALUE""")," 100% Girado ")</f>
        <v xml:space="preserve"> 100% Girado </v>
      </c>
      <c r="I335" s="16">
        <f ca="1">IFERROR(__xludf.DUMMYFUNCTION("""COMPUTED_VALUE"""),74996854)</f>
        <v>74996854</v>
      </c>
      <c r="J335" s="83" t="s">
        <v>48</v>
      </c>
      <c r="K335" s="16"/>
      <c r="L335" s="16"/>
      <c r="M335" s="16"/>
      <c r="N335" s="21">
        <f ca="1">IFERROR(__xludf.DUMMYFUNCTION("""COMPUTED_VALUE"""),74996854)</f>
        <v>74996854</v>
      </c>
      <c r="O335" s="19"/>
      <c r="P335" s="19"/>
      <c r="Q335" s="19"/>
      <c r="R335" s="19"/>
      <c r="S335" s="19"/>
      <c r="T335" s="19"/>
      <c r="U335" s="19"/>
      <c r="V335" s="19"/>
      <c r="W335" s="20">
        <f ca="1">IFERROR(__xludf.DUMMYFUNCTION("""COMPUTED_VALUE"""),74996854)</f>
        <v>74996854</v>
      </c>
      <c r="X335" s="20" t="str">
        <f ca="1">IFERROR(__xludf.DUMMYFUNCTION("""COMPUTED_VALUE""")," MUNICIPALIDAD DE SAN MIGUEL ")</f>
        <v xml:space="preserve"> MUNICIPALIDAD DE SAN MIGUEL </v>
      </c>
    </row>
    <row r="336" spans="1:24" ht="15.75" customHeight="1" x14ac:dyDescent="0.25">
      <c r="A336" s="16" t="str">
        <f ca="1">IFERROR(__xludf.DUMMYFUNCTION("""COMPUTED_VALUE""")," REGIÓN METROPOLITANA ")</f>
        <v xml:space="preserve"> REGIÓN METROPOLITANA </v>
      </c>
      <c r="B336" s="16" t="str">
        <f t="shared" ca="1" si="1"/>
        <v xml:space="preserve"> TALAGANTE </v>
      </c>
      <c r="C336" s="16" t="str">
        <f ca="1">IFERROR(__xludf.DUMMYFUNCTION("""COMPUTED_VALUE""")," MEJORAMIENTO MULTICANCHAS MICHELLE BACHELET Y MULTICANCHA JUAN ANTONIO RIOS, COMUNA DE TALAGANTE ")</f>
        <v xml:space="preserve"> MEJORAMIENTO MULTICANCHAS MICHELLE BACHELET Y MULTICANCHA JUAN ANTONIO RIOS, COMUNA DE TALAGANTE </v>
      </c>
      <c r="D336" s="16" t="str">
        <f ca="1">IFERROR(__xludf.DUMMYFUNCTION("""COMPUTED_VALUE""")," 1-C-2023-712 ")</f>
        <v xml:space="preserve"> 1-C-2023-712 </v>
      </c>
      <c r="E336" s="16" t="str">
        <f ca="1">IFERROR(__xludf.DUMMYFUNCTION("""COMPUTED_VALUE""")," 100% Girado ")</f>
        <v xml:space="preserve"> 100% Girado </v>
      </c>
      <c r="F336" s="17">
        <f ca="1">IFERROR(__xludf.DUMMYFUNCTION("""COMPUTED_VALUE"""),45391)</f>
        <v>45391</v>
      </c>
      <c r="G336" s="16">
        <f ca="1">IFERROR(__xludf.DUMMYFUNCTION("""COMPUTED_VALUE"""),154422498)</f>
        <v>154422498</v>
      </c>
      <c r="H336" s="16" t="str">
        <f ca="1">IFERROR(__xludf.DUMMYFUNCTION("""COMPUTED_VALUE""")," 100% Girado ")</f>
        <v xml:space="preserve"> 100% Girado </v>
      </c>
      <c r="I336" s="16">
        <f ca="1">IFERROR(__xludf.DUMMYFUNCTION("""COMPUTED_VALUE"""),154422498)</f>
        <v>154422498</v>
      </c>
      <c r="J336" s="83" t="s">
        <v>48</v>
      </c>
      <c r="K336" s="16"/>
      <c r="L336" s="16"/>
      <c r="M336" s="16"/>
      <c r="N336" s="21">
        <f ca="1">IFERROR(__xludf.DUMMYFUNCTION("""COMPUTED_VALUE"""),154422498)</f>
        <v>154422498</v>
      </c>
      <c r="O336" s="19"/>
      <c r="P336" s="19"/>
      <c r="Q336" s="19"/>
      <c r="R336" s="19"/>
      <c r="S336" s="19"/>
      <c r="T336" s="19"/>
      <c r="U336" s="19"/>
      <c r="V336" s="19"/>
      <c r="W336" s="20">
        <f ca="1">IFERROR(__xludf.DUMMYFUNCTION("""COMPUTED_VALUE"""),154422498)</f>
        <v>154422498</v>
      </c>
      <c r="X336" s="20" t="str">
        <f ca="1">IFERROR(__xludf.DUMMYFUNCTION("""COMPUTED_VALUE""")," MUNICIPALIDAD DE TALAGANTE ")</f>
        <v xml:space="preserve"> MUNICIPALIDAD DE TALAGANTE </v>
      </c>
    </row>
    <row r="337" spans="1:24" ht="15.75" customHeight="1" x14ac:dyDescent="0.25">
      <c r="A337" s="16" t="str">
        <f ca="1">IFERROR(__xludf.DUMMYFUNCTION("""COMPUTED_VALUE""")," REGIÓN METROPOLITANA ")</f>
        <v xml:space="preserve"> REGIÓN METROPOLITANA </v>
      </c>
      <c r="B337" s="16" t="str">
        <f t="shared" ca="1" si="1"/>
        <v xml:space="preserve"> QUINTA NORMAL </v>
      </c>
      <c r="C337" s="16" t="str">
        <f ca="1">IFERROR(__xludf.DUMMYFUNCTION("""COMPUTED_VALUE""")," MEJORAMIENTO PLAZA LO AMOR, COMUNA QUINTA NORMAL ")</f>
        <v xml:space="preserve"> MEJORAMIENTO PLAZA LO AMOR, COMUNA QUINTA NORMAL </v>
      </c>
      <c r="D337" s="16" t="str">
        <f ca="1">IFERROR(__xludf.DUMMYFUNCTION("""COMPUTED_VALUE""")," 1-C-2023-1465 ")</f>
        <v xml:space="preserve"> 1-C-2023-1465 </v>
      </c>
      <c r="E337" s="16" t="str">
        <f ca="1">IFERROR(__xludf.DUMMYFUNCTION("""COMPUTED_VALUE""")," 100% Girado ")</f>
        <v xml:space="preserve"> 100% Girado </v>
      </c>
      <c r="F337" s="17">
        <f ca="1">IFERROR(__xludf.DUMMYFUNCTION("""COMPUTED_VALUE"""),45391)</f>
        <v>45391</v>
      </c>
      <c r="G337" s="16">
        <f ca="1">IFERROR(__xludf.DUMMYFUNCTION("""COMPUTED_VALUE"""),148378919)</f>
        <v>148378919</v>
      </c>
      <c r="H337" s="16" t="str">
        <f ca="1">IFERROR(__xludf.DUMMYFUNCTION("""COMPUTED_VALUE""")," 100% Girado ")</f>
        <v xml:space="preserve"> 100% Girado </v>
      </c>
      <c r="I337" s="16">
        <f ca="1">IFERROR(__xludf.DUMMYFUNCTION("""COMPUTED_VALUE"""),148378919)</f>
        <v>148378919</v>
      </c>
      <c r="J337" s="83" t="s">
        <v>48</v>
      </c>
      <c r="K337" s="16"/>
      <c r="L337" s="16"/>
      <c r="M337" s="16"/>
      <c r="N337" s="21">
        <f ca="1">IFERROR(__xludf.DUMMYFUNCTION("""COMPUTED_VALUE"""),148378919)</f>
        <v>148378919</v>
      </c>
      <c r="O337" s="19"/>
      <c r="P337" s="19"/>
      <c r="Q337" s="19"/>
      <c r="R337" s="19"/>
      <c r="S337" s="19"/>
      <c r="T337" s="19"/>
      <c r="U337" s="19"/>
      <c r="V337" s="19"/>
      <c r="W337" s="20">
        <f ca="1">IFERROR(__xludf.DUMMYFUNCTION("""COMPUTED_VALUE"""),148378919)</f>
        <v>148378919</v>
      </c>
      <c r="X337" s="20" t="str">
        <f ca="1">IFERROR(__xludf.DUMMYFUNCTION("""COMPUTED_VALUE""")," MUNICIPALIDAD DE QUINTA NORMAL ")</f>
        <v xml:space="preserve"> MUNICIPALIDAD DE QUINTA NORMAL </v>
      </c>
    </row>
    <row r="338" spans="1:24" ht="15.75" customHeight="1" x14ac:dyDescent="0.25">
      <c r="A338" s="16" t="str">
        <f ca="1">IFERROR(__xludf.DUMMYFUNCTION("""COMPUTED_VALUE""")," REGIÓN METROPOLITANA ")</f>
        <v xml:space="preserve"> REGIÓN METROPOLITANA </v>
      </c>
      <c r="B338" s="16" t="str">
        <f t="shared" ca="1" si="1"/>
        <v xml:space="preserve"> PEDRO AGUIRRE CERDA </v>
      </c>
      <c r="C338" s="16" t="str">
        <f ca="1">IFERROR(__xludf.DUMMYFUNCTION("""COMPUTED_VALUE""")," MEJORAMIENTO RUTA ACCESIBLE MEHUIN, COMUNA DE PEDRO AGUIRRE CERDA ")</f>
        <v xml:space="preserve"> MEJORAMIENTO RUTA ACCESIBLE MEHUIN, COMUNA DE PEDRO AGUIRRE CERDA </v>
      </c>
      <c r="D338" s="16" t="str">
        <f ca="1">IFERROR(__xludf.DUMMYFUNCTION("""COMPUTED_VALUE""")," 1-C-2023-1571 ")</f>
        <v xml:space="preserve"> 1-C-2023-1571 </v>
      </c>
      <c r="E338" s="16" t="str">
        <f ca="1">IFERROR(__xludf.DUMMYFUNCTION("""COMPUTED_VALUE""")," 100% Girado ")</f>
        <v xml:space="preserve"> 100% Girado </v>
      </c>
      <c r="F338" s="17">
        <f ca="1">IFERROR(__xludf.DUMMYFUNCTION("""COMPUTED_VALUE"""),45385)</f>
        <v>45385</v>
      </c>
      <c r="G338" s="16">
        <f ca="1">IFERROR(__xludf.DUMMYFUNCTION("""COMPUTED_VALUE"""),144255639)</f>
        <v>144255639</v>
      </c>
      <c r="H338" s="16" t="str">
        <f ca="1">IFERROR(__xludf.DUMMYFUNCTION("""COMPUTED_VALUE""")," 100% Girado ")</f>
        <v xml:space="preserve"> 100% Girado </v>
      </c>
      <c r="I338" s="16">
        <f ca="1">IFERROR(__xludf.DUMMYFUNCTION("""COMPUTED_VALUE"""),144255639)</f>
        <v>144255639</v>
      </c>
      <c r="J338" s="83" t="s">
        <v>48</v>
      </c>
      <c r="K338" s="16"/>
      <c r="L338" s="16"/>
      <c r="M338" s="16"/>
      <c r="N338" s="21">
        <f ca="1">IFERROR(__xludf.DUMMYFUNCTION("""COMPUTED_VALUE"""),144255639)</f>
        <v>144255639</v>
      </c>
      <c r="O338" s="19"/>
      <c r="P338" s="19"/>
      <c r="Q338" s="19"/>
      <c r="R338" s="19"/>
      <c r="S338" s="19"/>
      <c r="T338" s="19"/>
      <c r="U338" s="19"/>
      <c r="V338" s="19"/>
      <c r="W338" s="20">
        <f ca="1">IFERROR(__xludf.DUMMYFUNCTION("""COMPUTED_VALUE"""),144255639)</f>
        <v>144255639</v>
      </c>
      <c r="X338" s="20" t="str">
        <f ca="1">IFERROR(__xludf.DUMMYFUNCTION("""COMPUTED_VALUE""")," MUNICIPALIDAD DE PEDRO AGUIRRE CERDA ")</f>
        <v xml:space="preserve"> MUNICIPALIDAD DE PEDRO AGUIRRE CERDA </v>
      </c>
    </row>
    <row r="339" spans="1:24" ht="15.75" customHeight="1" x14ac:dyDescent="0.25">
      <c r="A339" s="16" t="str">
        <f ca="1">IFERROR(__xludf.DUMMYFUNCTION("""COMPUTED_VALUE""")," REGIÓN METROPOLITANA ")</f>
        <v xml:space="preserve"> REGIÓN METROPOLITANA </v>
      </c>
      <c r="B339" s="16" t="str">
        <f t="shared" ca="1" si="1"/>
        <v xml:space="preserve"> QUINTA NORMAL </v>
      </c>
      <c r="C339" s="16" t="str">
        <f ca="1">IFERROR(__xludf.DUMMYFUNCTION("""COMPUTED_VALUE""")," CONSTRUCCIÓN REDUCTORES DE VELOCIDAD ETAPA II ")</f>
        <v xml:space="preserve"> CONSTRUCCIÓN REDUCTORES DE VELOCIDAD ETAPA II </v>
      </c>
      <c r="D339" s="16" t="str">
        <f ca="1">IFERROR(__xludf.DUMMYFUNCTION("""COMPUTED_VALUE""")," 1-C-2023-1947 ")</f>
        <v xml:space="preserve"> 1-C-2023-1947 </v>
      </c>
      <c r="E339" s="16" t="str">
        <f ca="1">IFERROR(__xludf.DUMMYFUNCTION("""COMPUTED_VALUE""")," 100% Girado ")</f>
        <v xml:space="preserve"> 100% Girado </v>
      </c>
      <c r="F339" s="17">
        <f ca="1">IFERROR(__xludf.DUMMYFUNCTION("""COMPUTED_VALUE"""),45391)</f>
        <v>45391</v>
      </c>
      <c r="G339" s="16">
        <f ca="1">IFERROR(__xludf.DUMMYFUNCTION("""COMPUTED_VALUE"""),139815165)</f>
        <v>139815165</v>
      </c>
      <c r="H339" s="16" t="str">
        <f ca="1">IFERROR(__xludf.DUMMYFUNCTION("""COMPUTED_VALUE""")," 100% Girado ")</f>
        <v xml:space="preserve"> 100% Girado </v>
      </c>
      <c r="I339" s="16">
        <f ca="1">IFERROR(__xludf.DUMMYFUNCTION("""COMPUTED_VALUE"""),139815165)</f>
        <v>139815165</v>
      </c>
      <c r="J339" s="83" t="s">
        <v>48</v>
      </c>
      <c r="K339" s="16"/>
      <c r="L339" s="16"/>
      <c r="M339" s="16"/>
      <c r="N339" s="21">
        <f ca="1">IFERROR(__xludf.DUMMYFUNCTION("""COMPUTED_VALUE"""),139815165)</f>
        <v>139815165</v>
      </c>
      <c r="O339" s="19"/>
      <c r="P339" s="19"/>
      <c r="Q339" s="19"/>
      <c r="R339" s="19"/>
      <c r="S339" s="19"/>
      <c r="T339" s="19"/>
      <c r="U339" s="19"/>
      <c r="V339" s="19"/>
      <c r="W339" s="20">
        <f ca="1">IFERROR(__xludf.DUMMYFUNCTION("""COMPUTED_VALUE"""),139815165)</f>
        <v>139815165</v>
      </c>
      <c r="X339" s="20" t="str">
        <f ca="1">IFERROR(__xludf.DUMMYFUNCTION("""COMPUTED_VALUE""")," MUNICIPALIDAD DE QUINTA NORMAL ")</f>
        <v xml:space="preserve"> MUNICIPALIDAD DE QUINTA NORMAL </v>
      </c>
    </row>
    <row r="340" spans="1:24" ht="15.75" customHeight="1" x14ac:dyDescent="0.25">
      <c r="A340" s="16" t="str">
        <f ca="1">IFERROR(__xludf.DUMMYFUNCTION("""COMPUTED_VALUE""")," REGIÓN METROPOLITANA ")</f>
        <v xml:space="preserve"> REGIÓN METROPOLITANA </v>
      </c>
      <c r="B340" s="16" t="str">
        <f t="shared" ca="1" si="1"/>
        <v xml:space="preserve"> SAN MIGUEL </v>
      </c>
      <c r="C340" s="16" t="str">
        <f ca="1">IFERROR(__xludf.DUMMYFUNCTION("""COMPUTED_VALUE""")," BACHEOS DE EMERGENCIA, CALLE CURIÑANCA, COMUNA DE SAN MIGUEL ")</f>
        <v xml:space="preserve"> BACHEOS DE EMERGENCIA, CALLE CURIÑANCA, COMUNA DE SAN MIGUEL </v>
      </c>
      <c r="D340" s="16" t="str">
        <f ca="1">IFERROR(__xludf.DUMMYFUNCTION("""COMPUTED_VALUE""")," 1-C-2023-2122 ")</f>
        <v xml:space="preserve"> 1-C-2023-2122 </v>
      </c>
      <c r="E340" s="16" t="str">
        <f ca="1">IFERROR(__xludf.DUMMYFUNCTION("""COMPUTED_VALUE""")," 100% Girado ")</f>
        <v xml:space="preserve"> 100% Girado </v>
      </c>
      <c r="F340" s="17">
        <f ca="1">IFERROR(__xludf.DUMMYFUNCTION("""COMPUTED_VALUE"""),45390)</f>
        <v>45390</v>
      </c>
      <c r="G340" s="16">
        <f ca="1">IFERROR(__xludf.DUMMYFUNCTION("""COMPUTED_VALUE"""),73865367)</f>
        <v>73865367</v>
      </c>
      <c r="H340" s="16" t="str">
        <f ca="1">IFERROR(__xludf.DUMMYFUNCTION("""COMPUTED_VALUE""")," 100% Girado ")</f>
        <v xml:space="preserve"> 100% Girado </v>
      </c>
      <c r="I340" s="16">
        <f ca="1">IFERROR(__xludf.DUMMYFUNCTION("""COMPUTED_VALUE"""),73865367)</f>
        <v>73865367</v>
      </c>
      <c r="J340" s="83" t="s">
        <v>48</v>
      </c>
      <c r="K340" s="16"/>
      <c r="L340" s="16"/>
      <c r="M340" s="16"/>
      <c r="N340" s="21">
        <f ca="1">IFERROR(__xludf.DUMMYFUNCTION("""COMPUTED_VALUE"""),73865367)</f>
        <v>73865367</v>
      </c>
      <c r="O340" s="19"/>
      <c r="P340" s="19"/>
      <c r="Q340" s="19"/>
      <c r="R340" s="19"/>
      <c r="S340" s="19"/>
      <c r="T340" s="19"/>
      <c r="U340" s="19"/>
      <c r="V340" s="19"/>
      <c r="W340" s="20">
        <f ca="1">IFERROR(__xludf.DUMMYFUNCTION("""COMPUTED_VALUE"""),73865367)</f>
        <v>73865367</v>
      </c>
      <c r="X340" s="20" t="str">
        <f ca="1">IFERROR(__xludf.DUMMYFUNCTION("""COMPUTED_VALUE""")," MUNICIPALIDAD DE SAN MIGUEL ")</f>
        <v xml:space="preserve"> MUNICIPALIDAD DE SAN MIGUEL </v>
      </c>
    </row>
    <row r="341" spans="1:24" ht="15.75" customHeight="1" x14ac:dyDescent="0.25">
      <c r="A341" s="16" t="str">
        <f ca="1">IFERROR(__xludf.DUMMYFUNCTION("""COMPUTED_VALUE""")," REGIÓN METROPOLITANA ")</f>
        <v xml:space="preserve"> REGIÓN METROPOLITANA </v>
      </c>
      <c r="B341" s="16" t="str">
        <f t="shared" ca="1" si="1"/>
        <v xml:space="preserve"> ESTACIÓN CENTRAL </v>
      </c>
      <c r="C341" s="16" t="str">
        <f ca="1">IFERROR(__xludf.DUMMYFUNCTION("""COMPUTED_VALUE""")," MEJORAMIENTO PLATABANDA TORO MAZOTE ")</f>
        <v xml:space="preserve"> MEJORAMIENTO PLATABANDA TORO MAZOTE </v>
      </c>
      <c r="D341" s="16" t="str">
        <f ca="1">IFERROR(__xludf.DUMMYFUNCTION("""COMPUTED_VALUE""")," 1-C-2023-2438 ")</f>
        <v xml:space="preserve"> 1-C-2023-2438 </v>
      </c>
      <c r="E341" s="16" t="str">
        <f ca="1">IFERROR(__xludf.DUMMYFUNCTION("""COMPUTED_VALUE""")," 100% Girado ")</f>
        <v xml:space="preserve"> 100% Girado </v>
      </c>
      <c r="F341" s="17">
        <f ca="1">IFERROR(__xludf.DUMMYFUNCTION("""COMPUTED_VALUE"""),45379)</f>
        <v>45379</v>
      </c>
      <c r="G341" s="16">
        <f ca="1">IFERROR(__xludf.DUMMYFUNCTION("""COMPUTED_VALUE"""),102315299)</f>
        <v>102315299</v>
      </c>
      <c r="H341" s="16" t="str">
        <f ca="1">IFERROR(__xludf.DUMMYFUNCTION("""COMPUTED_VALUE""")," 100% Girado ")</f>
        <v xml:space="preserve"> 100% Girado </v>
      </c>
      <c r="I341" s="16">
        <f ca="1">IFERROR(__xludf.DUMMYFUNCTION("""COMPUTED_VALUE"""),102315299)</f>
        <v>102315299</v>
      </c>
      <c r="J341" s="83" t="s">
        <v>48</v>
      </c>
      <c r="K341" s="16"/>
      <c r="L341" s="16"/>
      <c r="M341" s="16"/>
      <c r="N341" s="21">
        <f ca="1">IFERROR(__xludf.DUMMYFUNCTION("""COMPUTED_VALUE"""),102315299)</f>
        <v>102315299</v>
      </c>
      <c r="O341" s="19"/>
      <c r="P341" s="19"/>
      <c r="Q341" s="19"/>
      <c r="R341" s="19"/>
      <c r="S341" s="19"/>
      <c r="T341" s="19"/>
      <c r="U341" s="19"/>
      <c r="V341" s="19"/>
      <c r="W341" s="20">
        <f ca="1">IFERROR(__xludf.DUMMYFUNCTION("""COMPUTED_VALUE"""),102315299)</f>
        <v>102315299</v>
      </c>
      <c r="X341" s="20" t="str">
        <f ca="1">IFERROR(__xludf.DUMMYFUNCTION("""COMPUTED_VALUE""")," MUNICIPALIDAD DE ESTACIÓN CENTRAL ")</f>
        <v xml:space="preserve"> MUNICIPALIDAD DE ESTACIÓN CENTRAL </v>
      </c>
    </row>
    <row r="342" spans="1:24" ht="15.75" customHeight="1" x14ac:dyDescent="0.25">
      <c r="A342" s="16" t="str">
        <f ca="1">IFERROR(__xludf.DUMMYFUNCTION("""COMPUTED_VALUE""")," REGIÓN METROPOLITANA ")</f>
        <v xml:space="preserve"> REGIÓN METROPOLITANA </v>
      </c>
      <c r="B342" s="16" t="str">
        <f t="shared" ca="1" si="1"/>
        <v xml:space="preserve"> LA FLORIDA </v>
      </c>
      <c r="C342" s="16" t="str">
        <f ca="1">IFERROR(__xludf.DUMMYFUNCTION("""COMPUTED_VALUE""")," MEJORAMIENTO DE ÁREA VERDE LAS PIRÁMIDES, U.V. N°15, COMUNA DE LA FLORIDA ")</f>
        <v xml:space="preserve"> MEJORAMIENTO DE ÁREA VERDE LAS PIRÁMIDES, U.V. N°15, COMUNA DE LA FLORIDA </v>
      </c>
      <c r="D342" s="16" t="str">
        <f ca="1">IFERROR(__xludf.DUMMYFUNCTION("""COMPUTED_VALUE""")," 1-C-2023-2464 ")</f>
        <v xml:space="preserve"> 1-C-2023-2464 </v>
      </c>
      <c r="E342" s="16" t="str">
        <f ca="1">IFERROR(__xludf.DUMMYFUNCTION("""COMPUTED_VALUE""")," 100% Girado ")</f>
        <v xml:space="preserve"> 100% Girado </v>
      </c>
      <c r="F342" s="17">
        <f ca="1">IFERROR(__xludf.DUMMYFUNCTION("""COMPUTED_VALUE"""),45406)</f>
        <v>45406</v>
      </c>
      <c r="G342" s="16">
        <f ca="1">IFERROR(__xludf.DUMMYFUNCTION("""COMPUTED_VALUE"""),119252594)</f>
        <v>119252594</v>
      </c>
      <c r="H342" s="16" t="str">
        <f ca="1">IFERROR(__xludf.DUMMYFUNCTION("""COMPUTED_VALUE""")," 100% Girado ")</f>
        <v xml:space="preserve"> 100% Girado </v>
      </c>
      <c r="I342" s="16">
        <f ca="1">IFERROR(__xludf.DUMMYFUNCTION("""COMPUTED_VALUE"""),119252594)</f>
        <v>119252594</v>
      </c>
      <c r="J342" s="83" t="s">
        <v>48</v>
      </c>
      <c r="K342" s="16"/>
      <c r="L342" s="16"/>
      <c r="M342" s="16"/>
      <c r="N342" s="21">
        <f ca="1">IFERROR(__xludf.DUMMYFUNCTION("""COMPUTED_VALUE"""),119252594)</f>
        <v>119252594</v>
      </c>
      <c r="O342" s="19"/>
      <c r="P342" s="19"/>
      <c r="Q342" s="19"/>
      <c r="R342" s="19"/>
      <c r="S342" s="19"/>
      <c r="T342" s="19"/>
      <c r="U342" s="19"/>
      <c r="V342" s="19"/>
      <c r="W342" s="20">
        <f ca="1">IFERROR(__xludf.DUMMYFUNCTION("""COMPUTED_VALUE"""),119252594)</f>
        <v>119252594</v>
      </c>
      <c r="X342" s="20" t="str">
        <f ca="1">IFERROR(__xludf.DUMMYFUNCTION("""COMPUTED_VALUE""")," MUNICIPALIDAD DE LA FLORIDA ")</f>
        <v xml:space="preserve"> MUNICIPALIDAD DE LA FLORIDA </v>
      </c>
    </row>
    <row r="343" spans="1:24" ht="15.75" customHeight="1" x14ac:dyDescent="0.25">
      <c r="A343" s="16" t="str">
        <f ca="1">IFERROR(__xludf.DUMMYFUNCTION("""COMPUTED_VALUE""")," REGIÓN METROPOLITANA ")</f>
        <v xml:space="preserve"> REGIÓN METROPOLITANA </v>
      </c>
      <c r="B343" s="16" t="str">
        <f t="shared" ca="1" si="1"/>
        <v xml:space="preserve"> LA FLORIDA </v>
      </c>
      <c r="C343" s="16" t="str">
        <f ca="1">IFERROR(__xludf.DUMMYFUNCTION("""COMPUTED_VALUE""")," MEJORAMIENTO ÁREA VERDE VILLA AVANCE Y ESFUERZO U.V. N°32, COMUNA LA FLORIDA ")</f>
        <v xml:space="preserve"> MEJORAMIENTO ÁREA VERDE VILLA AVANCE Y ESFUERZO U.V. N°32, COMUNA LA FLORIDA </v>
      </c>
      <c r="D343" s="16" t="str">
        <f ca="1">IFERROR(__xludf.DUMMYFUNCTION("""COMPUTED_VALUE""")," 1-C-2023-2465 ")</f>
        <v xml:space="preserve"> 1-C-2023-2465 </v>
      </c>
      <c r="E343" s="16" t="str">
        <f ca="1">IFERROR(__xludf.DUMMYFUNCTION("""COMPUTED_VALUE""")," 100% Girado ")</f>
        <v xml:space="preserve"> 100% Girado </v>
      </c>
      <c r="F343" s="17">
        <f ca="1">IFERROR(__xludf.DUMMYFUNCTION("""COMPUTED_VALUE"""),45406)</f>
        <v>45406</v>
      </c>
      <c r="G343" s="16">
        <f ca="1">IFERROR(__xludf.DUMMYFUNCTION("""COMPUTED_VALUE"""),148437814)</f>
        <v>148437814</v>
      </c>
      <c r="H343" s="16" t="str">
        <f ca="1">IFERROR(__xludf.DUMMYFUNCTION("""COMPUTED_VALUE""")," 100% Girado ")</f>
        <v xml:space="preserve"> 100% Girado </v>
      </c>
      <c r="I343" s="16">
        <f ca="1">IFERROR(__xludf.DUMMYFUNCTION("""COMPUTED_VALUE"""),148437814)</f>
        <v>148437814</v>
      </c>
      <c r="J343" s="83" t="s">
        <v>48</v>
      </c>
      <c r="K343" s="16"/>
      <c r="L343" s="16"/>
      <c r="M343" s="16"/>
      <c r="N343" s="21">
        <f ca="1">IFERROR(__xludf.DUMMYFUNCTION("""COMPUTED_VALUE"""),148437814)</f>
        <v>148437814</v>
      </c>
      <c r="O343" s="19"/>
      <c r="P343" s="19"/>
      <c r="Q343" s="19"/>
      <c r="R343" s="19"/>
      <c r="S343" s="19"/>
      <c r="T343" s="19"/>
      <c r="U343" s="19"/>
      <c r="V343" s="19"/>
      <c r="W343" s="20">
        <f ca="1">IFERROR(__xludf.DUMMYFUNCTION("""COMPUTED_VALUE"""),148437814)</f>
        <v>148437814</v>
      </c>
      <c r="X343" s="20" t="str">
        <f ca="1">IFERROR(__xludf.DUMMYFUNCTION("""COMPUTED_VALUE""")," MUNICIPALIDAD DE LA FLORIDA ")</f>
        <v xml:space="preserve"> MUNICIPALIDAD DE LA FLORIDA </v>
      </c>
    </row>
    <row r="344" spans="1:24" ht="15.75" customHeight="1" x14ac:dyDescent="0.25">
      <c r="A344" s="16" t="str">
        <f ca="1">IFERROR(__xludf.DUMMYFUNCTION("""COMPUTED_VALUE""")," REGIÓN METROPOLITANA ")</f>
        <v xml:space="preserve"> REGIÓN METROPOLITANA </v>
      </c>
      <c r="B344" s="16" t="str">
        <f t="shared" ca="1" si="1"/>
        <v xml:space="preserve"> LA FLORIDA </v>
      </c>
      <c r="C344" s="16" t="str">
        <f ca="1">IFERROR(__xludf.DUMMYFUNCTION("""COMPUTED_VALUE""")," MEJORAMIENTO DE AREA VERDE LOTEO SAN JOSE DE LA ESTRELLA, U.V N°32, COMUNA DE LA FLORIDA ")</f>
        <v xml:space="preserve"> MEJORAMIENTO DE AREA VERDE LOTEO SAN JOSE DE LA ESTRELLA, U.V N°32, COMUNA DE LA FLORIDA </v>
      </c>
      <c r="D344" s="16" t="str">
        <f ca="1">IFERROR(__xludf.DUMMYFUNCTION("""COMPUTED_VALUE""")," 1-C-2023-2502 ")</f>
        <v xml:space="preserve"> 1-C-2023-2502 </v>
      </c>
      <c r="E344" s="16" t="str">
        <f ca="1">IFERROR(__xludf.DUMMYFUNCTION("""COMPUTED_VALUE""")," 100% Girado ")</f>
        <v xml:space="preserve"> 100% Girado </v>
      </c>
      <c r="F344" s="17">
        <f ca="1">IFERROR(__xludf.DUMMYFUNCTION("""COMPUTED_VALUE"""),45406)</f>
        <v>45406</v>
      </c>
      <c r="G344" s="16">
        <f ca="1">IFERROR(__xludf.DUMMYFUNCTION("""COMPUTED_VALUE"""),76889583)</f>
        <v>76889583</v>
      </c>
      <c r="H344" s="16" t="str">
        <f ca="1">IFERROR(__xludf.DUMMYFUNCTION("""COMPUTED_VALUE""")," 100% Girado ")</f>
        <v xml:space="preserve"> 100% Girado </v>
      </c>
      <c r="I344" s="16">
        <f ca="1">IFERROR(__xludf.DUMMYFUNCTION("""COMPUTED_VALUE"""),76889583)</f>
        <v>76889583</v>
      </c>
      <c r="J344" s="83" t="s">
        <v>48</v>
      </c>
      <c r="K344" s="16"/>
      <c r="L344" s="16"/>
      <c r="M344" s="16"/>
      <c r="N344" s="21">
        <f ca="1">IFERROR(__xludf.DUMMYFUNCTION("""COMPUTED_VALUE"""),76889583)</f>
        <v>76889583</v>
      </c>
      <c r="O344" s="19"/>
      <c r="P344" s="19"/>
      <c r="Q344" s="19"/>
      <c r="R344" s="19"/>
      <c r="S344" s="19"/>
      <c r="T344" s="19"/>
      <c r="U344" s="19"/>
      <c r="V344" s="19"/>
      <c r="W344" s="20">
        <f ca="1">IFERROR(__xludf.DUMMYFUNCTION("""COMPUTED_VALUE"""),76889583)</f>
        <v>76889583</v>
      </c>
      <c r="X344" s="20" t="str">
        <f ca="1">IFERROR(__xludf.DUMMYFUNCTION("""COMPUTED_VALUE""")," MUNICIPALIDAD DE LA FLORIDA ")</f>
        <v xml:space="preserve"> MUNICIPALIDAD DE LA FLORIDA </v>
      </c>
    </row>
    <row r="345" spans="1:24" ht="15.75" customHeight="1" x14ac:dyDescent="0.25">
      <c r="A345" s="16" t="str">
        <f ca="1">IFERROR(__xludf.DUMMYFUNCTION("""COMPUTED_VALUE""")," REGIÓN METROPOLITANA ")</f>
        <v xml:space="preserve"> REGIÓN METROPOLITANA </v>
      </c>
      <c r="B345" s="16" t="str">
        <f t="shared" ca="1" si="1"/>
        <v xml:space="preserve"> SAN RAMÓN </v>
      </c>
      <c r="C345" s="16" t="str">
        <f ca="1">IFERROR(__xludf.DUMMYFUNCTION("""COMPUTED_VALUE""")," MEJORAMIENTO PLAZA SOLA SIERRA SECTOR NORTE, UNIDAD VECINAL 2, SAN RAMON ")</f>
        <v xml:space="preserve"> MEJORAMIENTO PLAZA SOLA SIERRA SECTOR NORTE, UNIDAD VECINAL 2, SAN RAMON </v>
      </c>
      <c r="D345" s="16" t="str">
        <f ca="1">IFERROR(__xludf.DUMMYFUNCTION("""COMPUTED_VALUE""")," 1-C-2023-2503 ")</f>
        <v xml:space="preserve"> 1-C-2023-2503 </v>
      </c>
      <c r="E345" s="16" t="str">
        <f ca="1">IFERROR(__xludf.DUMMYFUNCTION("""COMPUTED_VALUE""")," 100% Girado ")</f>
        <v xml:space="preserve"> 100% Girado </v>
      </c>
      <c r="F345" s="17">
        <f ca="1">IFERROR(__xludf.DUMMYFUNCTION("""COMPUTED_VALUE"""),45385)</f>
        <v>45385</v>
      </c>
      <c r="G345" s="16">
        <f ca="1">IFERROR(__xludf.DUMMYFUNCTION("""COMPUTED_VALUE"""),94480970)</f>
        <v>94480970</v>
      </c>
      <c r="H345" s="16" t="str">
        <f ca="1">IFERROR(__xludf.DUMMYFUNCTION("""COMPUTED_VALUE""")," 100% Girado ")</f>
        <v xml:space="preserve"> 100% Girado </v>
      </c>
      <c r="I345" s="16">
        <f ca="1">IFERROR(__xludf.DUMMYFUNCTION("""COMPUTED_VALUE"""),94480970)</f>
        <v>94480970</v>
      </c>
      <c r="J345" s="83" t="s">
        <v>48</v>
      </c>
      <c r="K345" s="16"/>
      <c r="L345" s="16"/>
      <c r="M345" s="16"/>
      <c r="N345" s="21">
        <f ca="1">IFERROR(__xludf.DUMMYFUNCTION("""COMPUTED_VALUE"""),94480970)</f>
        <v>94480970</v>
      </c>
      <c r="O345" s="19"/>
      <c r="P345" s="19"/>
      <c r="Q345" s="19"/>
      <c r="R345" s="19"/>
      <c r="S345" s="19"/>
      <c r="T345" s="19"/>
      <c r="U345" s="19"/>
      <c r="V345" s="19"/>
      <c r="W345" s="20">
        <f ca="1">IFERROR(__xludf.DUMMYFUNCTION("""COMPUTED_VALUE"""),94480970)</f>
        <v>94480970</v>
      </c>
      <c r="X345" s="20" t="str">
        <f ca="1">IFERROR(__xludf.DUMMYFUNCTION("""COMPUTED_VALUE""")," MUNICIPALIDAD DE SAN RAMÓN ")</f>
        <v xml:space="preserve"> MUNICIPALIDAD DE SAN RAMÓN </v>
      </c>
    </row>
    <row r="346" spans="1:24" ht="15.75" customHeight="1" x14ac:dyDescent="0.25">
      <c r="A346" s="16" t="str">
        <f ca="1">IFERROR(__xludf.DUMMYFUNCTION("""COMPUTED_VALUE""")," REGIÓN METROPOLITANA ")</f>
        <v xml:space="preserve"> REGIÓN METROPOLITANA </v>
      </c>
      <c r="B346" s="16" t="str">
        <f t="shared" ca="1" si="1"/>
        <v xml:space="preserve"> SAN MIGUEL </v>
      </c>
      <c r="C346" s="16" t="str">
        <f ca="1">IFERROR(__xludf.DUMMYFUNCTION("""COMPUTED_VALUE""")," MEJORAMIENTO ZONA DE JUEGOS INFANTILES, PLAZA 12 DE OCTUBRE, COMUNA DE SAN MIGUEL ")</f>
        <v xml:space="preserve"> MEJORAMIENTO ZONA DE JUEGOS INFANTILES, PLAZA 12 DE OCTUBRE, COMUNA DE SAN MIGUEL </v>
      </c>
      <c r="D346" s="16" t="str">
        <f ca="1">IFERROR(__xludf.DUMMYFUNCTION("""COMPUTED_VALUE""")," 1-C-2023-2766 ")</f>
        <v xml:space="preserve"> 1-C-2023-2766 </v>
      </c>
      <c r="E346" s="16" t="str">
        <f ca="1">IFERROR(__xludf.DUMMYFUNCTION("""COMPUTED_VALUE""")," 100% Girado ")</f>
        <v xml:space="preserve"> 100% Girado </v>
      </c>
      <c r="F346" s="17">
        <f ca="1">IFERROR(__xludf.DUMMYFUNCTION("""COMPUTED_VALUE"""),45390)</f>
        <v>45390</v>
      </c>
      <c r="G346" s="16">
        <f ca="1">IFERROR(__xludf.DUMMYFUNCTION("""COMPUTED_VALUE"""),148513980)</f>
        <v>148513980</v>
      </c>
      <c r="H346" s="16" t="str">
        <f ca="1">IFERROR(__xludf.DUMMYFUNCTION("""COMPUTED_VALUE""")," 100% Girado ")</f>
        <v xml:space="preserve"> 100% Girado </v>
      </c>
      <c r="I346" s="16">
        <f ca="1">IFERROR(__xludf.DUMMYFUNCTION("""COMPUTED_VALUE"""),148513980)</f>
        <v>148513980</v>
      </c>
      <c r="J346" s="83" t="s">
        <v>48</v>
      </c>
      <c r="K346" s="16"/>
      <c r="L346" s="16"/>
      <c r="M346" s="16"/>
      <c r="N346" s="21">
        <f ca="1">IFERROR(__xludf.DUMMYFUNCTION("""COMPUTED_VALUE"""),148513980)</f>
        <v>148513980</v>
      </c>
      <c r="O346" s="19"/>
      <c r="P346" s="19"/>
      <c r="Q346" s="19"/>
      <c r="R346" s="19"/>
      <c r="S346" s="19"/>
      <c r="T346" s="19"/>
      <c r="U346" s="19"/>
      <c r="V346" s="19"/>
      <c r="W346" s="20">
        <f ca="1">IFERROR(__xludf.DUMMYFUNCTION("""COMPUTED_VALUE"""),148513980)</f>
        <v>148513980</v>
      </c>
      <c r="X346" s="20" t="str">
        <f ca="1">IFERROR(__xludf.DUMMYFUNCTION("""COMPUTED_VALUE""")," MUNICIPALIDAD DE SAN MIGUEL ")</f>
        <v xml:space="preserve"> MUNICIPALIDAD DE SAN MIGUEL </v>
      </c>
    </row>
    <row r="347" spans="1:24" ht="15.75" customHeight="1" x14ac:dyDescent="0.25">
      <c r="A347" s="16" t="str">
        <f ca="1">IFERROR(__xludf.DUMMYFUNCTION("""COMPUTED_VALUE""")," REGIÓN METROPOLITANA ")</f>
        <v xml:space="preserve"> REGIÓN METROPOLITANA </v>
      </c>
      <c r="B347" s="16" t="str">
        <f t="shared" ca="1" si="1"/>
        <v xml:space="preserve"> COLINA </v>
      </c>
      <c r="C347" s="16" t="str">
        <f ca="1">IFERROR(__xludf.DUMMYFUNCTION("""COMPUTED_VALUE""")," PLAN CSV - MEJORAMIENTO DE ESPACIO PÚBLICO PLAZA POBLACIÓN RIVERA COMAICO, COMUNA DE COLINA ")</f>
        <v xml:space="preserve"> PLAN CSV - MEJORAMIENTO DE ESPACIO PÚBLICO PLAZA POBLACIÓN RIVERA COMAICO, COMUNA DE COLINA </v>
      </c>
      <c r="D347" s="16" t="str">
        <f ca="1">IFERROR(__xludf.DUMMYFUNCTION("""COMPUTED_VALUE""")," 1-C-2023-3024 ")</f>
        <v xml:space="preserve"> 1-C-2023-3024 </v>
      </c>
      <c r="E347" s="16" t="str">
        <f ca="1">IFERROR(__xludf.DUMMYFUNCTION("""COMPUTED_VALUE""")," 100% Girado ")</f>
        <v xml:space="preserve"> 100% Girado </v>
      </c>
      <c r="F347" s="17">
        <f ca="1">IFERROR(__xludf.DUMMYFUNCTION("""COMPUTED_VALUE"""),45379)</f>
        <v>45379</v>
      </c>
      <c r="G347" s="16">
        <f ca="1">IFERROR(__xludf.DUMMYFUNCTION("""COMPUTED_VALUE"""),150000000)</f>
        <v>150000000</v>
      </c>
      <c r="H347" s="16" t="str">
        <f ca="1">IFERROR(__xludf.DUMMYFUNCTION("""COMPUTED_VALUE""")," 100% Girado ")</f>
        <v xml:space="preserve"> 100% Girado </v>
      </c>
      <c r="I347" s="16">
        <f ca="1">IFERROR(__xludf.DUMMYFUNCTION("""COMPUTED_VALUE"""),150000000)</f>
        <v>150000000</v>
      </c>
      <c r="J347" s="83" t="s">
        <v>48</v>
      </c>
      <c r="K347" s="16"/>
      <c r="L347" s="16"/>
      <c r="M347" s="16"/>
      <c r="N347" s="21">
        <f ca="1">IFERROR(__xludf.DUMMYFUNCTION("""COMPUTED_VALUE"""),150000000)</f>
        <v>150000000</v>
      </c>
      <c r="O347" s="19"/>
      <c r="P347" s="19"/>
      <c r="Q347" s="19"/>
      <c r="R347" s="19"/>
      <c r="S347" s="19"/>
      <c r="T347" s="19"/>
      <c r="U347" s="19"/>
      <c r="V347" s="19"/>
      <c r="W347" s="20">
        <f ca="1">IFERROR(__xludf.DUMMYFUNCTION("""COMPUTED_VALUE"""),150000000)</f>
        <v>150000000</v>
      </c>
      <c r="X347" s="20" t="str">
        <f ca="1">IFERROR(__xludf.DUMMYFUNCTION("""COMPUTED_VALUE""")," MUNICIPALIDAD DE COLINA ")</f>
        <v xml:space="preserve"> MUNICIPALIDAD DE COLINA </v>
      </c>
    </row>
    <row r="348" spans="1:24" ht="15.75" customHeight="1" x14ac:dyDescent="0.25">
      <c r="A348" s="16" t="str">
        <f ca="1">IFERROR(__xludf.DUMMYFUNCTION("""COMPUTED_VALUE""")," REGIÓN METROPOLITANA ")</f>
        <v xml:space="preserve"> REGIÓN METROPOLITANA </v>
      </c>
      <c r="B348" s="16" t="str">
        <f t="shared" ca="1" si="1"/>
        <v xml:space="preserve"> COLINA </v>
      </c>
      <c r="C348" s="16" t="str">
        <f ca="1">IFERROR(__xludf.DUMMYFUNCTION("""COMPUTED_VALUE""")," PLAN CSV - MEJORAMIENTO DE ESPACIO PÚBLICO PLAZA POBLACIÓN LUIS CRUZ MARTÍNEZ, COMUNA DE COLINA ")</f>
        <v xml:space="preserve"> PLAN CSV - MEJORAMIENTO DE ESPACIO PÚBLICO PLAZA POBLACIÓN LUIS CRUZ MARTÍNEZ, COMUNA DE COLINA </v>
      </c>
      <c r="D348" s="16" t="str">
        <f ca="1">IFERROR(__xludf.DUMMYFUNCTION("""COMPUTED_VALUE""")," 1-C-2023-3025 ")</f>
        <v xml:space="preserve"> 1-C-2023-3025 </v>
      </c>
      <c r="E348" s="16" t="str">
        <f ca="1">IFERROR(__xludf.DUMMYFUNCTION("""COMPUTED_VALUE""")," 100% Girado ")</f>
        <v xml:space="preserve"> 100% Girado </v>
      </c>
      <c r="F348" s="17">
        <f ca="1">IFERROR(__xludf.DUMMYFUNCTION("""COMPUTED_VALUE"""),45379)</f>
        <v>45379</v>
      </c>
      <c r="G348" s="16">
        <f ca="1">IFERROR(__xludf.DUMMYFUNCTION("""COMPUTED_VALUE"""),150000000)</f>
        <v>150000000</v>
      </c>
      <c r="H348" s="16" t="str">
        <f ca="1">IFERROR(__xludf.DUMMYFUNCTION("""COMPUTED_VALUE""")," 100% Girado ")</f>
        <v xml:space="preserve"> 100% Girado </v>
      </c>
      <c r="I348" s="16">
        <f ca="1">IFERROR(__xludf.DUMMYFUNCTION("""COMPUTED_VALUE"""),150000000)</f>
        <v>150000000</v>
      </c>
      <c r="J348" s="83" t="s">
        <v>48</v>
      </c>
      <c r="K348" s="16"/>
      <c r="L348" s="16"/>
      <c r="M348" s="16"/>
      <c r="N348" s="21">
        <f ca="1">IFERROR(__xludf.DUMMYFUNCTION("""COMPUTED_VALUE"""),150000000)</f>
        <v>150000000</v>
      </c>
      <c r="O348" s="19"/>
      <c r="P348" s="19"/>
      <c r="Q348" s="19"/>
      <c r="R348" s="19"/>
      <c r="S348" s="19"/>
      <c r="T348" s="19"/>
      <c r="U348" s="19"/>
      <c r="V348" s="19"/>
      <c r="W348" s="20">
        <f ca="1">IFERROR(__xludf.DUMMYFUNCTION("""COMPUTED_VALUE"""),150000000)</f>
        <v>150000000</v>
      </c>
      <c r="X348" s="20" t="str">
        <f ca="1">IFERROR(__xludf.DUMMYFUNCTION("""COMPUTED_VALUE""")," MUNICIPALIDAD DE COLINA ")</f>
        <v xml:space="preserve"> MUNICIPALIDAD DE COLINA </v>
      </c>
    </row>
    <row r="349" spans="1:24" ht="15.75" customHeight="1" x14ac:dyDescent="0.25">
      <c r="A349" s="16" t="str">
        <f ca="1">IFERROR(__xludf.DUMMYFUNCTION("""COMPUTED_VALUE""")," REGIÓN METROPOLITANA ")</f>
        <v xml:space="preserve"> REGIÓN METROPOLITANA </v>
      </c>
      <c r="B349" s="16" t="str">
        <f t="shared" ca="1" si="1"/>
        <v xml:space="preserve"> MELIPILLA </v>
      </c>
      <c r="C349" s="16" t="str">
        <f ca="1">IFERROR(__xludf.DUMMYFUNCTION("""COMPUTED_VALUE""")," CONSTRUCCIÓN PUNTO DE INFORMACIÓN TURÍSTICA EN POMAIRE ")</f>
        <v xml:space="preserve"> CONSTRUCCIÓN PUNTO DE INFORMACIÓN TURÍSTICA EN POMAIRE </v>
      </c>
      <c r="D349" s="16" t="str">
        <f ca="1">IFERROR(__xludf.DUMMYFUNCTION("""COMPUTED_VALUE""")," 1-C-2023-3173 ")</f>
        <v xml:space="preserve"> 1-C-2023-3173 </v>
      </c>
      <c r="E349" s="16" t="str">
        <f ca="1">IFERROR(__xludf.DUMMYFUNCTION("""COMPUTED_VALUE""")," 100% Girado ")</f>
        <v xml:space="preserve"> 100% Girado </v>
      </c>
      <c r="F349" s="17">
        <f ca="1">IFERROR(__xludf.DUMMYFUNCTION("""COMPUTED_VALUE"""),45384)</f>
        <v>45384</v>
      </c>
      <c r="G349" s="16">
        <f ca="1">IFERROR(__xludf.DUMMYFUNCTION("""COMPUTED_VALUE"""),138437781)</f>
        <v>138437781</v>
      </c>
      <c r="H349" s="16" t="str">
        <f ca="1">IFERROR(__xludf.DUMMYFUNCTION("""COMPUTED_VALUE""")," 100% Girado ")</f>
        <v xml:space="preserve"> 100% Girado </v>
      </c>
      <c r="I349" s="16">
        <f ca="1">IFERROR(__xludf.DUMMYFUNCTION("""COMPUTED_VALUE"""),138437781)</f>
        <v>138437781</v>
      </c>
      <c r="J349" s="83" t="s">
        <v>48</v>
      </c>
      <c r="K349" s="16"/>
      <c r="L349" s="16"/>
      <c r="M349" s="16"/>
      <c r="N349" s="21">
        <f ca="1">IFERROR(__xludf.DUMMYFUNCTION("""COMPUTED_VALUE"""),138437781)</f>
        <v>138437781</v>
      </c>
      <c r="O349" s="19"/>
      <c r="P349" s="19"/>
      <c r="Q349" s="19"/>
      <c r="R349" s="19"/>
      <c r="S349" s="19"/>
      <c r="T349" s="19"/>
      <c r="U349" s="19"/>
      <c r="V349" s="19"/>
      <c r="W349" s="20">
        <f ca="1">IFERROR(__xludf.DUMMYFUNCTION("""COMPUTED_VALUE"""),138437781)</f>
        <v>138437781</v>
      </c>
      <c r="X349" s="20" t="str">
        <f ca="1">IFERROR(__xludf.DUMMYFUNCTION("""COMPUTED_VALUE""")," MUNICIPALIDAD DE MELIPILLA ")</f>
        <v xml:space="preserve"> MUNICIPALIDAD DE MELIPILLA </v>
      </c>
    </row>
    <row r="350" spans="1:24" ht="15.75" customHeight="1" x14ac:dyDescent="0.25">
      <c r="A350" s="16" t="str">
        <f ca="1">IFERROR(__xludf.DUMMYFUNCTION("""COMPUTED_VALUE""")," REGIÓN METROPOLITANA ")</f>
        <v xml:space="preserve"> REGIÓN METROPOLITANA </v>
      </c>
      <c r="B350" s="16" t="str">
        <f t="shared" ca="1" si="1"/>
        <v xml:space="preserve"> CONCHALÍ </v>
      </c>
      <c r="C350" s="16" t="str">
        <f ca="1">IFERROR(__xludf.DUMMYFUNCTION("""COMPUTED_VALUE""")," MEJORAMIENTO ESPECIO PUBLICO, SECTOR PASARELA ERNESTO RIED, UV N°29, COMUNA DE CONCHALÍ ")</f>
        <v xml:space="preserve"> MEJORAMIENTO ESPECIO PUBLICO, SECTOR PASARELA ERNESTO RIED, UV N°29, COMUNA DE CONCHALÍ </v>
      </c>
      <c r="D350" s="16" t="str">
        <f ca="1">IFERROR(__xludf.DUMMYFUNCTION("""COMPUTED_VALUE""")," 1-C-2023-3441 ")</f>
        <v xml:space="preserve"> 1-C-2023-3441 </v>
      </c>
      <c r="E350" s="16" t="str">
        <f ca="1">IFERROR(__xludf.DUMMYFUNCTION("""COMPUTED_VALUE""")," 100% Girado ")</f>
        <v xml:space="preserve"> 100% Girado </v>
      </c>
      <c r="F350" s="17">
        <f ca="1">IFERROR(__xludf.DUMMYFUNCTION("""COMPUTED_VALUE"""),45391)</f>
        <v>45391</v>
      </c>
      <c r="G350" s="16">
        <f ca="1">IFERROR(__xludf.DUMMYFUNCTION("""COMPUTED_VALUE"""),133981605)</f>
        <v>133981605</v>
      </c>
      <c r="H350" s="16" t="str">
        <f ca="1">IFERROR(__xludf.DUMMYFUNCTION("""COMPUTED_VALUE""")," 100% Girado ")</f>
        <v xml:space="preserve"> 100% Girado </v>
      </c>
      <c r="I350" s="16">
        <f ca="1">IFERROR(__xludf.DUMMYFUNCTION("""COMPUTED_VALUE"""),133981605)</f>
        <v>133981605</v>
      </c>
      <c r="J350" s="83" t="s">
        <v>48</v>
      </c>
      <c r="K350" s="16"/>
      <c r="L350" s="16"/>
      <c r="M350" s="16"/>
      <c r="N350" s="21">
        <f ca="1">IFERROR(__xludf.DUMMYFUNCTION("""COMPUTED_VALUE"""),133981605)</f>
        <v>133981605</v>
      </c>
      <c r="O350" s="19"/>
      <c r="P350" s="19"/>
      <c r="Q350" s="19"/>
      <c r="R350" s="19"/>
      <c r="S350" s="19"/>
      <c r="T350" s="19"/>
      <c r="U350" s="19"/>
      <c r="V350" s="19"/>
      <c r="W350" s="20">
        <f ca="1">IFERROR(__xludf.DUMMYFUNCTION("""COMPUTED_VALUE"""),133981605)</f>
        <v>133981605</v>
      </c>
      <c r="X350" s="20" t="str">
        <f ca="1">IFERROR(__xludf.DUMMYFUNCTION("""COMPUTED_VALUE""")," MUNICIPALIDAD DE CONCHALÍ ")</f>
        <v xml:space="preserve"> MUNICIPALIDAD DE CONCHALÍ </v>
      </c>
    </row>
    <row r="351" spans="1:24" ht="15.75" customHeight="1" x14ac:dyDescent="0.25">
      <c r="A351" s="16" t="str">
        <f ca="1">IFERROR(__xludf.DUMMYFUNCTION("""COMPUTED_VALUE""")," REGIÓN METROPOLITANA ")</f>
        <v xml:space="preserve"> REGIÓN METROPOLITANA </v>
      </c>
      <c r="B351" s="16" t="str">
        <f t="shared" ca="1" si="1"/>
        <v xml:space="preserve"> CONCHALÍ </v>
      </c>
      <c r="C351" s="16" t="str">
        <f ca="1">IFERROR(__xludf.DUMMYFUNCTION("""COMPUTED_VALUE""")," CSV ""MEJORAMIENTO PLAZA ABRAHAM LINCOLN - EL PINO, UV N°34, 35, COMUNA DE CONCHALÍ"" ")</f>
        <v xml:space="preserve"> CSV "MEJORAMIENTO PLAZA ABRAHAM LINCOLN - EL PINO, UV N°34, 35, COMUNA DE CONCHALÍ" </v>
      </c>
      <c r="D351" s="16" t="str">
        <f ca="1">IFERROR(__xludf.DUMMYFUNCTION("""COMPUTED_VALUE""")," 1-C-2024-53 ")</f>
        <v xml:space="preserve"> 1-C-2024-53 </v>
      </c>
      <c r="E351" s="16" t="str">
        <f ca="1">IFERROR(__xludf.DUMMYFUNCTION("""COMPUTED_VALUE""")," 100% Girado ")</f>
        <v xml:space="preserve"> 100% Girado </v>
      </c>
      <c r="F351" s="17">
        <f ca="1">IFERROR(__xludf.DUMMYFUNCTION("""COMPUTED_VALUE"""),45379)</f>
        <v>45379</v>
      </c>
      <c r="G351" s="16">
        <f ca="1">IFERROR(__xludf.DUMMYFUNCTION("""COMPUTED_VALUE"""),122936913)</f>
        <v>122936913</v>
      </c>
      <c r="H351" s="16" t="str">
        <f ca="1">IFERROR(__xludf.DUMMYFUNCTION("""COMPUTED_VALUE""")," 100% Girado ")</f>
        <v xml:space="preserve"> 100% Girado </v>
      </c>
      <c r="I351" s="16">
        <f ca="1">IFERROR(__xludf.DUMMYFUNCTION("""COMPUTED_VALUE"""),122936913)</f>
        <v>122936913</v>
      </c>
      <c r="J351" s="83" t="s">
        <v>48</v>
      </c>
      <c r="K351" s="16"/>
      <c r="L351" s="16"/>
      <c r="M351" s="16"/>
      <c r="N351" s="21">
        <f ca="1">IFERROR(__xludf.DUMMYFUNCTION("""COMPUTED_VALUE"""),122936913)</f>
        <v>122936913</v>
      </c>
      <c r="O351" s="19"/>
      <c r="P351" s="19"/>
      <c r="Q351" s="19"/>
      <c r="R351" s="19"/>
      <c r="S351" s="19"/>
      <c r="T351" s="19"/>
      <c r="U351" s="19"/>
      <c r="V351" s="19"/>
      <c r="W351" s="20">
        <f ca="1">IFERROR(__xludf.DUMMYFUNCTION("""COMPUTED_VALUE"""),122936913)</f>
        <v>122936913</v>
      </c>
      <c r="X351" s="20" t="str">
        <f ca="1">IFERROR(__xludf.DUMMYFUNCTION("""COMPUTED_VALUE""")," MUNICIPALIDAD DE CONCHALÍ ")</f>
        <v xml:space="preserve"> MUNICIPALIDAD DE CONCHALÍ </v>
      </c>
    </row>
    <row r="352" spans="1:24" ht="15.75" customHeight="1" x14ac:dyDescent="0.25">
      <c r="A352" s="16" t="str">
        <f ca="1">IFERROR(__xludf.DUMMYFUNCTION("""COMPUTED_VALUE""")," REGIÓN METROPOLITANA ")</f>
        <v xml:space="preserve"> REGIÓN METROPOLITANA </v>
      </c>
      <c r="B352" s="16" t="str">
        <f t="shared" ca="1" si="1"/>
        <v xml:space="preserve"> CONCHALÍ </v>
      </c>
      <c r="C352" s="16" t="str">
        <f ca="1">IFERROR(__xludf.DUMMYFUNCTION("""COMPUTED_VALUE""")," CSV ""MEJORAMIENTO DE LUMINARIAS PEATONALES, BANDEJON JULIO MONTT SALAMANCA U.V.N°30, CONCHALI.” ")</f>
        <v xml:space="preserve"> CSV "MEJORAMIENTO DE LUMINARIAS PEATONALES, BANDEJON JULIO MONTT SALAMANCA U.V.N°30, CONCHALI.” </v>
      </c>
      <c r="D352" s="16" t="str">
        <f ca="1">IFERROR(__xludf.DUMMYFUNCTION("""COMPUTED_VALUE""")," 1-C-2024-54 ")</f>
        <v xml:space="preserve"> 1-C-2024-54 </v>
      </c>
      <c r="E352" s="16" t="str">
        <f ca="1">IFERROR(__xludf.DUMMYFUNCTION("""COMPUTED_VALUE""")," 100% Girado ")</f>
        <v xml:space="preserve"> 100% Girado </v>
      </c>
      <c r="F352" s="17">
        <f ca="1">IFERROR(__xludf.DUMMYFUNCTION("""COMPUTED_VALUE"""),45391)</f>
        <v>45391</v>
      </c>
      <c r="G352" s="16">
        <f ca="1">IFERROR(__xludf.DUMMYFUNCTION("""COMPUTED_VALUE"""),88714032)</f>
        <v>88714032</v>
      </c>
      <c r="H352" s="16" t="str">
        <f ca="1">IFERROR(__xludf.DUMMYFUNCTION("""COMPUTED_VALUE""")," 100% Girado ")</f>
        <v xml:space="preserve"> 100% Girado </v>
      </c>
      <c r="I352" s="16">
        <f ca="1">IFERROR(__xludf.DUMMYFUNCTION("""COMPUTED_VALUE"""),88714032)</f>
        <v>88714032</v>
      </c>
      <c r="J352" s="83" t="s">
        <v>48</v>
      </c>
      <c r="K352" s="16"/>
      <c r="L352" s="16"/>
      <c r="M352" s="16"/>
      <c r="N352" s="21">
        <f ca="1">IFERROR(__xludf.DUMMYFUNCTION("""COMPUTED_VALUE"""),88714032)</f>
        <v>88714032</v>
      </c>
      <c r="O352" s="19"/>
      <c r="P352" s="19"/>
      <c r="Q352" s="19"/>
      <c r="R352" s="19"/>
      <c r="S352" s="19"/>
      <c r="T352" s="19"/>
      <c r="U352" s="19"/>
      <c r="V352" s="19"/>
      <c r="W352" s="20">
        <f ca="1">IFERROR(__xludf.DUMMYFUNCTION("""COMPUTED_VALUE"""),88714032)</f>
        <v>88714032</v>
      </c>
      <c r="X352" s="20" t="str">
        <f ca="1">IFERROR(__xludf.DUMMYFUNCTION("""COMPUTED_VALUE""")," MUNICIPALIDAD DE CONCHALÍ ")</f>
        <v xml:space="preserve"> MUNICIPALIDAD DE CONCHALÍ </v>
      </c>
    </row>
    <row r="353" spans="1:24" ht="15.75" customHeight="1" x14ac:dyDescent="0.25">
      <c r="A353" s="16" t="str">
        <f ca="1">IFERROR(__xludf.DUMMYFUNCTION("""COMPUTED_VALUE""")," REGIÓN METROPOLITANA ")</f>
        <v xml:space="preserve"> REGIÓN METROPOLITANA </v>
      </c>
      <c r="B353" s="16" t="str">
        <f t="shared" ca="1" si="1"/>
        <v xml:space="preserve"> CONCHALÍ </v>
      </c>
      <c r="C353" s="16" t="str">
        <f ca="1">IFERROR(__xludf.DUMMYFUNCTION("""COMPUTED_VALUE""")," CSV MEJORAMIENTO PLAZA SAGITARIO UV 10, COMUNA DE CONCHALÍ ")</f>
        <v xml:space="preserve"> CSV MEJORAMIENTO PLAZA SAGITARIO UV 10, COMUNA DE CONCHALÍ </v>
      </c>
      <c r="D353" s="16" t="str">
        <f ca="1">IFERROR(__xludf.DUMMYFUNCTION("""COMPUTED_VALUE""")," 1-C-2024-57 ")</f>
        <v xml:space="preserve"> 1-C-2024-57 </v>
      </c>
      <c r="E353" s="16" t="str">
        <f ca="1">IFERROR(__xludf.DUMMYFUNCTION("""COMPUTED_VALUE""")," 100% Girado ")</f>
        <v xml:space="preserve"> 100% Girado </v>
      </c>
      <c r="F353" s="17">
        <f ca="1">IFERROR(__xludf.DUMMYFUNCTION("""COMPUTED_VALUE"""),45390)</f>
        <v>45390</v>
      </c>
      <c r="G353" s="16">
        <f ca="1">IFERROR(__xludf.DUMMYFUNCTION("""COMPUTED_VALUE"""),154367510)</f>
        <v>154367510</v>
      </c>
      <c r="H353" s="16" t="str">
        <f ca="1">IFERROR(__xludf.DUMMYFUNCTION("""COMPUTED_VALUE""")," 100% Girado ")</f>
        <v xml:space="preserve"> 100% Girado </v>
      </c>
      <c r="I353" s="16">
        <f ca="1">IFERROR(__xludf.DUMMYFUNCTION("""COMPUTED_VALUE"""),154367510)</f>
        <v>154367510</v>
      </c>
      <c r="J353" s="83" t="s">
        <v>48</v>
      </c>
      <c r="K353" s="16"/>
      <c r="L353" s="16"/>
      <c r="M353" s="16"/>
      <c r="N353" s="21">
        <f ca="1">IFERROR(__xludf.DUMMYFUNCTION("""COMPUTED_VALUE"""),154367510)</f>
        <v>154367510</v>
      </c>
      <c r="O353" s="19"/>
      <c r="P353" s="19"/>
      <c r="Q353" s="19"/>
      <c r="R353" s="19"/>
      <c r="S353" s="19"/>
      <c r="T353" s="19"/>
      <c r="U353" s="19"/>
      <c r="V353" s="19"/>
      <c r="W353" s="20">
        <f ca="1">IFERROR(__xludf.DUMMYFUNCTION("""COMPUTED_VALUE"""),154367510)</f>
        <v>154367510</v>
      </c>
      <c r="X353" s="20" t="str">
        <f ca="1">IFERROR(__xludf.DUMMYFUNCTION("""COMPUTED_VALUE""")," MUNICIPALIDAD DE CONCHALÍ ")</f>
        <v xml:space="preserve"> MUNICIPALIDAD DE CONCHALÍ </v>
      </c>
    </row>
    <row r="354" spans="1:24" ht="15.75" customHeight="1" x14ac:dyDescent="0.25">
      <c r="A354" s="16" t="str">
        <f ca="1">IFERROR(__xludf.DUMMYFUNCTION("""COMPUTED_VALUE""")," REGIÓN METROPOLITANA ")</f>
        <v xml:space="preserve"> REGIÓN METROPOLITANA </v>
      </c>
      <c r="B354" s="16" t="str">
        <f t="shared" ca="1" si="1"/>
        <v xml:space="preserve"> PEDRO AGUIRRE CERDA </v>
      </c>
      <c r="C354" s="16" t="str">
        <f ca="1">IFERROR(__xludf.DUMMYFUNCTION("""COMPUTED_VALUE""")," MEJORAMIENTO MULTICANCHA LOTEROS 99 POBLACION LO VALLEDOR NORTE, COMUNA DE PEDRO AGUIRRE CERDA ")</f>
        <v xml:space="preserve"> MEJORAMIENTO MULTICANCHA LOTEROS 99 POBLACION LO VALLEDOR NORTE, COMUNA DE PEDRO AGUIRRE CERDA </v>
      </c>
      <c r="D354" s="16" t="str">
        <f ca="1">IFERROR(__xludf.DUMMYFUNCTION("""COMPUTED_VALUE""")," 1-C-2024-207 ")</f>
        <v xml:space="preserve"> 1-C-2024-207 </v>
      </c>
      <c r="E354" s="16" t="str">
        <f ca="1">IFERROR(__xludf.DUMMYFUNCTION("""COMPUTED_VALUE""")," 100% Girado ")</f>
        <v xml:space="preserve"> 100% Girado </v>
      </c>
      <c r="F354" s="17">
        <f ca="1">IFERROR(__xludf.DUMMYFUNCTION("""COMPUTED_VALUE"""),45378)</f>
        <v>45378</v>
      </c>
      <c r="G354" s="16">
        <f ca="1">IFERROR(__xludf.DUMMYFUNCTION("""COMPUTED_VALUE"""),135797208)</f>
        <v>135797208</v>
      </c>
      <c r="H354" s="16" t="str">
        <f ca="1">IFERROR(__xludf.DUMMYFUNCTION("""COMPUTED_VALUE""")," 100% Girado ")</f>
        <v xml:space="preserve"> 100% Girado </v>
      </c>
      <c r="I354" s="16">
        <f ca="1">IFERROR(__xludf.DUMMYFUNCTION("""COMPUTED_VALUE"""),135797208)</f>
        <v>135797208</v>
      </c>
      <c r="J354" s="83" t="s">
        <v>48</v>
      </c>
      <c r="K354" s="16"/>
      <c r="L354" s="16"/>
      <c r="M354" s="16"/>
      <c r="N354" s="21">
        <f ca="1">IFERROR(__xludf.DUMMYFUNCTION("""COMPUTED_VALUE"""),135797208)</f>
        <v>135797208</v>
      </c>
      <c r="O354" s="19"/>
      <c r="P354" s="19"/>
      <c r="Q354" s="19"/>
      <c r="R354" s="19"/>
      <c r="S354" s="19"/>
      <c r="T354" s="19"/>
      <c r="U354" s="19"/>
      <c r="V354" s="19"/>
      <c r="W354" s="20">
        <f ca="1">IFERROR(__xludf.DUMMYFUNCTION("""COMPUTED_VALUE"""),135797208)</f>
        <v>135797208</v>
      </c>
      <c r="X354" s="20" t="str">
        <f ca="1">IFERROR(__xludf.DUMMYFUNCTION("""COMPUTED_VALUE""")," MUNICIPALIDAD DE PEDRO AGUIRRE CERDA ")</f>
        <v xml:space="preserve"> MUNICIPALIDAD DE PEDRO AGUIRRE CERDA </v>
      </c>
    </row>
    <row r="355" spans="1:24" ht="15.75" customHeight="1" x14ac:dyDescent="0.25">
      <c r="A355" s="16" t="str">
        <f ca="1">IFERROR(__xludf.DUMMYFUNCTION("""COMPUTED_VALUE""")," REGIÓN DE ANTOFAGASTA ")</f>
        <v xml:space="preserve"> REGIÓN DE ANTOFAGASTA </v>
      </c>
      <c r="B355" s="16" t="str">
        <f t="shared" ca="1" si="1"/>
        <v xml:space="preserve"> TOCOPILLA </v>
      </c>
      <c r="C355" s="16" t="str">
        <f ca="1">IFERROR(__xludf.DUMMYFUNCTION("""COMPUTED_VALUE""")," CONSTRUCCION PLAZOLETA CHORRILLOS, TOCOPILLA ")</f>
        <v xml:space="preserve"> CONSTRUCCION PLAZOLETA CHORRILLOS, TOCOPILLA </v>
      </c>
      <c r="D355" s="16" t="str">
        <f ca="1">IFERROR(__xludf.DUMMYFUNCTION("""COMPUTED_VALUE""")," 1-C-2022-2802 ")</f>
        <v xml:space="preserve"> 1-C-2022-2802 </v>
      </c>
      <c r="E355" s="16" t="str">
        <f ca="1">IFERROR(__xludf.DUMMYFUNCTION("""COMPUTED_VALUE""")," 100% Girado ")</f>
        <v xml:space="preserve"> 100% Girado </v>
      </c>
      <c r="F355" s="17">
        <f ca="1">IFERROR(__xludf.DUMMYFUNCTION("""COMPUTED_VALUE"""),45404)</f>
        <v>45404</v>
      </c>
      <c r="G355" s="16">
        <f ca="1">IFERROR(__xludf.DUMMYFUNCTION("""COMPUTED_VALUE"""),129378669)</f>
        <v>129378669</v>
      </c>
      <c r="H355" s="16" t="str">
        <f ca="1">IFERROR(__xludf.DUMMYFUNCTION("""COMPUTED_VALUE""")," 100% Girado ")</f>
        <v xml:space="preserve"> 100% Girado </v>
      </c>
      <c r="I355" s="16">
        <f ca="1">IFERROR(__xludf.DUMMYFUNCTION("""COMPUTED_VALUE"""),129378669)</f>
        <v>129378669</v>
      </c>
      <c r="J355" s="83" t="s">
        <v>48</v>
      </c>
      <c r="K355" s="16"/>
      <c r="L355" s="16"/>
      <c r="M355" s="16"/>
      <c r="N355" s="19"/>
      <c r="O355" s="21">
        <f ca="1">IFERROR(__xludf.DUMMYFUNCTION("""COMPUTED_VALUE"""),129378669)</f>
        <v>129378669</v>
      </c>
      <c r="P355" s="19"/>
      <c r="Q355" s="19"/>
      <c r="R355" s="19"/>
      <c r="S355" s="19"/>
      <c r="T355" s="19"/>
      <c r="U355" s="19"/>
      <c r="V355" s="19"/>
      <c r="W355" s="20">
        <f ca="1">IFERROR(__xludf.DUMMYFUNCTION("""COMPUTED_VALUE"""),129378669)</f>
        <v>129378669</v>
      </c>
      <c r="X355" s="20" t="str">
        <f ca="1">IFERROR(__xludf.DUMMYFUNCTION("""COMPUTED_VALUE""")," MUNICIPALIDAD DE TOCOPILLA ")</f>
        <v xml:space="preserve"> MUNICIPALIDAD DE TOCOPILLA </v>
      </c>
    </row>
    <row r="356" spans="1:24" ht="15.75" customHeight="1" x14ac:dyDescent="0.25">
      <c r="A356" s="16" t="str">
        <f ca="1">IFERROR(__xludf.DUMMYFUNCTION("""COMPUTED_VALUE""")," REGIÓN DE ANTOFAGASTA ")</f>
        <v xml:space="preserve"> REGIÓN DE ANTOFAGASTA </v>
      </c>
      <c r="B356" s="16" t="str">
        <f t="shared" ca="1" si="1"/>
        <v xml:space="preserve"> CALAMA </v>
      </c>
      <c r="C356" s="16" t="str">
        <f ca="1">IFERROR(__xludf.DUMMYFUNCTION("""COMPUTED_VALUE""")," NORMALIZACIÓN ILUMINACIÓN PÚBLICA PEATONAL ENTRE CALLE TTE MERINO Y PAMPA BLANCA, PLAN CALLE SIN VIOLENCIA, COMUNA DE CALAMA ")</f>
        <v xml:space="preserve"> NORMALIZACIÓN ILUMINACIÓN PÚBLICA PEATONAL ENTRE CALLE TTE MERINO Y PAMPA BLANCA, PLAN CALLE SIN VIOLENCIA, COMUNA DE CALAMA </v>
      </c>
      <c r="D356" s="16" t="str">
        <f ca="1">IFERROR(__xludf.DUMMYFUNCTION("""COMPUTED_VALUE""")," 1-C-2023-1942 ")</f>
        <v xml:space="preserve"> 1-C-2023-1942 </v>
      </c>
      <c r="E356" s="16" t="str">
        <f ca="1">IFERROR(__xludf.DUMMYFUNCTION("""COMPUTED_VALUE""")," 100% Girado ")</f>
        <v xml:space="preserve"> 100% Girado </v>
      </c>
      <c r="F356" s="17">
        <f ca="1">IFERROR(__xludf.DUMMYFUNCTION("""COMPUTED_VALUE"""),45407)</f>
        <v>45407</v>
      </c>
      <c r="G356" s="16">
        <f ca="1">IFERROR(__xludf.DUMMYFUNCTION("""COMPUTED_VALUE"""),156330174)</f>
        <v>156330174</v>
      </c>
      <c r="H356" s="16" t="str">
        <f ca="1">IFERROR(__xludf.DUMMYFUNCTION("""COMPUTED_VALUE""")," 100% Girado ")</f>
        <v xml:space="preserve"> 100% Girado </v>
      </c>
      <c r="I356" s="16">
        <f ca="1">IFERROR(__xludf.DUMMYFUNCTION("""COMPUTED_VALUE"""),156330174)</f>
        <v>156330174</v>
      </c>
      <c r="J356" s="83" t="s">
        <v>48</v>
      </c>
      <c r="K356" s="16"/>
      <c r="L356" s="16"/>
      <c r="M356" s="16"/>
      <c r="N356" s="19"/>
      <c r="O356" s="21">
        <f ca="1">IFERROR(__xludf.DUMMYFUNCTION("""COMPUTED_VALUE"""),156330174)</f>
        <v>156330174</v>
      </c>
      <c r="P356" s="19"/>
      <c r="Q356" s="19"/>
      <c r="R356" s="19"/>
      <c r="S356" s="19"/>
      <c r="T356" s="19"/>
      <c r="U356" s="19"/>
      <c r="V356" s="19"/>
      <c r="W356" s="20">
        <f ca="1">IFERROR(__xludf.DUMMYFUNCTION("""COMPUTED_VALUE"""),156330174)</f>
        <v>156330174</v>
      </c>
      <c r="X356" s="20" t="str">
        <f ca="1">IFERROR(__xludf.DUMMYFUNCTION("""COMPUTED_VALUE""")," MUNICIPALIDAD DE CALAMA ")</f>
        <v xml:space="preserve"> MUNICIPALIDAD DE CALAMA </v>
      </c>
    </row>
    <row r="357" spans="1:24" ht="15.75" customHeight="1" x14ac:dyDescent="0.25">
      <c r="A357" s="16" t="str">
        <f ca="1">IFERROR(__xludf.DUMMYFUNCTION("""COMPUTED_VALUE""")," REGIÓN DE ANTOFAGASTA ")</f>
        <v xml:space="preserve"> REGIÓN DE ANTOFAGASTA </v>
      </c>
      <c r="B357" s="16" t="str">
        <f t="shared" ca="1" si="1"/>
        <v xml:space="preserve"> CALAMA </v>
      </c>
      <c r="C357" s="16" t="str">
        <f ca="1">IFERROR(__xludf.DUMMYFUNCTION("""COMPUTED_VALUE""")," MEJORAMIENTO ESPACIO PÚBLICO CALLE RUPANCO ENTRE PSJE. ARAUCO NORTE Y PSJE. ARAUCO SUR, VILLA LOS COPIHUES PLAN CALLE SIN VIOLENCIA COMUNA DE CALAMA ")</f>
        <v xml:space="preserve"> MEJORAMIENTO ESPACIO PÚBLICO CALLE RUPANCO ENTRE PSJE. ARAUCO NORTE Y PSJE. ARAUCO SUR, VILLA LOS COPIHUES PLAN CALLE SIN VIOLENCIA COMUNA DE CALAMA </v>
      </c>
      <c r="D357" s="16" t="str">
        <f ca="1">IFERROR(__xludf.DUMMYFUNCTION("""COMPUTED_VALUE""")," 1-C-2023-3298 ")</f>
        <v xml:space="preserve"> 1-C-2023-3298 </v>
      </c>
      <c r="E357" s="16" t="str">
        <f ca="1">IFERROR(__xludf.DUMMYFUNCTION("""COMPUTED_VALUE""")," 100% Girado ")</f>
        <v xml:space="preserve"> 100% Girado </v>
      </c>
      <c r="F357" s="17">
        <f ca="1">IFERROR(__xludf.DUMMYFUNCTION("""COMPUTED_VALUE"""),45422)</f>
        <v>45422</v>
      </c>
      <c r="G357" s="16">
        <f ca="1">IFERROR(__xludf.DUMMYFUNCTION("""COMPUTED_VALUE"""),161664723)</f>
        <v>161664723</v>
      </c>
      <c r="H357" s="16" t="str">
        <f ca="1">IFERROR(__xludf.DUMMYFUNCTION("""COMPUTED_VALUE""")," 100% Girado ")</f>
        <v xml:space="preserve"> 100% Girado </v>
      </c>
      <c r="I357" s="16">
        <f ca="1">IFERROR(__xludf.DUMMYFUNCTION("""COMPUTED_VALUE"""),161664723)</f>
        <v>161664723</v>
      </c>
      <c r="J357" s="83" t="s">
        <v>48</v>
      </c>
      <c r="K357" s="16"/>
      <c r="L357" s="16"/>
      <c r="M357" s="16"/>
      <c r="N357" s="19"/>
      <c r="O357" s="21">
        <f ca="1">IFERROR(__xludf.DUMMYFUNCTION("""COMPUTED_VALUE"""),161664723)</f>
        <v>161664723</v>
      </c>
      <c r="P357" s="19"/>
      <c r="Q357" s="19"/>
      <c r="R357" s="19"/>
      <c r="S357" s="19"/>
      <c r="T357" s="19"/>
      <c r="U357" s="19"/>
      <c r="V357" s="19"/>
      <c r="W357" s="20">
        <f ca="1">IFERROR(__xludf.DUMMYFUNCTION("""COMPUTED_VALUE"""),161664723)</f>
        <v>161664723</v>
      </c>
      <c r="X357" s="20" t="str">
        <f ca="1">IFERROR(__xludf.DUMMYFUNCTION("""COMPUTED_VALUE""")," MUNICIPALIDAD DE CALAMA ")</f>
        <v xml:space="preserve"> MUNICIPALIDAD DE CALAMA </v>
      </c>
    </row>
    <row r="358" spans="1:24" ht="15.75" customHeight="1" x14ac:dyDescent="0.25">
      <c r="A358" s="16" t="str">
        <f ca="1">IFERROR(__xludf.DUMMYFUNCTION("""COMPUTED_VALUE""")," REGIÓN DE ANTOFAGASTA ")</f>
        <v xml:space="preserve"> REGIÓN DE ANTOFAGASTA </v>
      </c>
      <c r="B358" s="16" t="str">
        <f t="shared" ca="1" si="1"/>
        <v xml:space="preserve"> TOCOPILLA </v>
      </c>
      <c r="C358" s="16" t="str">
        <f ca="1">IFERROR(__xludf.DUMMYFUNCTION("""COMPUTED_VALUE""")," [SATE] ""REPOSICION SEÑALETICA DE TRANSITO Y DEMARCACION SECTOR PACIFICO NORTE Y TRES MARIAS, COMUNA DE TOCOPILLA"" ")</f>
        <v xml:space="preserve"> [SATE] "REPOSICION SEÑALETICA DE TRANSITO Y DEMARCACION SECTOR PACIFICO NORTE Y TRES MARIAS, COMUNA DE TOCOPILLA" </v>
      </c>
      <c r="D358" s="16" t="str">
        <f ca="1">IFERROR(__xludf.DUMMYFUNCTION("""COMPUTED_VALUE""")," 1-B-2024-117 ")</f>
        <v xml:space="preserve"> 1-B-2024-117 </v>
      </c>
      <c r="E358" s="16" t="str">
        <f ca="1">IFERROR(__xludf.DUMMYFUNCTION("""COMPUTED_VALUE""")," 100% Girado ")</f>
        <v xml:space="preserve"> 100% Girado </v>
      </c>
      <c r="F358" s="17">
        <f ca="1">IFERROR(__xludf.DUMMYFUNCTION("""COMPUTED_VALUE"""),45422)</f>
        <v>45422</v>
      </c>
      <c r="G358" s="16">
        <f ca="1">IFERROR(__xludf.DUMMYFUNCTION("""COMPUTED_VALUE"""),110760009)</f>
        <v>110760009</v>
      </c>
      <c r="H358" s="16" t="str">
        <f ca="1">IFERROR(__xludf.DUMMYFUNCTION("""COMPUTED_VALUE""")," 100% Girado ")</f>
        <v xml:space="preserve"> 100% Girado </v>
      </c>
      <c r="I358" s="16">
        <f ca="1">IFERROR(__xludf.DUMMYFUNCTION("""COMPUTED_VALUE"""),110760009)</f>
        <v>110760009</v>
      </c>
      <c r="J358" s="83" t="s">
        <v>48</v>
      </c>
      <c r="K358" s="16"/>
      <c r="L358" s="16"/>
      <c r="M358" s="16"/>
      <c r="N358" s="19"/>
      <c r="O358" s="21">
        <f ca="1">IFERROR(__xludf.DUMMYFUNCTION("""COMPUTED_VALUE"""),110760009)</f>
        <v>110760009</v>
      </c>
      <c r="P358" s="19"/>
      <c r="Q358" s="19"/>
      <c r="R358" s="19"/>
      <c r="S358" s="19"/>
      <c r="T358" s="19"/>
      <c r="U358" s="19"/>
      <c r="V358" s="19"/>
      <c r="W358" s="20">
        <f ca="1">IFERROR(__xludf.DUMMYFUNCTION("""COMPUTED_VALUE"""),110760009)</f>
        <v>110760009</v>
      </c>
      <c r="X358" s="20" t="str">
        <f ca="1">IFERROR(__xludf.DUMMYFUNCTION("""COMPUTED_VALUE""")," MUNICIPALIDAD DE TOCOPILLA ")</f>
        <v xml:space="preserve"> MUNICIPALIDAD DE TOCOPILLA </v>
      </c>
    </row>
    <row r="359" spans="1:24" ht="15.75" customHeight="1" x14ac:dyDescent="0.25">
      <c r="A359" s="16" t="str">
        <f ca="1">IFERROR(__xludf.DUMMYFUNCTION("""COMPUTED_VALUE""")," REGIÓN DE ANTOFAGASTA ")</f>
        <v xml:space="preserve"> REGIÓN DE ANTOFAGASTA </v>
      </c>
      <c r="B359" s="16" t="str">
        <f t="shared" ca="1" si="1"/>
        <v xml:space="preserve"> TOCOPILLA </v>
      </c>
      <c r="C359" s="16" t="str">
        <f ca="1">IFERROR(__xludf.DUMMYFUNCTION("""COMPUTED_VALUE""")," REPOSICION SEÑALETICAS Y DEMARCACIONES VIALES VILLA SUR, COMUNA DE TOCOPILLA ")</f>
        <v xml:space="preserve"> REPOSICION SEÑALETICAS Y DEMARCACIONES VIALES VILLA SUR, COMUNA DE TOCOPILLA </v>
      </c>
      <c r="D359" s="16" t="str">
        <f ca="1">IFERROR(__xludf.DUMMYFUNCTION("""COMPUTED_VALUE""")," 1-B-2024-120 ")</f>
        <v xml:space="preserve"> 1-B-2024-120 </v>
      </c>
      <c r="E359" s="16" t="str">
        <f ca="1">IFERROR(__xludf.DUMMYFUNCTION("""COMPUTED_VALUE""")," 100% Girado ")</f>
        <v xml:space="preserve"> 100% Girado </v>
      </c>
      <c r="F359" s="17">
        <f ca="1">IFERROR(__xludf.DUMMYFUNCTION("""COMPUTED_VALUE"""),45422)</f>
        <v>45422</v>
      </c>
      <c r="G359" s="16">
        <f ca="1">IFERROR(__xludf.DUMMYFUNCTION("""COMPUTED_VALUE"""),127880659)</f>
        <v>127880659</v>
      </c>
      <c r="H359" s="16" t="str">
        <f ca="1">IFERROR(__xludf.DUMMYFUNCTION("""COMPUTED_VALUE""")," 100% Girado ")</f>
        <v xml:space="preserve"> 100% Girado </v>
      </c>
      <c r="I359" s="16">
        <f ca="1">IFERROR(__xludf.DUMMYFUNCTION("""COMPUTED_VALUE"""),127880659)</f>
        <v>127880659</v>
      </c>
      <c r="J359" s="83" t="s">
        <v>48</v>
      </c>
      <c r="K359" s="16"/>
      <c r="L359" s="16"/>
      <c r="M359" s="16"/>
      <c r="N359" s="19"/>
      <c r="O359" s="21">
        <f ca="1">IFERROR(__xludf.DUMMYFUNCTION("""COMPUTED_VALUE"""),127880659)</f>
        <v>127880659</v>
      </c>
      <c r="P359" s="19"/>
      <c r="Q359" s="19"/>
      <c r="R359" s="19"/>
      <c r="S359" s="19"/>
      <c r="T359" s="19"/>
      <c r="U359" s="19"/>
      <c r="V359" s="19"/>
      <c r="W359" s="20">
        <f ca="1">IFERROR(__xludf.DUMMYFUNCTION("""COMPUTED_VALUE"""),127880659)</f>
        <v>127880659</v>
      </c>
      <c r="X359" s="20" t="str">
        <f ca="1">IFERROR(__xludf.DUMMYFUNCTION("""COMPUTED_VALUE""")," MUNICIPALIDAD DE TOCOPILLA ")</f>
        <v xml:space="preserve"> MUNICIPALIDAD DE TOCOPILLA </v>
      </c>
    </row>
    <row r="360" spans="1:24" ht="15.75" customHeight="1" x14ac:dyDescent="0.25">
      <c r="A360" s="16" t="str">
        <f ca="1">IFERROR(__xludf.DUMMYFUNCTION("""COMPUTED_VALUE""")," REGIÓN DE ATACAMA ")</f>
        <v xml:space="preserve"> REGIÓN DE ATACAMA </v>
      </c>
      <c r="B360" s="16" t="str">
        <f t="shared" ca="1" si="1"/>
        <v xml:space="preserve"> HUASCO </v>
      </c>
      <c r="C360" s="16" t="str">
        <f ca="1">IFERROR(__xludf.DUMMYFUNCTION("""COMPUTED_VALUE""")," CONSTRUCCIÓN SEDE COMUNITARIA VIEJOS ESTANDARTES, COMUNA DE HUASCO ")</f>
        <v xml:space="preserve"> CONSTRUCCIÓN SEDE COMUNITARIA VIEJOS ESTANDARTES, COMUNA DE HUASCO </v>
      </c>
      <c r="D360" s="16" t="str">
        <f ca="1">IFERROR(__xludf.DUMMYFUNCTION("""COMPUTED_VALUE""")," 1-C-2023-3187 ")</f>
        <v xml:space="preserve"> 1-C-2023-3187 </v>
      </c>
      <c r="E360" s="16" t="str">
        <f ca="1">IFERROR(__xludf.DUMMYFUNCTION("""COMPUTED_VALUE""")," 100% Girado ")</f>
        <v xml:space="preserve"> 100% Girado </v>
      </c>
      <c r="F360" s="17">
        <f ca="1">IFERROR(__xludf.DUMMYFUNCTION("""COMPUTED_VALUE"""),45436)</f>
        <v>45436</v>
      </c>
      <c r="G360" s="16">
        <f ca="1">IFERROR(__xludf.DUMMYFUNCTION("""COMPUTED_VALUE"""),138961286)</f>
        <v>138961286</v>
      </c>
      <c r="H360" s="16" t="str">
        <f ca="1">IFERROR(__xludf.DUMMYFUNCTION("""COMPUTED_VALUE""")," 100% Girado ")</f>
        <v xml:space="preserve"> 100% Girado </v>
      </c>
      <c r="I360" s="16">
        <f ca="1">IFERROR(__xludf.DUMMYFUNCTION("""COMPUTED_VALUE"""),138961286)</f>
        <v>138961286</v>
      </c>
      <c r="J360" s="83" t="s">
        <v>48</v>
      </c>
      <c r="K360" s="16"/>
      <c r="L360" s="16"/>
      <c r="M360" s="16"/>
      <c r="N360" s="19"/>
      <c r="O360" s="21">
        <f ca="1">IFERROR(__xludf.DUMMYFUNCTION("""COMPUTED_VALUE"""),138961286)</f>
        <v>138961286</v>
      </c>
      <c r="P360" s="19"/>
      <c r="Q360" s="19"/>
      <c r="R360" s="19"/>
      <c r="S360" s="19"/>
      <c r="T360" s="19"/>
      <c r="U360" s="19"/>
      <c r="V360" s="19"/>
      <c r="W360" s="20">
        <f ca="1">IFERROR(__xludf.DUMMYFUNCTION("""COMPUTED_VALUE"""),138961286)</f>
        <v>138961286</v>
      </c>
      <c r="X360" s="20" t="str">
        <f ca="1">IFERROR(__xludf.DUMMYFUNCTION("""COMPUTED_VALUE""")," MUNICIPALIDAD DE HUASCO ")</f>
        <v xml:space="preserve"> MUNICIPALIDAD DE HUASCO </v>
      </c>
    </row>
    <row r="361" spans="1:24" ht="15.75" customHeight="1" x14ac:dyDescent="0.25">
      <c r="A361" s="16" t="str">
        <f ca="1">IFERROR(__xludf.DUMMYFUNCTION("""COMPUTED_VALUE""")," REGIÓN DE COQUIMBO ")</f>
        <v xml:space="preserve"> REGIÓN DE COQUIMBO </v>
      </c>
      <c r="B361" s="16" t="str">
        <f t="shared" ca="1" si="1"/>
        <v xml:space="preserve"> COQUIMBO </v>
      </c>
      <c r="C361" s="16" t="str">
        <f ca="1">IFERROR(__xludf.DUMMYFUNCTION("""COMPUTED_VALUE""")," MEJORAMIENTO MULTICANCHA LOS COPIHUES, SECTOR LOTEO PORTUGAL, COQUIMBO ")</f>
        <v xml:space="preserve"> MEJORAMIENTO MULTICANCHA LOS COPIHUES, SECTOR LOTEO PORTUGAL, COQUIMBO </v>
      </c>
      <c r="D361" s="16" t="str">
        <f ca="1">IFERROR(__xludf.DUMMYFUNCTION("""COMPUTED_VALUE""")," 1-C-2023-1493 ")</f>
        <v xml:space="preserve"> 1-C-2023-1493 </v>
      </c>
      <c r="E361" s="16" t="str">
        <f ca="1">IFERROR(__xludf.DUMMYFUNCTION("""COMPUTED_VALUE""")," 100% Girado ")</f>
        <v xml:space="preserve"> 100% Girado </v>
      </c>
      <c r="F361" s="17">
        <f ca="1">IFERROR(__xludf.DUMMYFUNCTION("""COMPUTED_VALUE"""),45422)</f>
        <v>45422</v>
      </c>
      <c r="G361" s="16">
        <f ca="1">IFERROR(__xludf.DUMMYFUNCTION("""COMPUTED_VALUE"""),161630487)</f>
        <v>161630487</v>
      </c>
      <c r="H361" s="16" t="str">
        <f ca="1">IFERROR(__xludf.DUMMYFUNCTION("""COMPUTED_VALUE""")," 100% Girado ")</f>
        <v xml:space="preserve"> 100% Girado </v>
      </c>
      <c r="I361" s="16">
        <f ca="1">IFERROR(__xludf.DUMMYFUNCTION("""COMPUTED_VALUE"""),161630487)</f>
        <v>161630487</v>
      </c>
      <c r="J361" s="83" t="s">
        <v>48</v>
      </c>
      <c r="K361" s="16"/>
      <c r="L361" s="16"/>
      <c r="M361" s="16"/>
      <c r="N361" s="19"/>
      <c r="O361" s="21">
        <f ca="1">IFERROR(__xludf.DUMMYFUNCTION("""COMPUTED_VALUE"""),161630487)</f>
        <v>161630487</v>
      </c>
      <c r="P361" s="19"/>
      <c r="Q361" s="19"/>
      <c r="R361" s="19"/>
      <c r="S361" s="19"/>
      <c r="T361" s="19"/>
      <c r="U361" s="19"/>
      <c r="V361" s="19"/>
      <c r="W361" s="20">
        <f ca="1">IFERROR(__xludf.DUMMYFUNCTION("""COMPUTED_VALUE"""),161630487)</f>
        <v>161630487</v>
      </c>
      <c r="X361" s="20" t="str">
        <f ca="1">IFERROR(__xludf.DUMMYFUNCTION("""COMPUTED_VALUE""")," MUNICIPALIDAD DE COQUIMBO ")</f>
        <v xml:space="preserve"> MUNICIPALIDAD DE COQUIMBO </v>
      </c>
    </row>
    <row r="362" spans="1:24" ht="15.75" customHeight="1" x14ac:dyDescent="0.25">
      <c r="A362" s="16" t="str">
        <f ca="1">IFERROR(__xludf.DUMMYFUNCTION("""COMPUTED_VALUE""")," REGIÓN DE COQUIMBO ")</f>
        <v xml:space="preserve"> REGIÓN DE COQUIMBO </v>
      </c>
      <c r="B362" s="16" t="str">
        <f t="shared" ca="1" si="1"/>
        <v xml:space="preserve"> LA SERENA </v>
      </c>
      <c r="C362" s="16" t="str">
        <f ca="1">IFERROR(__xludf.DUMMYFUNCTION("""COMPUTED_VALUE""")," [PREAVS] REPOSICION Y MANTENCIÓN MOBILIARIO URBANO, AVDA. FRANCISCO DE AGUIRRE, LA SERENA ")</f>
        <v xml:space="preserve"> [PREAVS] REPOSICION Y MANTENCIÓN MOBILIARIO URBANO, AVDA. FRANCISCO DE AGUIRRE, LA SERENA </v>
      </c>
      <c r="D362" s="16" t="str">
        <f ca="1">IFERROR(__xludf.DUMMYFUNCTION("""COMPUTED_VALUE""")," 1-C-2023-1699 ")</f>
        <v xml:space="preserve"> 1-C-2023-1699 </v>
      </c>
      <c r="E362" s="16" t="str">
        <f ca="1">IFERROR(__xludf.DUMMYFUNCTION("""COMPUTED_VALUE""")," 100% Girado ")</f>
        <v xml:space="preserve"> 100% Girado </v>
      </c>
      <c r="F362" s="17">
        <f ca="1">IFERROR(__xludf.DUMMYFUNCTION("""COMPUTED_VALUE"""),45414)</f>
        <v>45414</v>
      </c>
      <c r="G362" s="16">
        <f ca="1">IFERROR(__xludf.DUMMYFUNCTION("""COMPUTED_VALUE"""),84590506)</f>
        <v>84590506</v>
      </c>
      <c r="H362" s="16" t="str">
        <f ca="1">IFERROR(__xludf.DUMMYFUNCTION("""COMPUTED_VALUE""")," 100% Girado ")</f>
        <v xml:space="preserve"> 100% Girado </v>
      </c>
      <c r="I362" s="16">
        <f ca="1">IFERROR(__xludf.DUMMYFUNCTION("""COMPUTED_VALUE"""),84590506)</f>
        <v>84590506</v>
      </c>
      <c r="J362" s="83" t="s">
        <v>48</v>
      </c>
      <c r="K362" s="16"/>
      <c r="L362" s="16"/>
      <c r="M362" s="16"/>
      <c r="N362" s="19"/>
      <c r="O362" s="21">
        <f ca="1">IFERROR(__xludf.DUMMYFUNCTION("""COMPUTED_VALUE"""),84590506)</f>
        <v>84590506</v>
      </c>
      <c r="P362" s="19"/>
      <c r="Q362" s="19"/>
      <c r="R362" s="19"/>
      <c r="S362" s="19"/>
      <c r="T362" s="19"/>
      <c r="U362" s="19"/>
      <c r="V362" s="19"/>
      <c r="W362" s="20">
        <f ca="1">IFERROR(__xludf.DUMMYFUNCTION("""COMPUTED_VALUE"""),84590506)</f>
        <v>84590506</v>
      </c>
      <c r="X362" s="20" t="str">
        <f ca="1">IFERROR(__xludf.DUMMYFUNCTION("""COMPUTED_VALUE""")," MUNICIPALIDAD DE LA SERENA ")</f>
        <v xml:space="preserve"> MUNICIPALIDAD DE LA SERENA </v>
      </c>
    </row>
    <row r="363" spans="1:24" ht="15.75" customHeight="1" x14ac:dyDescent="0.25">
      <c r="A363" s="16" t="str">
        <f ca="1">IFERROR(__xludf.DUMMYFUNCTION("""COMPUTED_VALUE""")," REGIÓN DE COQUIMBO ")</f>
        <v xml:space="preserve"> REGIÓN DE COQUIMBO </v>
      </c>
      <c r="B363" s="16" t="str">
        <f t="shared" ca="1" si="1"/>
        <v xml:space="preserve"> COQUIMBO </v>
      </c>
      <c r="C363" s="16" t="str">
        <f ca="1">IFERROR(__xludf.DUMMYFUNCTION("""COMPUTED_VALUE""")," MEJORAMIENTO ELÉCTRICO SECTOR PLAZA DE ARMAS DE COQUIMBO ")</f>
        <v xml:space="preserve"> MEJORAMIENTO ELÉCTRICO SECTOR PLAZA DE ARMAS DE COQUIMBO </v>
      </c>
      <c r="D363" s="16" t="str">
        <f ca="1">IFERROR(__xludf.DUMMYFUNCTION("""COMPUTED_VALUE""")," 1-C-2023-2598 ")</f>
        <v xml:space="preserve"> 1-C-2023-2598 </v>
      </c>
      <c r="E363" s="16" t="str">
        <f ca="1">IFERROR(__xludf.DUMMYFUNCTION("""COMPUTED_VALUE""")," 100% Girado ")</f>
        <v xml:space="preserve"> 100% Girado </v>
      </c>
      <c r="F363" s="17">
        <f ca="1">IFERROR(__xludf.DUMMYFUNCTION("""COMPUTED_VALUE"""),45422)</f>
        <v>45422</v>
      </c>
      <c r="G363" s="16">
        <f ca="1">IFERROR(__xludf.DUMMYFUNCTION("""COMPUTED_VALUE"""),155372814)</f>
        <v>155372814</v>
      </c>
      <c r="H363" s="16" t="str">
        <f ca="1">IFERROR(__xludf.DUMMYFUNCTION("""COMPUTED_VALUE""")," 100% Girado ")</f>
        <v xml:space="preserve"> 100% Girado </v>
      </c>
      <c r="I363" s="16">
        <f ca="1">IFERROR(__xludf.DUMMYFUNCTION("""COMPUTED_VALUE"""),155372814)</f>
        <v>155372814</v>
      </c>
      <c r="J363" s="83" t="s">
        <v>48</v>
      </c>
      <c r="K363" s="16"/>
      <c r="L363" s="16"/>
      <c r="M363" s="16"/>
      <c r="N363" s="19"/>
      <c r="O363" s="21">
        <f ca="1">IFERROR(__xludf.DUMMYFUNCTION("""COMPUTED_VALUE"""),155372814)</f>
        <v>155372814</v>
      </c>
      <c r="P363" s="19"/>
      <c r="Q363" s="19"/>
      <c r="R363" s="19"/>
      <c r="S363" s="19"/>
      <c r="T363" s="19"/>
      <c r="U363" s="19"/>
      <c r="V363" s="19"/>
      <c r="W363" s="20">
        <f ca="1">IFERROR(__xludf.DUMMYFUNCTION("""COMPUTED_VALUE"""),155372814)</f>
        <v>155372814</v>
      </c>
      <c r="X363" s="20" t="str">
        <f ca="1">IFERROR(__xludf.DUMMYFUNCTION("""COMPUTED_VALUE""")," MUNICIPALIDAD DE COQUIMBO ")</f>
        <v xml:space="preserve"> MUNICIPALIDAD DE COQUIMBO </v>
      </c>
    </row>
    <row r="364" spans="1:24" ht="15.75" customHeight="1" x14ac:dyDescent="0.25">
      <c r="A364" s="16" t="str">
        <f ca="1">IFERROR(__xludf.DUMMYFUNCTION("""COMPUTED_VALUE""")," REGIÓN DE COQUIMBO ")</f>
        <v xml:space="preserve"> REGIÓN DE COQUIMBO </v>
      </c>
      <c r="B364" s="16" t="str">
        <f t="shared" ca="1" si="1"/>
        <v xml:space="preserve"> LA SERENA </v>
      </c>
      <c r="C364" s="16" t="str">
        <f ca="1">IFERROR(__xludf.DUMMYFUNCTION("""COMPUTED_VALUE""")," [PREAVS] MEJORAMIENTO PLAZA BUENOS AIRES, AVDA. FRANCISCO DE AGUIRRE, LA SERENA. ")</f>
        <v xml:space="preserve"> [PREAVS] MEJORAMIENTO PLAZA BUENOS AIRES, AVDA. FRANCISCO DE AGUIRRE, LA SERENA. </v>
      </c>
      <c r="D364" s="16" t="str">
        <f ca="1">IFERROR(__xludf.DUMMYFUNCTION("""COMPUTED_VALUE""")," 1-C-2023-2705 ")</f>
        <v xml:space="preserve"> 1-C-2023-2705 </v>
      </c>
      <c r="E364" s="16" t="str">
        <f ca="1">IFERROR(__xludf.DUMMYFUNCTION("""COMPUTED_VALUE""")," 100% Girado ")</f>
        <v xml:space="preserve"> 100% Girado </v>
      </c>
      <c r="F364" s="17">
        <f ca="1">IFERROR(__xludf.DUMMYFUNCTION("""COMPUTED_VALUE"""),45427)</f>
        <v>45427</v>
      </c>
      <c r="G364" s="16">
        <f ca="1">IFERROR(__xludf.DUMMYFUNCTION("""COMPUTED_VALUE"""),161645495)</f>
        <v>161645495</v>
      </c>
      <c r="H364" s="16" t="str">
        <f ca="1">IFERROR(__xludf.DUMMYFUNCTION("""COMPUTED_VALUE""")," 100% Girado ")</f>
        <v xml:space="preserve"> 100% Girado </v>
      </c>
      <c r="I364" s="16">
        <f ca="1">IFERROR(__xludf.DUMMYFUNCTION("""COMPUTED_VALUE"""),161645495)</f>
        <v>161645495</v>
      </c>
      <c r="J364" s="83" t="s">
        <v>48</v>
      </c>
      <c r="K364" s="16"/>
      <c r="L364" s="16"/>
      <c r="M364" s="16"/>
      <c r="N364" s="19"/>
      <c r="O364" s="21">
        <f ca="1">IFERROR(__xludf.DUMMYFUNCTION("""COMPUTED_VALUE"""),161645495)</f>
        <v>161645495</v>
      </c>
      <c r="P364" s="19"/>
      <c r="Q364" s="19"/>
      <c r="R364" s="19"/>
      <c r="S364" s="19"/>
      <c r="T364" s="19"/>
      <c r="U364" s="19"/>
      <c r="V364" s="19"/>
      <c r="W364" s="20">
        <f ca="1">IFERROR(__xludf.DUMMYFUNCTION("""COMPUTED_VALUE"""),161645495)</f>
        <v>161645495</v>
      </c>
      <c r="X364" s="20" t="str">
        <f ca="1">IFERROR(__xludf.DUMMYFUNCTION("""COMPUTED_VALUE""")," MUNICIPALIDAD DE LA SERENA ")</f>
        <v xml:space="preserve"> MUNICIPALIDAD DE LA SERENA </v>
      </c>
    </row>
    <row r="365" spans="1:24" ht="15.75" customHeight="1" x14ac:dyDescent="0.25">
      <c r="A365" s="16" t="str">
        <f ca="1">IFERROR(__xludf.DUMMYFUNCTION("""COMPUTED_VALUE""")," REGIÓN DE COQUIMBO ")</f>
        <v xml:space="preserve"> REGIÓN DE COQUIMBO </v>
      </c>
      <c r="B365" s="16" t="str">
        <f t="shared" ca="1" si="1"/>
        <v xml:space="preserve"> LA SERENA </v>
      </c>
      <c r="C365" s="16" t="str">
        <f ca="1">IFERROR(__xludf.DUMMYFUNCTION("""COMPUTED_VALUE""")," [PREAVS] MEJORAMIENTO REFUGIOS PEATONALES, AVDA FRANCISCO DE AGUIRRE, LA SERENA ")</f>
        <v xml:space="preserve"> [PREAVS] MEJORAMIENTO REFUGIOS PEATONALES, AVDA FRANCISCO DE AGUIRRE, LA SERENA </v>
      </c>
      <c r="D365" s="16" t="str">
        <f ca="1">IFERROR(__xludf.DUMMYFUNCTION("""COMPUTED_VALUE""")," 1-C-2023-2706 ")</f>
        <v xml:space="preserve"> 1-C-2023-2706 </v>
      </c>
      <c r="E365" s="16" t="str">
        <f ca="1">IFERROR(__xludf.DUMMYFUNCTION("""COMPUTED_VALUE""")," 100% Girado ")</f>
        <v xml:space="preserve"> 100% Girado </v>
      </c>
      <c r="F365" s="17">
        <f ca="1">IFERROR(__xludf.DUMMYFUNCTION("""COMPUTED_VALUE"""),45414)</f>
        <v>45414</v>
      </c>
      <c r="G365" s="16">
        <f ca="1">IFERROR(__xludf.DUMMYFUNCTION("""COMPUTED_VALUE"""),63128975)</f>
        <v>63128975</v>
      </c>
      <c r="H365" s="16" t="str">
        <f ca="1">IFERROR(__xludf.DUMMYFUNCTION("""COMPUTED_VALUE""")," 100% Girado ")</f>
        <v xml:space="preserve"> 100% Girado </v>
      </c>
      <c r="I365" s="16">
        <f ca="1">IFERROR(__xludf.DUMMYFUNCTION("""COMPUTED_VALUE"""),63128975)</f>
        <v>63128975</v>
      </c>
      <c r="J365" s="83" t="s">
        <v>48</v>
      </c>
      <c r="K365" s="16"/>
      <c r="L365" s="16"/>
      <c r="M365" s="16"/>
      <c r="N365" s="19"/>
      <c r="O365" s="21">
        <f ca="1">IFERROR(__xludf.DUMMYFUNCTION("""COMPUTED_VALUE"""),63128975)</f>
        <v>63128975</v>
      </c>
      <c r="P365" s="19"/>
      <c r="Q365" s="19"/>
      <c r="R365" s="19"/>
      <c r="S365" s="19"/>
      <c r="T365" s="19"/>
      <c r="U365" s="19"/>
      <c r="V365" s="19"/>
      <c r="W365" s="20">
        <f ca="1">IFERROR(__xludf.DUMMYFUNCTION("""COMPUTED_VALUE"""),63128975)</f>
        <v>63128975</v>
      </c>
      <c r="X365" s="20" t="str">
        <f ca="1">IFERROR(__xludf.DUMMYFUNCTION("""COMPUTED_VALUE""")," MUNICIPALIDAD DE LA SERENA ")</f>
        <v xml:space="preserve"> MUNICIPALIDAD DE LA SERENA </v>
      </c>
    </row>
    <row r="366" spans="1:24" ht="15.75" customHeight="1" x14ac:dyDescent="0.25">
      <c r="A366" s="16" t="str">
        <f ca="1">IFERROR(__xludf.DUMMYFUNCTION("""COMPUTED_VALUE""")," REGIÓN DE COQUIMBO ")</f>
        <v xml:space="preserve"> REGIÓN DE COQUIMBO </v>
      </c>
      <c r="B366" s="16" t="str">
        <f t="shared" ca="1" si="1"/>
        <v xml:space="preserve"> ILLAPEL </v>
      </c>
      <c r="C366" s="16" t="str">
        <f ca="1">IFERROR(__xludf.DUMMYFUNCTION("""COMPUTED_VALUE""")," INSTALACIÓN DE LUMINARIAS ACCESO NORTE, COMUNA DE ILLAPEL ")</f>
        <v xml:space="preserve"> INSTALACIÓN DE LUMINARIAS ACCESO NORTE, COMUNA DE ILLAPEL </v>
      </c>
      <c r="D366" s="16" t="str">
        <f ca="1">IFERROR(__xludf.DUMMYFUNCTION("""COMPUTED_VALUE""")," 1-B-2024-65 ")</f>
        <v xml:space="preserve"> 1-B-2024-65 </v>
      </c>
      <c r="E366" s="16" t="str">
        <f ca="1">IFERROR(__xludf.DUMMYFUNCTION("""COMPUTED_VALUE""")," 100% Girado ")</f>
        <v xml:space="preserve"> 100% Girado </v>
      </c>
      <c r="F366" s="17">
        <f ca="1">IFERROR(__xludf.DUMMYFUNCTION("""COMPUTED_VALUE"""),45427)</f>
        <v>45427</v>
      </c>
      <c r="G366" s="16">
        <f ca="1">IFERROR(__xludf.DUMMYFUNCTION("""COMPUTED_VALUE"""),96847053)</f>
        <v>96847053</v>
      </c>
      <c r="H366" s="16" t="str">
        <f ca="1">IFERROR(__xludf.DUMMYFUNCTION("""COMPUTED_VALUE""")," 100% Girado ")</f>
        <v xml:space="preserve"> 100% Girado </v>
      </c>
      <c r="I366" s="16">
        <f ca="1">IFERROR(__xludf.DUMMYFUNCTION("""COMPUTED_VALUE"""),96847053)</f>
        <v>96847053</v>
      </c>
      <c r="J366" s="83" t="s">
        <v>48</v>
      </c>
      <c r="K366" s="16"/>
      <c r="L366" s="16"/>
      <c r="M366" s="16"/>
      <c r="N366" s="19"/>
      <c r="O366" s="21">
        <f ca="1">IFERROR(__xludf.DUMMYFUNCTION("""COMPUTED_VALUE"""),96847053)</f>
        <v>96847053</v>
      </c>
      <c r="P366" s="19"/>
      <c r="Q366" s="19"/>
      <c r="R366" s="19"/>
      <c r="S366" s="19"/>
      <c r="T366" s="19"/>
      <c r="U366" s="19"/>
      <c r="V366" s="19"/>
      <c r="W366" s="20">
        <f ca="1">IFERROR(__xludf.DUMMYFUNCTION("""COMPUTED_VALUE"""),96847053)</f>
        <v>96847053</v>
      </c>
      <c r="X366" s="20" t="str">
        <f ca="1">IFERROR(__xludf.DUMMYFUNCTION("""COMPUTED_VALUE""")," MUNICIPALIDAD DE ILLAPEL ")</f>
        <v xml:space="preserve"> MUNICIPALIDAD DE ILLAPEL </v>
      </c>
    </row>
    <row r="367" spans="1:24" ht="15.75" customHeight="1" x14ac:dyDescent="0.25">
      <c r="A367" s="16" t="str">
        <f ca="1">IFERROR(__xludf.DUMMYFUNCTION("""COMPUTED_VALUE""")," REGIÓN DE VALPARAÍSO ")</f>
        <v xml:space="preserve"> REGIÓN DE VALPARAÍSO </v>
      </c>
      <c r="B367" s="16" t="str">
        <f t="shared" ca="1" si="1"/>
        <v xml:space="preserve"> LLAILLAY </v>
      </c>
      <c r="C367" s="16" t="str">
        <f ca="1">IFERROR(__xludf.DUMMYFUNCTION("""COMPUTED_VALUE""")," MEJORAMIENTO MULTICANCHA POBLACION LOS COPIHUES ")</f>
        <v xml:space="preserve"> MEJORAMIENTO MULTICANCHA POBLACION LOS COPIHUES </v>
      </c>
      <c r="D367" s="16" t="str">
        <f ca="1">IFERROR(__xludf.DUMMYFUNCTION("""COMPUTED_VALUE""")," 1-C-2020-562 ")</f>
        <v xml:space="preserve"> 1-C-2020-562 </v>
      </c>
      <c r="E367" s="16" t="str">
        <f ca="1">IFERROR(__xludf.DUMMYFUNCTION("""COMPUTED_VALUE""")," 100% Girado ")</f>
        <v xml:space="preserve"> 100% Girado </v>
      </c>
      <c r="F367" s="17">
        <f ca="1">IFERROR(__xludf.DUMMYFUNCTION("""COMPUTED_VALUE"""),44560)</f>
        <v>44560</v>
      </c>
      <c r="G367" s="16">
        <f ca="1">IFERROR(__xludf.DUMMYFUNCTION("""COMPUTED_VALUE"""),73988211)</f>
        <v>73988211</v>
      </c>
      <c r="H367" s="16" t="str">
        <f ca="1">IFERROR(__xludf.DUMMYFUNCTION("""COMPUTED_VALUE""")," 100% Girado ")</f>
        <v xml:space="preserve"> 100% Girado </v>
      </c>
      <c r="I367" s="16">
        <f ca="1">IFERROR(__xludf.DUMMYFUNCTION("""COMPUTED_VALUE"""),16711242)</f>
        <v>16711242</v>
      </c>
      <c r="J367" s="83" t="s">
        <v>48</v>
      </c>
      <c r="K367" s="16"/>
      <c r="L367" s="16"/>
      <c r="M367" s="16"/>
      <c r="N367" s="19"/>
      <c r="O367" s="21">
        <f ca="1">IFERROR(__xludf.DUMMYFUNCTION("""COMPUTED_VALUE"""),16711242)</f>
        <v>16711242</v>
      </c>
      <c r="P367" s="19"/>
      <c r="Q367" s="19"/>
      <c r="R367" s="19"/>
      <c r="S367" s="19"/>
      <c r="T367" s="19"/>
      <c r="U367" s="19"/>
      <c r="V367" s="19"/>
      <c r="W367" s="20">
        <f ca="1">IFERROR(__xludf.DUMMYFUNCTION("""COMPUTED_VALUE"""),16711242)</f>
        <v>16711242</v>
      </c>
      <c r="X367" s="20" t="str">
        <f ca="1">IFERROR(__xludf.DUMMYFUNCTION("""COMPUTED_VALUE""")," MUNICIPALIDAD DE LLAILLAY ")</f>
        <v xml:space="preserve"> MUNICIPALIDAD DE LLAILLAY </v>
      </c>
    </row>
    <row r="368" spans="1:24" ht="15.75" customHeight="1" x14ac:dyDescent="0.25">
      <c r="A368" s="16" t="str">
        <f ca="1">IFERROR(__xludf.DUMMYFUNCTION("""COMPUTED_VALUE""")," REGIÓN DE VALPARAÍSO ")</f>
        <v xml:space="preserve"> REGIÓN DE VALPARAÍSO </v>
      </c>
      <c r="B368" s="16" t="str">
        <f t="shared" ca="1" si="1"/>
        <v xml:space="preserve"> VILLA ALEMANA </v>
      </c>
      <c r="C368" s="16" t="str">
        <f ca="1">IFERROR(__xludf.DUMMYFUNCTION("""COMPUTED_VALUE""")," CONSTRUCCIÓN MULTICANCHA RINCÓN DEL SOL ")</f>
        <v xml:space="preserve"> CONSTRUCCIÓN MULTICANCHA RINCÓN DEL SOL </v>
      </c>
      <c r="D368" s="16" t="str">
        <f ca="1">IFERROR(__xludf.DUMMYFUNCTION("""COMPUTED_VALUE""")," 1-C-2020-701 ")</f>
        <v xml:space="preserve"> 1-C-2020-701 </v>
      </c>
      <c r="E368" s="16" t="str">
        <f ca="1">IFERROR(__xludf.DUMMYFUNCTION("""COMPUTED_VALUE""")," 100% Girado ")</f>
        <v xml:space="preserve"> 100% Girado </v>
      </c>
      <c r="F368" s="17">
        <f ca="1">IFERROR(__xludf.DUMMYFUNCTION("""COMPUTED_VALUE"""),44560)</f>
        <v>44560</v>
      </c>
      <c r="G368" s="16">
        <f ca="1">IFERROR(__xludf.DUMMYFUNCTION("""COMPUTED_VALUE"""),74975396)</f>
        <v>74975396</v>
      </c>
      <c r="H368" s="16" t="str">
        <f ca="1">IFERROR(__xludf.DUMMYFUNCTION("""COMPUTED_VALUE""")," 100% Girado ")</f>
        <v xml:space="preserve"> 100% Girado </v>
      </c>
      <c r="I368" s="16">
        <f ca="1">IFERROR(__xludf.DUMMYFUNCTION("""COMPUTED_VALUE"""),17002871)</f>
        <v>17002871</v>
      </c>
      <c r="J368" s="83" t="s">
        <v>48</v>
      </c>
      <c r="K368" s="16"/>
      <c r="L368" s="16"/>
      <c r="M368" s="16"/>
      <c r="N368" s="19"/>
      <c r="O368" s="21">
        <f ca="1">IFERROR(__xludf.DUMMYFUNCTION("""COMPUTED_VALUE"""),17002871)</f>
        <v>17002871</v>
      </c>
      <c r="P368" s="19"/>
      <c r="Q368" s="19"/>
      <c r="R368" s="19"/>
      <c r="S368" s="19"/>
      <c r="T368" s="19"/>
      <c r="U368" s="19"/>
      <c r="V368" s="19"/>
      <c r="W368" s="20">
        <f ca="1">IFERROR(__xludf.DUMMYFUNCTION("""COMPUTED_VALUE"""),17002871)</f>
        <v>17002871</v>
      </c>
      <c r="X368" s="20" t="str">
        <f ca="1">IFERROR(__xludf.DUMMYFUNCTION("""COMPUTED_VALUE""")," MUNICIPALIDAD DE VILLA ALEMANA ")</f>
        <v xml:space="preserve"> MUNICIPALIDAD DE VILLA ALEMANA </v>
      </c>
    </row>
    <row r="369" spans="1:24" ht="15.75" customHeight="1" x14ac:dyDescent="0.25">
      <c r="A369" s="16" t="str">
        <f ca="1">IFERROR(__xludf.DUMMYFUNCTION("""COMPUTED_VALUE""")," REGIÓN DE VALPARAÍSO ")</f>
        <v xml:space="preserve"> REGIÓN DE VALPARAÍSO </v>
      </c>
      <c r="B369" s="16" t="str">
        <f t="shared" ca="1" si="1"/>
        <v xml:space="preserve"> LLAILLAY </v>
      </c>
      <c r="C369" s="16" t="str">
        <f ca="1">IFERROR(__xludf.DUMMYFUNCTION("""COMPUTED_VALUE""")," MEJORAMIENTO MULTICANCHA POBLACION 21 DE MAYO, COMUNA DE LLAY-LLAY ")</f>
        <v xml:space="preserve"> MEJORAMIENTO MULTICANCHA POBLACION 21 DE MAYO, COMUNA DE LLAY-LLAY </v>
      </c>
      <c r="D369" s="16" t="str">
        <f ca="1">IFERROR(__xludf.DUMMYFUNCTION("""COMPUTED_VALUE""")," 1-C-2020-1255 ")</f>
        <v xml:space="preserve"> 1-C-2020-1255 </v>
      </c>
      <c r="E369" s="16" t="str">
        <f ca="1">IFERROR(__xludf.DUMMYFUNCTION("""COMPUTED_VALUE""")," 100% Girado ")</f>
        <v xml:space="preserve"> 100% Girado </v>
      </c>
      <c r="F369" s="17">
        <f ca="1">IFERROR(__xludf.DUMMYFUNCTION("""COMPUTED_VALUE"""),44560)</f>
        <v>44560</v>
      </c>
      <c r="G369" s="16">
        <f ca="1">IFERROR(__xludf.DUMMYFUNCTION("""COMPUTED_VALUE"""),64419720)</f>
        <v>64419720</v>
      </c>
      <c r="H369" s="16" t="str">
        <f ca="1">IFERROR(__xludf.DUMMYFUNCTION("""COMPUTED_VALUE""")," 100% Girado ")</f>
        <v xml:space="preserve"> 100% Girado </v>
      </c>
      <c r="I369" s="16">
        <f ca="1">IFERROR(__xludf.DUMMYFUNCTION("""COMPUTED_VALUE"""),14464557)</f>
        <v>14464557</v>
      </c>
      <c r="J369" s="83" t="s">
        <v>48</v>
      </c>
      <c r="K369" s="16"/>
      <c r="L369" s="16"/>
      <c r="M369" s="16"/>
      <c r="N369" s="19"/>
      <c r="O369" s="21">
        <f ca="1">IFERROR(__xludf.DUMMYFUNCTION("""COMPUTED_VALUE"""),14464557)</f>
        <v>14464557</v>
      </c>
      <c r="P369" s="19"/>
      <c r="Q369" s="19"/>
      <c r="R369" s="19"/>
      <c r="S369" s="19"/>
      <c r="T369" s="19"/>
      <c r="U369" s="19"/>
      <c r="V369" s="19"/>
      <c r="W369" s="20">
        <f ca="1">IFERROR(__xludf.DUMMYFUNCTION("""COMPUTED_VALUE"""),14464557)</f>
        <v>14464557</v>
      </c>
      <c r="X369" s="20" t="str">
        <f ca="1">IFERROR(__xludf.DUMMYFUNCTION("""COMPUTED_VALUE""")," MUNICIPALIDAD DE LLAILLAY ")</f>
        <v xml:space="preserve"> MUNICIPALIDAD DE LLAILLAY </v>
      </c>
    </row>
    <row r="370" spans="1:24" ht="15.75" customHeight="1" x14ac:dyDescent="0.25">
      <c r="A370" s="16" t="str">
        <f ca="1">IFERROR(__xludf.DUMMYFUNCTION("""COMPUTED_VALUE""")," REGIÓN DE VALPARAÍSO ")</f>
        <v xml:space="preserve"> REGIÓN DE VALPARAÍSO </v>
      </c>
      <c r="B370" s="16" t="str">
        <f t="shared" ca="1" si="1"/>
        <v xml:space="preserve"> PUCHUNCAVÍ </v>
      </c>
      <c r="C370" s="16" t="str">
        <f ca="1">IFERROR(__xludf.DUMMYFUNCTION("""COMPUTED_VALUE""")," PAVIMENTACIÓN CALLE ALBATROS ")</f>
        <v xml:space="preserve"> PAVIMENTACIÓN CALLE ALBATROS </v>
      </c>
      <c r="D370" s="16" t="str">
        <f ca="1">IFERROR(__xludf.DUMMYFUNCTION("""COMPUTED_VALUE""")," 1-C-2022-53 [FET] ")</f>
        <v xml:space="preserve"> 1-C-2022-53 [FET] </v>
      </c>
      <c r="E370" s="16" t="str">
        <f ca="1">IFERROR(__xludf.DUMMYFUNCTION("""COMPUTED_VALUE""")," 100% Girado ")</f>
        <v xml:space="preserve"> 100% Girado </v>
      </c>
      <c r="F370" s="17">
        <f ca="1">IFERROR(__xludf.DUMMYFUNCTION("""COMPUTED_VALUE"""),44789)</f>
        <v>44789</v>
      </c>
      <c r="G370" s="16">
        <f ca="1">IFERROR(__xludf.DUMMYFUNCTION("""COMPUTED_VALUE"""),72328044)</f>
        <v>72328044</v>
      </c>
      <c r="H370" s="16" t="str">
        <f ca="1">IFERROR(__xludf.DUMMYFUNCTION("""COMPUTED_VALUE""")," 100% Girado ")</f>
        <v xml:space="preserve"> 100% Girado </v>
      </c>
      <c r="I370" s="16">
        <f ca="1">IFERROR(__xludf.DUMMYFUNCTION("""COMPUTED_VALUE"""),16588550)</f>
        <v>16588550</v>
      </c>
      <c r="J370" s="83" t="s">
        <v>48</v>
      </c>
      <c r="K370" s="16"/>
      <c r="L370" s="16"/>
      <c r="M370" s="16"/>
      <c r="N370" s="19"/>
      <c r="O370" s="21">
        <f ca="1">IFERROR(__xludf.DUMMYFUNCTION("""COMPUTED_VALUE"""),16588550)</f>
        <v>16588550</v>
      </c>
      <c r="P370" s="19"/>
      <c r="Q370" s="19"/>
      <c r="R370" s="19"/>
      <c r="S370" s="19"/>
      <c r="T370" s="19"/>
      <c r="U370" s="19"/>
      <c r="V370" s="19"/>
      <c r="W370" s="20">
        <f ca="1">IFERROR(__xludf.DUMMYFUNCTION("""COMPUTED_VALUE"""),16588550)</f>
        <v>16588550</v>
      </c>
      <c r="X370" s="20" t="str">
        <f ca="1">IFERROR(__xludf.DUMMYFUNCTION("""COMPUTED_VALUE""")," MUNICIPALIDAD DE PUCHUNCAVÍ ")</f>
        <v xml:space="preserve"> MUNICIPALIDAD DE PUCHUNCAVÍ </v>
      </c>
    </row>
    <row r="371" spans="1:24" ht="15.75" customHeight="1" x14ac:dyDescent="0.25">
      <c r="A371" s="16" t="str">
        <f ca="1">IFERROR(__xludf.DUMMYFUNCTION("""COMPUTED_VALUE""")," REGIÓN DE VALPARAÍSO ")</f>
        <v xml:space="preserve"> REGIÓN DE VALPARAÍSO </v>
      </c>
      <c r="B371" s="16" t="str">
        <f t="shared" ca="1" si="1"/>
        <v xml:space="preserve"> PAPUDO </v>
      </c>
      <c r="C371" s="16" t="str">
        <f ca="1">IFERROR(__xludf.DUMMYFUNCTION("""COMPUTED_VALUE""")," [SATE] REPOSICIÓN CUBIERTA Y VENTANAS GIMNASIO MUNICIPAL ")</f>
        <v xml:space="preserve"> [SATE] REPOSICIÓN CUBIERTA Y VENTANAS GIMNASIO MUNICIPAL </v>
      </c>
      <c r="D371" s="16" t="str">
        <f ca="1">IFERROR(__xludf.DUMMYFUNCTION("""COMPUTED_VALUE""")," 1-C-2023-344 ")</f>
        <v xml:space="preserve"> 1-C-2023-344 </v>
      </c>
      <c r="E371" s="16" t="str">
        <f ca="1">IFERROR(__xludf.DUMMYFUNCTION("""COMPUTED_VALUE""")," 100% Girado ")</f>
        <v xml:space="preserve"> 100% Girado </v>
      </c>
      <c r="F371" s="17">
        <f ca="1">IFERROR(__xludf.DUMMYFUNCTION("""COMPUTED_VALUE"""),45427)</f>
        <v>45427</v>
      </c>
      <c r="G371" s="16">
        <f ca="1">IFERROR(__xludf.DUMMYFUNCTION("""COMPUTED_VALUE"""),154422492)</f>
        <v>154422492</v>
      </c>
      <c r="H371" s="16" t="str">
        <f ca="1">IFERROR(__xludf.DUMMYFUNCTION("""COMPUTED_VALUE""")," 100% Girado ")</f>
        <v xml:space="preserve"> 100% Girado </v>
      </c>
      <c r="I371" s="16">
        <f ca="1">IFERROR(__xludf.DUMMYFUNCTION("""COMPUTED_VALUE"""),154422492)</f>
        <v>154422492</v>
      </c>
      <c r="J371" s="83" t="s">
        <v>48</v>
      </c>
      <c r="K371" s="16"/>
      <c r="L371" s="16"/>
      <c r="M371" s="16"/>
      <c r="N371" s="19"/>
      <c r="O371" s="21">
        <f ca="1">IFERROR(__xludf.DUMMYFUNCTION("""COMPUTED_VALUE"""),154422492)</f>
        <v>154422492</v>
      </c>
      <c r="P371" s="19"/>
      <c r="Q371" s="19"/>
      <c r="R371" s="19"/>
      <c r="S371" s="19"/>
      <c r="T371" s="19"/>
      <c r="U371" s="19"/>
      <c r="V371" s="19"/>
      <c r="W371" s="20">
        <f ca="1">IFERROR(__xludf.DUMMYFUNCTION("""COMPUTED_VALUE"""),154422492)</f>
        <v>154422492</v>
      </c>
      <c r="X371" s="20" t="str">
        <f ca="1">IFERROR(__xludf.DUMMYFUNCTION("""COMPUTED_VALUE""")," MUNICIPALIDAD DE PAPUDO ")</f>
        <v xml:space="preserve"> MUNICIPALIDAD DE PAPUDO </v>
      </c>
    </row>
    <row r="372" spans="1:24" ht="15.75" customHeight="1" x14ac:dyDescent="0.25">
      <c r="A372" s="16" t="str">
        <f ca="1">IFERROR(__xludf.DUMMYFUNCTION("""COMPUTED_VALUE""")," REGIÓN DE VALPARAÍSO ")</f>
        <v xml:space="preserve"> REGIÓN DE VALPARAÍSO </v>
      </c>
      <c r="B372" s="16" t="str">
        <f t="shared" ca="1" si="1"/>
        <v xml:space="preserve"> VALPARAÍSO </v>
      </c>
      <c r="C372" s="16" t="str">
        <f ca="1">IFERROR(__xludf.DUMMYFUNCTION("""COMPUTED_VALUE""")," CSV REPOSICIÓN SISTEMA DE ILUMINACIÓN MANUEL GUERRERO ")</f>
        <v xml:space="preserve"> CSV REPOSICIÓN SISTEMA DE ILUMINACIÓN MANUEL GUERRERO </v>
      </c>
      <c r="D372" s="16" t="str">
        <f ca="1">IFERROR(__xludf.DUMMYFUNCTION("""COMPUTED_VALUE""")," 1-C-2023-2307 ")</f>
        <v xml:space="preserve"> 1-C-2023-2307 </v>
      </c>
      <c r="E372" s="16" t="str">
        <f ca="1">IFERROR(__xludf.DUMMYFUNCTION("""COMPUTED_VALUE""")," 100% Girado ")</f>
        <v xml:space="preserve"> 100% Girado </v>
      </c>
      <c r="F372" s="17">
        <f ca="1">IFERROR(__xludf.DUMMYFUNCTION("""COMPUTED_VALUE"""),45412)</f>
        <v>45412</v>
      </c>
      <c r="G372" s="16">
        <f ca="1">IFERROR(__xludf.DUMMYFUNCTION("""COMPUTED_VALUE"""),153886944)</f>
        <v>153886944</v>
      </c>
      <c r="H372" s="16" t="str">
        <f ca="1">IFERROR(__xludf.DUMMYFUNCTION("""COMPUTED_VALUE""")," 100% Girado ")</f>
        <v xml:space="preserve"> 100% Girado </v>
      </c>
      <c r="I372" s="16">
        <f ca="1">IFERROR(__xludf.DUMMYFUNCTION("""COMPUTED_VALUE"""),153886944)</f>
        <v>153886944</v>
      </c>
      <c r="J372" s="83" t="s">
        <v>48</v>
      </c>
      <c r="K372" s="16"/>
      <c r="L372" s="16"/>
      <c r="M372" s="16"/>
      <c r="N372" s="19"/>
      <c r="O372" s="21">
        <f ca="1">IFERROR(__xludf.DUMMYFUNCTION("""COMPUTED_VALUE"""),153886944)</f>
        <v>153886944</v>
      </c>
      <c r="P372" s="19"/>
      <c r="Q372" s="19"/>
      <c r="R372" s="19"/>
      <c r="S372" s="19"/>
      <c r="T372" s="19"/>
      <c r="U372" s="19"/>
      <c r="V372" s="19"/>
      <c r="W372" s="20">
        <f ca="1">IFERROR(__xludf.DUMMYFUNCTION("""COMPUTED_VALUE"""),153886944)</f>
        <v>153886944</v>
      </c>
      <c r="X372" s="20" t="str">
        <f ca="1">IFERROR(__xludf.DUMMYFUNCTION("""COMPUTED_VALUE""")," MUNICIPALIDAD DE VALPARAÍSO ")</f>
        <v xml:space="preserve"> MUNICIPALIDAD DE VALPARAÍSO </v>
      </c>
    </row>
    <row r="373" spans="1:24" ht="15.75" customHeight="1" x14ac:dyDescent="0.25">
      <c r="A373" s="16" t="str">
        <f ca="1">IFERROR(__xludf.DUMMYFUNCTION("""COMPUTED_VALUE""")," REGIÓN DEL LIBERTADOR GENERAL BERNARDO O’HIGGINS ")</f>
        <v xml:space="preserve"> REGIÓN DEL LIBERTADOR GENERAL BERNARDO O’HIGGINS </v>
      </c>
      <c r="B373" s="16" t="str">
        <f t="shared" ca="1" si="1"/>
        <v xml:space="preserve"> COINCO </v>
      </c>
      <c r="C373" s="16" t="str">
        <f ca="1">IFERROR(__xludf.DUMMYFUNCTION("""COMPUTED_VALUE""")," SPD AMPLIACIÓN DEL SISTEMA DE TELEPROTECCIÓN, COMUNA DE COINCO ")</f>
        <v xml:space="preserve"> SPD AMPLIACIÓN DEL SISTEMA DE TELEPROTECCIÓN, COMUNA DE COINCO </v>
      </c>
      <c r="D373" s="16" t="str">
        <f ca="1">IFERROR(__xludf.DUMMYFUNCTION("""COMPUTED_VALUE""")," 1-SPD-2022-437 ")</f>
        <v xml:space="preserve"> 1-SPD-2022-437 </v>
      </c>
      <c r="E373" s="16" t="str">
        <f ca="1">IFERROR(__xludf.DUMMYFUNCTION("""COMPUTED_VALUE""")," 100% Girado ")</f>
        <v xml:space="preserve"> 100% Girado </v>
      </c>
      <c r="F373" s="17">
        <f ca="1">IFERROR(__xludf.DUMMYFUNCTION("""COMPUTED_VALUE"""),45400)</f>
        <v>45400</v>
      </c>
      <c r="G373" s="16">
        <f ca="1">IFERROR(__xludf.DUMMYFUNCTION("""COMPUTED_VALUE"""),74926119)</f>
        <v>74926119</v>
      </c>
      <c r="H373" s="16" t="str">
        <f ca="1">IFERROR(__xludf.DUMMYFUNCTION("""COMPUTED_VALUE""")," 100% Girado ")</f>
        <v xml:space="preserve"> 100% Girado </v>
      </c>
      <c r="I373" s="16">
        <f ca="1">IFERROR(__xludf.DUMMYFUNCTION("""COMPUTED_VALUE"""),74926119)</f>
        <v>74926119</v>
      </c>
      <c r="J373" s="83" t="s">
        <v>48</v>
      </c>
      <c r="K373" s="16"/>
      <c r="L373" s="16"/>
      <c r="M373" s="16"/>
      <c r="N373" s="19"/>
      <c r="O373" s="21">
        <f ca="1">IFERROR(__xludf.DUMMYFUNCTION("""COMPUTED_VALUE"""),74926119)</f>
        <v>74926119</v>
      </c>
      <c r="P373" s="19"/>
      <c r="Q373" s="19"/>
      <c r="R373" s="19"/>
      <c r="S373" s="19"/>
      <c r="T373" s="19"/>
      <c r="U373" s="19"/>
      <c r="V373" s="19"/>
      <c r="W373" s="20">
        <f ca="1">IFERROR(__xludf.DUMMYFUNCTION("""COMPUTED_VALUE"""),74926119)</f>
        <v>74926119</v>
      </c>
      <c r="X373" s="20" t="str">
        <f ca="1">IFERROR(__xludf.DUMMYFUNCTION("""COMPUTED_VALUE""")," MUNICIPALIDAD DE COINCO ")</f>
        <v xml:space="preserve"> MUNICIPALIDAD DE COINCO </v>
      </c>
    </row>
    <row r="374" spans="1:24" ht="15.75" customHeight="1" x14ac:dyDescent="0.25">
      <c r="A374" s="16" t="str">
        <f ca="1">IFERROR(__xludf.DUMMYFUNCTION("""COMPUTED_VALUE""")," REGIÓN DEL LIBERTADOR GENERAL BERNARDO O’HIGGINS ")</f>
        <v xml:space="preserve"> REGIÓN DEL LIBERTADOR GENERAL BERNARDO O’HIGGINS </v>
      </c>
      <c r="B374" s="16" t="str">
        <f t="shared" ca="1" si="1"/>
        <v xml:space="preserve"> CHÉPICA </v>
      </c>
      <c r="C374" s="16" t="str">
        <f ca="1">IFERROR(__xludf.DUMMYFUNCTION("""COMPUTED_VALUE""")," SATE, INSTALACIÓN LUMINARIAS SECTORES LA MINA - LAS ARAÑAS - LAS HIJUELAS - UVA BLANCA - LAS CHIRIGUAS - EL ALBA , COMUNA DE CHÉPICA ")</f>
        <v xml:space="preserve"> SATE, INSTALACIÓN LUMINARIAS SECTORES LA MINA - LAS ARAÑAS - LAS HIJUELAS - UVA BLANCA - LAS CHIRIGUAS - EL ALBA , COMUNA DE CHÉPICA </v>
      </c>
      <c r="D374" s="16" t="str">
        <f ca="1">IFERROR(__xludf.DUMMYFUNCTION("""COMPUTED_VALUE""")," 1-C-2023-1326 ")</f>
        <v xml:space="preserve"> 1-C-2023-1326 </v>
      </c>
      <c r="E374" s="16" t="str">
        <f ca="1">IFERROR(__xludf.DUMMYFUNCTION("""COMPUTED_VALUE""")," 100% Girado ")</f>
        <v xml:space="preserve"> 100% Girado </v>
      </c>
      <c r="F374" s="17">
        <f ca="1">IFERROR(__xludf.DUMMYFUNCTION("""COMPUTED_VALUE"""),45415)</f>
        <v>45415</v>
      </c>
      <c r="G374" s="16">
        <f ca="1">IFERROR(__xludf.DUMMYFUNCTION("""COMPUTED_VALUE"""),154000000)</f>
        <v>154000000</v>
      </c>
      <c r="H374" s="16" t="str">
        <f ca="1">IFERROR(__xludf.DUMMYFUNCTION("""COMPUTED_VALUE""")," 100% Girado ")</f>
        <v xml:space="preserve"> 100% Girado </v>
      </c>
      <c r="I374" s="16">
        <f ca="1">IFERROR(__xludf.DUMMYFUNCTION("""COMPUTED_VALUE"""),154000000)</f>
        <v>154000000</v>
      </c>
      <c r="J374" s="83" t="s">
        <v>48</v>
      </c>
      <c r="K374" s="16"/>
      <c r="L374" s="16"/>
      <c r="M374" s="16"/>
      <c r="N374" s="19"/>
      <c r="O374" s="21">
        <f ca="1">IFERROR(__xludf.DUMMYFUNCTION("""COMPUTED_VALUE"""),154000000)</f>
        <v>154000000</v>
      </c>
      <c r="P374" s="19"/>
      <c r="Q374" s="19"/>
      <c r="R374" s="19"/>
      <c r="S374" s="19"/>
      <c r="T374" s="19"/>
      <c r="U374" s="19"/>
      <c r="V374" s="19"/>
      <c r="W374" s="20">
        <f ca="1">IFERROR(__xludf.DUMMYFUNCTION("""COMPUTED_VALUE"""),154000000)</f>
        <v>154000000</v>
      </c>
      <c r="X374" s="20" t="str">
        <f ca="1">IFERROR(__xludf.DUMMYFUNCTION("""COMPUTED_VALUE""")," MUNICIPALIDAD DE CHÉPICA ")</f>
        <v xml:space="preserve"> MUNICIPALIDAD DE CHÉPICA </v>
      </c>
    </row>
    <row r="375" spans="1:24" ht="15.75" customHeight="1" x14ac:dyDescent="0.25">
      <c r="A375" s="16" t="str">
        <f ca="1">IFERROR(__xludf.DUMMYFUNCTION("""COMPUTED_VALUE""")," REGIÓN DEL MAULE ")</f>
        <v xml:space="preserve"> REGIÓN DEL MAULE </v>
      </c>
      <c r="B375" s="16" t="str">
        <f t="shared" ca="1" si="1"/>
        <v xml:space="preserve"> TALCA </v>
      </c>
      <c r="C375" s="16" t="str">
        <f ca="1">IFERROR(__xludf.DUMMYFUNCTION("""COMPUTED_VALUE""")," CONSTRUCCION CANCHA RECREATIVA CON CIERRO PERIMETRAL, JUNTA DE VECINOS JARDÍN DEL VALLE, TALCA ")</f>
        <v xml:space="preserve"> CONSTRUCCION CANCHA RECREATIVA CON CIERRO PERIMETRAL, JUNTA DE VECINOS JARDÍN DEL VALLE, TALCA </v>
      </c>
      <c r="D375" s="16" t="str">
        <f ca="1">IFERROR(__xludf.DUMMYFUNCTION("""COMPUTED_VALUE""")," 1-C-2019-1554 ")</f>
        <v xml:space="preserve"> 1-C-2019-1554 </v>
      </c>
      <c r="E375" s="16" t="str">
        <f ca="1">IFERROR(__xludf.DUMMYFUNCTION("""COMPUTED_VALUE""")," En Ejecución ")</f>
        <v xml:space="preserve"> En Ejecución </v>
      </c>
      <c r="F375" s="17">
        <f ca="1">IFERROR(__xludf.DUMMYFUNCTION("""COMPUTED_VALUE"""),44147)</f>
        <v>44147</v>
      </c>
      <c r="G375" s="16">
        <f ca="1">IFERROR(__xludf.DUMMYFUNCTION("""COMPUTED_VALUE"""),74958017)</f>
        <v>74958017</v>
      </c>
      <c r="H375" s="16" t="str">
        <f ca="1">IFERROR(__xludf.DUMMYFUNCTION("""COMPUTED_VALUE""")," En Ejecución ")</f>
        <v xml:space="preserve"> En Ejecución </v>
      </c>
      <c r="I375" s="16">
        <f ca="1">IFERROR(__xludf.DUMMYFUNCTION("""COMPUTED_VALUE"""),55166559)</f>
        <v>55166559</v>
      </c>
      <c r="J375" s="83" t="s">
        <v>48</v>
      </c>
      <c r="K375" s="16"/>
      <c r="L375" s="16"/>
      <c r="M375" s="16"/>
      <c r="N375" s="19"/>
      <c r="O375" s="21">
        <f ca="1">IFERROR(__xludf.DUMMYFUNCTION("""COMPUTED_VALUE"""),55166559)</f>
        <v>55166559</v>
      </c>
      <c r="P375" s="19"/>
      <c r="Q375" s="19"/>
      <c r="R375" s="19"/>
      <c r="S375" s="19"/>
      <c r="T375" s="19"/>
      <c r="U375" s="19"/>
      <c r="V375" s="19"/>
      <c r="W375" s="20">
        <f ca="1">IFERROR(__xludf.DUMMYFUNCTION("""COMPUTED_VALUE"""),55166559)</f>
        <v>55166559</v>
      </c>
      <c r="X375" s="20" t="str">
        <f ca="1">IFERROR(__xludf.DUMMYFUNCTION("""COMPUTED_VALUE""")," MUNICIPALIDAD DE TALCA ")</f>
        <v xml:space="preserve"> MUNICIPALIDAD DE TALCA </v>
      </c>
    </row>
    <row r="376" spans="1:24" ht="15.75" customHeight="1" x14ac:dyDescent="0.25">
      <c r="A376" s="16" t="str">
        <f ca="1">IFERROR(__xludf.DUMMYFUNCTION("""COMPUTED_VALUE""")," REGIÓN DEL MAULE ")</f>
        <v xml:space="preserve"> REGIÓN DEL MAULE </v>
      </c>
      <c r="B376" s="16" t="str">
        <f t="shared" ca="1" si="1"/>
        <v xml:space="preserve"> SAN JAVIER </v>
      </c>
      <c r="C376" s="16" t="str">
        <f ca="1">IFERROR(__xludf.DUMMYFUNCTION("""COMPUTED_VALUE""")," “MEJORAMIENTO ÁREA VERDE EN VILLA SOL DEL MAULE, COMUNA SAN JAVIER” ")</f>
        <v xml:space="preserve"> “MEJORAMIENTO ÁREA VERDE EN VILLA SOL DEL MAULE, COMUNA SAN JAVIER” </v>
      </c>
      <c r="D376" s="16" t="str">
        <f ca="1">IFERROR(__xludf.DUMMYFUNCTION("""COMPUTED_VALUE""")," 1-C-2021-267 ")</f>
        <v xml:space="preserve"> 1-C-2021-267 </v>
      </c>
      <c r="E376" s="16" t="str">
        <f ca="1">IFERROR(__xludf.DUMMYFUNCTION("""COMPUTED_VALUE""")," Proyecto Cerrado ")</f>
        <v xml:space="preserve"> Proyecto Cerrado </v>
      </c>
      <c r="F376" s="17">
        <f ca="1">IFERROR(__xludf.DUMMYFUNCTION("""COMPUTED_VALUE"""),44560)</f>
        <v>44560</v>
      </c>
      <c r="G376" s="16">
        <f ca="1">IFERROR(__xludf.DUMMYFUNCTION("""COMPUTED_VALUE"""),74989126)</f>
        <v>74989126</v>
      </c>
      <c r="H376" s="16" t="str">
        <f ca="1">IFERROR(__xludf.DUMMYFUNCTION("""COMPUTED_VALUE""")," Proyecto Cerrado ")</f>
        <v xml:space="preserve"> Proyecto Cerrado </v>
      </c>
      <c r="I376" s="16">
        <f ca="1">IFERROR(__xludf.DUMMYFUNCTION("""COMPUTED_VALUE"""),14997875)</f>
        <v>14997875</v>
      </c>
      <c r="J376" s="83" t="s">
        <v>48</v>
      </c>
      <c r="K376" s="16"/>
      <c r="L376" s="16"/>
      <c r="M376" s="16"/>
      <c r="N376" s="19"/>
      <c r="O376" s="21">
        <f ca="1">IFERROR(__xludf.DUMMYFUNCTION("""COMPUTED_VALUE"""),14997875)</f>
        <v>14997875</v>
      </c>
      <c r="P376" s="19"/>
      <c r="Q376" s="19"/>
      <c r="R376" s="19"/>
      <c r="S376" s="19"/>
      <c r="T376" s="19"/>
      <c r="U376" s="19"/>
      <c r="V376" s="19"/>
      <c r="W376" s="20">
        <f ca="1">IFERROR(__xludf.DUMMYFUNCTION("""COMPUTED_VALUE"""),14997875)</f>
        <v>14997875</v>
      </c>
      <c r="X376" s="20" t="str">
        <f ca="1">IFERROR(__xludf.DUMMYFUNCTION("""COMPUTED_VALUE""")," MUNICIPALIDAD DE SAN JAVIER ")</f>
        <v xml:space="preserve"> MUNICIPALIDAD DE SAN JAVIER </v>
      </c>
    </row>
    <row r="377" spans="1:24" ht="15.75" customHeight="1" x14ac:dyDescent="0.25">
      <c r="A377" s="16" t="str">
        <f ca="1">IFERROR(__xludf.DUMMYFUNCTION("""COMPUTED_VALUE""")," REGIÓN DEL MAULE ")</f>
        <v xml:space="preserve"> REGIÓN DEL MAULE </v>
      </c>
      <c r="B377" s="16" t="str">
        <f t="shared" ca="1" si="1"/>
        <v xml:space="preserve"> TALCA </v>
      </c>
      <c r="C377" s="16" t="str">
        <f ca="1">IFERROR(__xludf.DUMMYFUNCTION("""COMPUTED_VALUE""")," REPARACIÓN DE BACHES DIVERSOS SECTORES, COMUNA DE TALCA ")</f>
        <v xml:space="preserve"> REPARACIÓN DE BACHES DIVERSOS SECTORES, COMUNA DE TALCA </v>
      </c>
      <c r="D377" s="16" t="str">
        <f ca="1">IFERROR(__xludf.DUMMYFUNCTION("""COMPUTED_VALUE""")," 1-C-2022-284 [CHA] ")</f>
        <v xml:space="preserve"> 1-C-2022-284 [CHA] </v>
      </c>
      <c r="E377" s="16" t="str">
        <f ca="1">IFERROR(__xludf.DUMMYFUNCTION("""COMPUTED_VALUE""")," En Ejecución ")</f>
        <v xml:space="preserve"> En Ejecución </v>
      </c>
      <c r="F377" s="17">
        <f ca="1">IFERROR(__xludf.DUMMYFUNCTION("""COMPUTED_VALUE"""),44783)</f>
        <v>44783</v>
      </c>
      <c r="G377" s="16">
        <f ca="1">IFERROR(__xludf.DUMMYFUNCTION("""COMPUTED_VALUE"""),97462582)</f>
        <v>97462582</v>
      </c>
      <c r="H377" s="16" t="str">
        <f ca="1">IFERROR(__xludf.DUMMYFUNCTION("""COMPUTED_VALUE""")," En Ejecución ")</f>
        <v xml:space="preserve"> En Ejecución </v>
      </c>
      <c r="I377" s="16">
        <f ca="1">IFERROR(__xludf.DUMMYFUNCTION("""COMPUTED_VALUE"""),19014445)</f>
        <v>19014445</v>
      </c>
      <c r="J377" s="83" t="s">
        <v>48</v>
      </c>
      <c r="K377" s="16"/>
      <c r="L377" s="16"/>
      <c r="M377" s="16"/>
      <c r="N377" s="19"/>
      <c r="O377" s="21">
        <f ca="1">IFERROR(__xludf.DUMMYFUNCTION("""COMPUTED_VALUE"""),19014445)</f>
        <v>19014445</v>
      </c>
      <c r="P377" s="19"/>
      <c r="Q377" s="19"/>
      <c r="R377" s="19"/>
      <c r="S377" s="19"/>
      <c r="T377" s="19"/>
      <c r="U377" s="19"/>
      <c r="V377" s="19"/>
      <c r="W377" s="20">
        <f ca="1">IFERROR(__xludf.DUMMYFUNCTION("""COMPUTED_VALUE"""),19014445)</f>
        <v>19014445</v>
      </c>
      <c r="X377" s="20" t="str">
        <f ca="1">IFERROR(__xludf.DUMMYFUNCTION("""COMPUTED_VALUE""")," MUNICIPALIDAD DE TALCA ")</f>
        <v xml:space="preserve"> MUNICIPALIDAD DE TALCA </v>
      </c>
    </row>
    <row r="378" spans="1:24" ht="15.75" customHeight="1" x14ac:dyDescent="0.25">
      <c r="A378" s="16" t="str">
        <f ca="1">IFERROR(__xludf.DUMMYFUNCTION("""COMPUTED_VALUE""")," REGIÓN DEL MAULE ")</f>
        <v xml:space="preserve"> REGIÓN DEL MAULE </v>
      </c>
      <c r="B378" s="16" t="str">
        <f t="shared" ca="1" si="1"/>
        <v xml:space="preserve"> TALCA </v>
      </c>
      <c r="C378" s="16" t="str">
        <f ca="1">IFERROR(__xludf.DUMMYFUNCTION("""COMPUTED_VALUE""")," MEJORAMIENTO PARQUE PABLO NERUDA, CLUB DEL ÁRBOL, TALCA. ")</f>
        <v xml:space="preserve"> MEJORAMIENTO PARQUE PABLO NERUDA, CLUB DEL ÁRBOL, TALCA. </v>
      </c>
      <c r="D378" s="16" t="str">
        <f ca="1">IFERROR(__xludf.DUMMYFUNCTION("""COMPUTED_VALUE""")," 1-C-2022-474 [CHA] ")</f>
        <v xml:space="preserve"> 1-C-2022-474 [CHA] </v>
      </c>
      <c r="E378" s="16" t="str">
        <f ca="1">IFERROR(__xludf.DUMMYFUNCTION("""COMPUTED_VALUE""")," En Ejecución ")</f>
        <v xml:space="preserve"> En Ejecución </v>
      </c>
      <c r="F378" s="17">
        <f ca="1">IFERROR(__xludf.DUMMYFUNCTION("""COMPUTED_VALUE"""),44783)</f>
        <v>44783</v>
      </c>
      <c r="G378" s="16">
        <f ca="1">IFERROR(__xludf.DUMMYFUNCTION("""COMPUTED_VALUE"""),95908706)</f>
        <v>95908706</v>
      </c>
      <c r="H378" s="16" t="str">
        <f ca="1">IFERROR(__xludf.DUMMYFUNCTION("""COMPUTED_VALUE""")," En Ejecución ")</f>
        <v xml:space="preserve"> En Ejecución </v>
      </c>
      <c r="I378" s="16">
        <f ca="1">IFERROR(__xludf.DUMMYFUNCTION("""COMPUTED_VALUE"""),21861952)</f>
        <v>21861952</v>
      </c>
      <c r="J378" s="83" t="s">
        <v>48</v>
      </c>
      <c r="K378" s="16"/>
      <c r="L378" s="16"/>
      <c r="M378" s="16"/>
      <c r="N378" s="19"/>
      <c r="O378" s="21">
        <f ca="1">IFERROR(__xludf.DUMMYFUNCTION("""COMPUTED_VALUE"""),21861952)</f>
        <v>21861952</v>
      </c>
      <c r="P378" s="19"/>
      <c r="Q378" s="19"/>
      <c r="R378" s="19"/>
      <c r="S378" s="19"/>
      <c r="T378" s="19"/>
      <c r="U378" s="19"/>
      <c r="V378" s="19"/>
      <c r="W378" s="20">
        <f ca="1">IFERROR(__xludf.DUMMYFUNCTION("""COMPUTED_VALUE"""),21861952)</f>
        <v>21861952</v>
      </c>
      <c r="X378" s="20" t="str">
        <f ca="1">IFERROR(__xludf.DUMMYFUNCTION("""COMPUTED_VALUE""")," MUNICIPALIDAD DE TALCA ")</f>
        <v xml:space="preserve"> MUNICIPALIDAD DE TALCA </v>
      </c>
    </row>
    <row r="379" spans="1:24" ht="15.75" customHeight="1" x14ac:dyDescent="0.25">
      <c r="A379" s="16" t="str">
        <f ca="1">IFERROR(__xludf.DUMMYFUNCTION("""COMPUTED_VALUE""")," REGIÓN DEL MAULE ")</f>
        <v xml:space="preserve"> REGIÓN DEL MAULE </v>
      </c>
      <c r="B379" s="16" t="str">
        <f t="shared" ca="1" si="1"/>
        <v xml:space="preserve"> PENCAHUE </v>
      </c>
      <c r="C379" s="16" t="str">
        <f ca="1">IFERROR(__xludf.DUMMYFUNCTION("""COMPUTED_VALUE""")," [CATASTROFE] HABILITACION DE CAMINOS Y FOSAS SEPTICAS DE EDIFICIOS MUNICIPALES, COMUNA DE PENCAHUE ")</f>
        <v xml:space="preserve"> [CATASTROFE] HABILITACION DE CAMINOS Y FOSAS SEPTICAS DE EDIFICIOS MUNICIPALES, COMUNA DE PENCAHUE </v>
      </c>
      <c r="D379" s="16" t="str">
        <f ca="1">IFERROR(__xludf.DUMMYFUNCTION("""COMPUTED_VALUE""")," 1-C-2023-2810 ")</f>
        <v xml:space="preserve"> 1-C-2023-2810 </v>
      </c>
      <c r="E379" s="16" t="str">
        <f ca="1">IFERROR(__xludf.DUMMYFUNCTION("""COMPUTED_VALUE""")," 100% Girado ")</f>
        <v xml:space="preserve"> 100% Girado </v>
      </c>
      <c r="F379" s="17">
        <f ca="1">IFERROR(__xludf.DUMMYFUNCTION("""COMPUTED_VALUE"""),45422)</f>
        <v>45422</v>
      </c>
      <c r="G379" s="16">
        <f ca="1">IFERROR(__xludf.DUMMYFUNCTION("""COMPUTED_VALUE"""),29996036)</f>
        <v>29996036</v>
      </c>
      <c r="H379" s="16" t="str">
        <f ca="1">IFERROR(__xludf.DUMMYFUNCTION("""COMPUTED_VALUE""")," 100% Girado ")</f>
        <v xml:space="preserve"> 100% Girado </v>
      </c>
      <c r="I379" s="16">
        <f ca="1">IFERROR(__xludf.DUMMYFUNCTION("""COMPUTED_VALUE"""),29996036)</f>
        <v>29996036</v>
      </c>
      <c r="J379" s="83" t="s">
        <v>48</v>
      </c>
      <c r="K379" s="16"/>
      <c r="L379" s="16"/>
      <c r="M379" s="16"/>
      <c r="N379" s="19"/>
      <c r="O379" s="21">
        <f ca="1">IFERROR(__xludf.DUMMYFUNCTION("""COMPUTED_VALUE"""),29996036)</f>
        <v>29996036</v>
      </c>
      <c r="P379" s="19"/>
      <c r="Q379" s="19"/>
      <c r="R379" s="19"/>
      <c r="S379" s="19"/>
      <c r="T379" s="19"/>
      <c r="U379" s="19"/>
      <c r="V379" s="19"/>
      <c r="W379" s="20">
        <f ca="1">IFERROR(__xludf.DUMMYFUNCTION("""COMPUTED_VALUE"""),29996036)</f>
        <v>29996036</v>
      </c>
      <c r="X379" s="20" t="str">
        <f ca="1">IFERROR(__xludf.DUMMYFUNCTION("""COMPUTED_VALUE""")," MUNICIPALIDAD DE PENCAHUE ")</f>
        <v xml:space="preserve"> MUNICIPALIDAD DE PENCAHUE </v>
      </c>
    </row>
    <row r="380" spans="1:24" ht="15.75" customHeight="1" x14ac:dyDescent="0.25">
      <c r="A380" s="16" t="str">
        <f ca="1">IFERROR(__xludf.DUMMYFUNCTION("""COMPUTED_VALUE""")," REGIÓN DEL BIOBÍO ")</f>
        <v xml:space="preserve"> REGIÓN DEL BIOBÍO </v>
      </c>
      <c r="B380" s="16" t="str">
        <f t="shared" ca="1" si="1"/>
        <v xml:space="preserve"> MULCHÉN </v>
      </c>
      <c r="C380" s="16" t="str">
        <f ca="1">IFERROR(__xludf.DUMMYFUNCTION("""COMPUTED_VALUE""")," CONSTRUCCIÓN ESPACIO PÚBLICO LOS AROMOS, SECTOR LAS PEÑAS ")</f>
        <v xml:space="preserve"> CONSTRUCCIÓN ESPACIO PÚBLICO LOS AROMOS, SECTOR LAS PEÑAS </v>
      </c>
      <c r="D380" s="16" t="str">
        <f ca="1">IFERROR(__xludf.DUMMYFUNCTION("""COMPUTED_VALUE""")," 1-C-2020-838 [FET] ")</f>
        <v xml:space="preserve"> 1-C-2020-838 [FET] </v>
      </c>
      <c r="E380" s="16" t="str">
        <f ca="1">IFERROR(__xludf.DUMMYFUNCTION("""COMPUTED_VALUE""")," 100% Girado ")</f>
        <v xml:space="preserve"> 100% Girado </v>
      </c>
      <c r="F380" s="17">
        <f ca="1">IFERROR(__xludf.DUMMYFUNCTION("""COMPUTED_VALUE"""),44561)</f>
        <v>44561</v>
      </c>
      <c r="G380" s="16">
        <f ca="1">IFERROR(__xludf.DUMMYFUNCTION("""COMPUTED_VALUE"""),74920375)</f>
        <v>74920375</v>
      </c>
      <c r="H380" s="16" t="str">
        <f ca="1">IFERROR(__xludf.DUMMYFUNCTION("""COMPUTED_VALUE""")," 100% Girado ")</f>
        <v xml:space="preserve"> 100% Girado </v>
      </c>
      <c r="I380" s="16">
        <f ca="1">IFERROR(__xludf.DUMMYFUNCTION("""COMPUTED_VALUE"""),14999998)</f>
        <v>14999998</v>
      </c>
      <c r="J380" s="83" t="s">
        <v>48</v>
      </c>
      <c r="K380" s="16"/>
      <c r="L380" s="16"/>
      <c r="M380" s="16"/>
      <c r="N380" s="19"/>
      <c r="O380" s="21">
        <f ca="1">IFERROR(__xludf.DUMMYFUNCTION("""COMPUTED_VALUE"""),14999998)</f>
        <v>14999998</v>
      </c>
      <c r="P380" s="19"/>
      <c r="Q380" s="19"/>
      <c r="R380" s="19"/>
      <c r="S380" s="19"/>
      <c r="T380" s="19"/>
      <c r="U380" s="19"/>
      <c r="V380" s="19"/>
      <c r="W380" s="20">
        <f ca="1">IFERROR(__xludf.DUMMYFUNCTION("""COMPUTED_VALUE"""),14999998)</f>
        <v>14999998</v>
      </c>
      <c r="X380" s="20" t="str">
        <f ca="1">IFERROR(__xludf.DUMMYFUNCTION("""COMPUTED_VALUE""")," MUNICIPALIDAD DE MULCHÉN ")</f>
        <v xml:space="preserve"> MUNICIPALIDAD DE MULCHÉN </v>
      </c>
    </row>
    <row r="381" spans="1:24" ht="15.75" customHeight="1" x14ac:dyDescent="0.25">
      <c r="A381" s="16" t="str">
        <f ca="1">IFERROR(__xludf.DUMMYFUNCTION("""COMPUTED_VALUE""")," REGIÓN DEL BIOBÍO ")</f>
        <v xml:space="preserve"> REGIÓN DEL BIOBÍO </v>
      </c>
      <c r="B381" s="16" t="str">
        <f t="shared" ca="1" si="1"/>
        <v xml:space="preserve"> CABRERO </v>
      </c>
      <c r="C381" s="16" t="str">
        <f ca="1">IFERROR(__xludf.DUMMYFUNCTION("""COMPUTED_VALUE""")," CONSTRUCCIÓN SOMBREADEROS DIVERSAS PLAZOLETAS, CABRERO ")</f>
        <v xml:space="preserve"> CONSTRUCCIÓN SOMBREADEROS DIVERSAS PLAZOLETAS, CABRERO </v>
      </c>
      <c r="D381" s="16" t="str">
        <f ca="1">IFERROR(__xludf.DUMMYFUNCTION("""COMPUTED_VALUE""")," 1-C-2021-258 [FET] ")</f>
        <v xml:space="preserve"> 1-C-2021-258 [FET] </v>
      </c>
      <c r="E381" s="16" t="str">
        <f ca="1">IFERROR(__xludf.DUMMYFUNCTION("""COMPUTED_VALUE""")," 100% Girado ")</f>
        <v xml:space="preserve"> 100% Girado </v>
      </c>
      <c r="F381" s="17">
        <f ca="1">IFERROR(__xludf.DUMMYFUNCTION("""COMPUTED_VALUE"""),44326)</f>
        <v>44326</v>
      </c>
      <c r="G381" s="16">
        <f ca="1">IFERROR(__xludf.DUMMYFUNCTION("""COMPUTED_VALUE"""),72100006)</f>
        <v>72100006</v>
      </c>
      <c r="H381" s="16" t="str">
        <f ca="1">IFERROR(__xludf.DUMMYFUNCTION("""COMPUTED_VALUE""")," 100% Girado ")</f>
        <v xml:space="preserve"> 100% Girado </v>
      </c>
      <c r="I381" s="16">
        <f ca="1">IFERROR(__xludf.DUMMYFUNCTION("""COMPUTED_VALUE"""),20219743)</f>
        <v>20219743</v>
      </c>
      <c r="J381" s="83" t="s">
        <v>48</v>
      </c>
      <c r="K381" s="16"/>
      <c r="L381" s="16"/>
      <c r="M381" s="16"/>
      <c r="N381" s="19"/>
      <c r="O381" s="21">
        <f ca="1">IFERROR(__xludf.DUMMYFUNCTION("""COMPUTED_VALUE"""),20219743)</f>
        <v>20219743</v>
      </c>
      <c r="P381" s="19"/>
      <c r="Q381" s="19"/>
      <c r="R381" s="19"/>
      <c r="S381" s="19"/>
      <c r="T381" s="19"/>
      <c r="U381" s="19"/>
      <c r="V381" s="19"/>
      <c r="W381" s="20">
        <f ca="1">IFERROR(__xludf.DUMMYFUNCTION("""COMPUTED_VALUE"""),20219743)</f>
        <v>20219743</v>
      </c>
      <c r="X381" s="20" t="str">
        <f ca="1">IFERROR(__xludf.DUMMYFUNCTION("""COMPUTED_VALUE""")," MUNICIPALIDAD DE CABRERO ")</f>
        <v xml:space="preserve"> MUNICIPALIDAD DE CABRERO </v>
      </c>
    </row>
    <row r="382" spans="1:24" ht="15.75" customHeight="1" x14ac:dyDescent="0.25">
      <c r="A382" s="16" t="str">
        <f ca="1">IFERROR(__xludf.DUMMYFUNCTION("""COMPUTED_VALUE""")," REGIÓN DEL BIOBÍO ")</f>
        <v xml:space="preserve"> REGIÓN DEL BIOBÍO </v>
      </c>
      <c r="B382" s="16" t="str">
        <f t="shared" ca="1" si="1"/>
        <v xml:space="preserve"> CORONEL </v>
      </c>
      <c r="C382" s="16" t="str">
        <f ca="1">IFERROR(__xludf.DUMMYFUNCTION("""COMPUTED_VALUE""")," MEJORAMIENTO ÁREA VERDE ESTERO MANCO, CORONEL ")</f>
        <v xml:space="preserve"> MEJORAMIENTO ÁREA VERDE ESTERO MANCO, CORONEL </v>
      </c>
      <c r="D382" s="16" t="str">
        <f ca="1">IFERROR(__xludf.DUMMYFUNCTION("""COMPUTED_VALUE""")," 1-C-2023-2826 ")</f>
        <v xml:space="preserve"> 1-C-2023-2826 </v>
      </c>
      <c r="E382" s="16" t="str">
        <f ca="1">IFERROR(__xludf.DUMMYFUNCTION("""COMPUTED_VALUE""")," 100% Girado ")</f>
        <v xml:space="preserve"> 100% Girado </v>
      </c>
      <c r="F382" s="17">
        <f ca="1">IFERROR(__xludf.DUMMYFUNCTION("""COMPUTED_VALUE"""),45422)</f>
        <v>45422</v>
      </c>
      <c r="G382" s="16">
        <f ca="1">IFERROR(__xludf.DUMMYFUNCTION("""COMPUTED_VALUE"""),154238632)</f>
        <v>154238632</v>
      </c>
      <c r="H382" s="16" t="str">
        <f ca="1">IFERROR(__xludf.DUMMYFUNCTION("""COMPUTED_VALUE""")," 100% Girado ")</f>
        <v xml:space="preserve"> 100% Girado </v>
      </c>
      <c r="I382" s="16">
        <f ca="1">IFERROR(__xludf.DUMMYFUNCTION("""COMPUTED_VALUE"""),154238632)</f>
        <v>154238632</v>
      </c>
      <c r="J382" s="83" t="s">
        <v>48</v>
      </c>
      <c r="K382" s="16"/>
      <c r="L382" s="16"/>
      <c r="M382" s="16"/>
      <c r="N382" s="19"/>
      <c r="O382" s="21">
        <f ca="1">IFERROR(__xludf.DUMMYFUNCTION("""COMPUTED_VALUE"""),154238632)</f>
        <v>154238632</v>
      </c>
      <c r="P382" s="19"/>
      <c r="Q382" s="19"/>
      <c r="R382" s="19"/>
      <c r="S382" s="19"/>
      <c r="T382" s="19"/>
      <c r="U382" s="19"/>
      <c r="V382" s="19"/>
      <c r="W382" s="20">
        <f ca="1">IFERROR(__xludf.DUMMYFUNCTION("""COMPUTED_VALUE"""),154238632)</f>
        <v>154238632</v>
      </c>
      <c r="X382" s="20" t="str">
        <f ca="1">IFERROR(__xludf.DUMMYFUNCTION("""COMPUTED_VALUE""")," MUNICIPALIDAD DE CORONEL ")</f>
        <v xml:space="preserve"> MUNICIPALIDAD DE CORONEL </v>
      </c>
    </row>
    <row r="383" spans="1:24" ht="15.75" customHeight="1" x14ac:dyDescent="0.25">
      <c r="A383" s="16" t="str">
        <f ca="1">IFERROR(__xludf.DUMMYFUNCTION("""COMPUTED_VALUE""")," REGIÓN DEL BIOBÍO ")</f>
        <v xml:space="preserve"> REGIÓN DEL BIOBÍO </v>
      </c>
      <c r="B383" s="16" t="str">
        <f t="shared" ca="1" si="1"/>
        <v xml:space="preserve"> CORONEL </v>
      </c>
      <c r="C383" s="16" t="str">
        <f ca="1">IFERROR(__xludf.DUMMYFUNCTION("""COMPUTED_VALUE""")," CONSTRUCCIÓN AREA VERDE VILLA LOUTA, CORONEL ")</f>
        <v xml:space="preserve"> CONSTRUCCIÓN AREA VERDE VILLA LOUTA, CORONEL </v>
      </c>
      <c r="D383" s="16" t="str">
        <f ca="1">IFERROR(__xludf.DUMMYFUNCTION("""COMPUTED_VALUE""")," 1-C-2023-2827 ")</f>
        <v xml:space="preserve"> 1-C-2023-2827 </v>
      </c>
      <c r="E383" s="16" t="str">
        <f ca="1">IFERROR(__xludf.DUMMYFUNCTION("""COMPUTED_VALUE""")," 100% Girado ")</f>
        <v xml:space="preserve"> 100% Girado </v>
      </c>
      <c r="F383" s="17">
        <f ca="1">IFERROR(__xludf.DUMMYFUNCTION("""COMPUTED_VALUE"""),45422)</f>
        <v>45422</v>
      </c>
      <c r="G383" s="16">
        <f ca="1">IFERROR(__xludf.DUMMYFUNCTION("""COMPUTED_VALUE"""),154021609)</f>
        <v>154021609</v>
      </c>
      <c r="H383" s="16" t="str">
        <f ca="1">IFERROR(__xludf.DUMMYFUNCTION("""COMPUTED_VALUE""")," 100% Girado ")</f>
        <v xml:space="preserve"> 100% Girado </v>
      </c>
      <c r="I383" s="16">
        <f ca="1">IFERROR(__xludf.DUMMYFUNCTION("""COMPUTED_VALUE"""),154021609)</f>
        <v>154021609</v>
      </c>
      <c r="J383" s="83" t="s">
        <v>48</v>
      </c>
      <c r="K383" s="16"/>
      <c r="L383" s="16"/>
      <c r="M383" s="16"/>
      <c r="N383" s="19"/>
      <c r="O383" s="21">
        <f ca="1">IFERROR(__xludf.DUMMYFUNCTION("""COMPUTED_VALUE"""),154021609)</f>
        <v>154021609</v>
      </c>
      <c r="P383" s="19"/>
      <c r="Q383" s="19"/>
      <c r="R383" s="19"/>
      <c r="S383" s="19"/>
      <c r="T383" s="19"/>
      <c r="U383" s="19"/>
      <c r="V383" s="19"/>
      <c r="W383" s="20">
        <f ca="1">IFERROR(__xludf.DUMMYFUNCTION("""COMPUTED_VALUE"""),154021609)</f>
        <v>154021609</v>
      </c>
      <c r="X383" s="20" t="str">
        <f ca="1">IFERROR(__xludf.DUMMYFUNCTION("""COMPUTED_VALUE""")," MUNICIPALIDAD DE CORONEL ")</f>
        <v xml:space="preserve"> MUNICIPALIDAD DE CORONEL </v>
      </c>
    </row>
    <row r="384" spans="1:24" ht="15.75" customHeight="1" x14ac:dyDescent="0.25">
      <c r="A384" s="16" t="str">
        <f ca="1">IFERROR(__xludf.DUMMYFUNCTION("""COMPUTED_VALUE""")," REGIÓN DEL BIOBÍO ")</f>
        <v xml:space="preserve"> REGIÓN DEL BIOBÍO </v>
      </c>
      <c r="B384" s="16" t="str">
        <f t="shared" ca="1" si="1"/>
        <v xml:space="preserve"> TOMÉ </v>
      </c>
      <c r="C384" s="16" t="str">
        <f ca="1">IFERROR(__xludf.DUMMYFUNCTION("""COMPUTED_VALUE""")," MEJORAMIENTO MUROS Y CONSTRUCCION RADIER ESTADIO MUNICIPAL COMUNA DE TOMÉ ")</f>
        <v xml:space="preserve"> MEJORAMIENTO MUROS Y CONSTRUCCION RADIER ESTADIO MUNICIPAL COMUNA DE TOMÉ </v>
      </c>
      <c r="D384" s="16" t="str">
        <f ca="1">IFERROR(__xludf.DUMMYFUNCTION("""COMPUTED_VALUE""")," 1-K-2023-163 ")</f>
        <v xml:space="preserve"> 1-K-2023-163 </v>
      </c>
      <c r="E384" s="16" t="str">
        <f ca="1">IFERROR(__xludf.DUMMYFUNCTION("""COMPUTED_VALUE""")," 100% Girado ")</f>
        <v xml:space="preserve"> 100% Girado </v>
      </c>
      <c r="F384" s="17">
        <f ca="1">IFERROR(__xludf.DUMMYFUNCTION("""COMPUTED_VALUE"""),45322)</f>
        <v>45322</v>
      </c>
      <c r="G384" s="16">
        <f ca="1">IFERROR(__xludf.DUMMYFUNCTION("""COMPUTED_VALUE"""),110821472)</f>
        <v>110821472</v>
      </c>
      <c r="H384" s="16" t="str">
        <f ca="1">IFERROR(__xludf.DUMMYFUNCTION("""COMPUTED_VALUE""")," 100% Girado ")</f>
        <v xml:space="preserve"> 100% Girado </v>
      </c>
      <c r="I384" s="16">
        <f ca="1">IFERROR(__xludf.DUMMYFUNCTION("""COMPUTED_VALUE"""),55410736)</f>
        <v>55410736</v>
      </c>
      <c r="J384" s="83" t="s">
        <v>48</v>
      </c>
      <c r="K384" s="16"/>
      <c r="L384" s="16"/>
      <c r="M384" s="16"/>
      <c r="N384" s="19"/>
      <c r="O384" s="21">
        <f ca="1">IFERROR(__xludf.DUMMYFUNCTION("""COMPUTED_VALUE"""),55410736)</f>
        <v>55410736</v>
      </c>
      <c r="P384" s="19"/>
      <c r="Q384" s="19"/>
      <c r="R384" s="19"/>
      <c r="S384" s="19"/>
      <c r="T384" s="19"/>
      <c r="U384" s="19"/>
      <c r="V384" s="19"/>
      <c r="W384" s="20">
        <f ca="1">IFERROR(__xludf.DUMMYFUNCTION("""COMPUTED_VALUE"""),55410736)</f>
        <v>55410736</v>
      </c>
      <c r="X384" s="20" t="str">
        <f ca="1">IFERROR(__xludf.DUMMYFUNCTION("""COMPUTED_VALUE""")," MUNICIPALIDAD DE TOMÉ ")</f>
        <v xml:space="preserve"> MUNICIPALIDAD DE TOMÉ </v>
      </c>
    </row>
    <row r="385" spans="1:24" ht="15.75" customHeight="1" x14ac:dyDescent="0.25">
      <c r="A385" s="16" t="str">
        <f ca="1">IFERROR(__xludf.DUMMYFUNCTION("""COMPUTED_VALUE""")," REGIÓN DEL BIOBÍO ")</f>
        <v xml:space="preserve"> REGIÓN DEL BIOBÍO </v>
      </c>
      <c r="B385" s="16" t="str">
        <f t="shared" ca="1" si="1"/>
        <v xml:space="preserve"> TOMÉ </v>
      </c>
      <c r="C385" s="16" t="str">
        <f ca="1">IFERROR(__xludf.DUMMYFUNCTION("""COMPUTED_VALUE""")," MEJORAMIENTO SEDE SOCIAL CLUB DEPORTIVO CALIFORNIA, COMUNA DE TOME ")</f>
        <v xml:space="preserve"> MEJORAMIENTO SEDE SOCIAL CLUB DEPORTIVO CALIFORNIA, COMUNA DE TOME </v>
      </c>
      <c r="D385" s="16" t="str">
        <f ca="1">IFERROR(__xludf.DUMMYFUNCTION("""COMPUTED_VALUE""")," 1-K-2023-164 ")</f>
        <v xml:space="preserve"> 1-K-2023-164 </v>
      </c>
      <c r="E385" s="16" t="str">
        <f ca="1">IFERROR(__xludf.DUMMYFUNCTION("""COMPUTED_VALUE""")," 100% Girado ")</f>
        <v xml:space="preserve"> 100% Girado </v>
      </c>
      <c r="F385" s="17">
        <f ca="1">IFERROR(__xludf.DUMMYFUNCTION("""COMPUTED_VALUE"""),45322)</f>
        <v>45322</v>
      </c>
      <c r="G385" s="16">
        <f ca="1">IFERROR(__xludf.DUMMYFUNCTION("""COMPUTED_VALUE"""),111378085)</f>
        <v>111378085</v>
      </c>
      <c r="H385" s="16" t="str">
        <f ca="1">IFERROR(__xludf.DUMMYFUNCTION("""COMPUTED_VALUE""")," 100% Girado ")</f>
        <v xml:space="preserve"> 100% Girado </v>
      </c>
      <c r="I385" s="16">
        <f ca="1">IFERROR(__xludf.DUMMYFUNCTION("""COMPUTED_VALUE"""),55689042)</f>
        <v>55689042</v>
      </c>
      <c r="J385" s="83" t="s">
        <v>48</v>
      </c>
      <c r="K385" s="16"/>
      <c r="L385" s="16"/>
      <c r="M385" s="16"/>
      <c r="N385" s="19"/>
      <c r="O385" s="21">
        <f ca="1">IFERROR(__xludf.DUMMYFUNCTION("""COMPUTED_VALUE"""),55689042)</f>
        <v>55689042</v>
      </c>
      <c r="P385" s="19"/>
      <c r="Q385" s="19"/>
      <c r="R385" s="19"/>
      <c r="S385" s="19"/>
      <c r="T385" s="19"/>
      <c r="U385" s="19"/>
      <c r="V385" s="19"/>
      <c r="W385" s="20">
        <f ca="1">IFERROR(__xludf.DUMMYFUNCTION("""COMPUTED_VALUE"""),55689042)</f>
        <v>55689042</v>
      </c>
      <c r="X385" s="20" t="str">
        <f ca="1">IFERROR(__xludf.DUMMYFUNCTION("""COMPUTED_VALUE""")," MUNICIPALIDAD DE TOMÉ ")</f>
        <v xml:space="preserve"> MUNICIPALIDAD DE TOMÉ </v>
      </c>
    </row>
    <row r="386" spans="1:24" ht="15.75" customHeight="1" x14ac:dyDescent="0.25">
      <c r="A386" s="16" t="str">
        <f ca="1">IFERROR(__xludf.DUMMYFUNCTION("""COMPUTED_VALUE""")," REGIÓN DEL BIOBÍO ")</f>
        <v xml:space="preserve"> REGIÓN DEL BIOBÍO </v>
      </c>
      <c r="B386" s="16" t="str">
        <f t="shared" ca="1" si="1"/>
        <v xml:space="preserve"> TOMÉ </v>
      </c>
      <c r="C386" s="16" t="str">
        <f ca="1">IFERROR(__xludf.DUMMYFUNCTION("""COMPUTED_VALUE""")," MEJORAMIENTO AREA VERDE CALLE BIO BIO Y PUCON TOME ALTO, COMUNA DE TOME ")</f>
        <v xml:space="preserve"> MEJORAMIENTO AREA VERDE CALLE BIO BIO Y PUCON TOME ALTO, COMUNA DE TOME </v>
      </c>
      <c r="D386" s="16" t="str">
        <f ca="1">IFERROR(__xludf.DUMMYFUNCTION("""COMPUTED_VALUE""")," 1-K-2023-165 ")</f>
        <v xml:space="preserve"> 1-K-2023-165 </v>
      </c>
      <c r="E386" s="16" t="str">
        <f ca="1">IFERROR(__xludf.DUMMYFUNCTION("""COMPUTED_VALUE""")," 100% Girado ")</f>
        <v xml:space="preserve"> 100% Girado </v>
      </c>
      <c r="F386" s="17">
        <f ca="1">IFERROR(__xludf.DUMMYFUNCTION("""COMPUTED_VALUE"""),45322)</f>
        <v>45322</v>
      </c>
      <c r="G386" s="16">
        <f ca="1">IFERROR(__xludf.DUMMYFUNCTION("""COMPUTED_VALUE"""),79688624)</f>
        <v>79688624</v>
      </c>
      <c r="H386" s="16" t="str">
        <f ca="1">IFERROR(__xludf.DUMMYFUNCTION("""COMPUTED_VALUE""")," 100% Girado ")</f>
        <v xml:space="preserve"> 100% Girado </v>
      </c>
      <c r="I386" s="16">
        <f ca="1">IFERROR(__xludf.DUMMYFUNCTION("""COMPUTED_VALUE"""),39844312)</f>
        <v>39844312</v>
      </c>
      <c r="J386" s="83" t="s">
        <v>48</v>
      </c>
      <c r="K386" s="16"/>
      <c r="L386" s="16"/>
      <c r="M386" s="16"/>
      <c r="N386" s="19"/>
      <c r="O386" s="21">
        <f ca="1">IFERROR(__xludf.DUMMYFUNCTION("""COMPUTED_VALUE"""),39844312)</f>
        <v>39844312</v>
      </c>
      <c r="P386" s="19"/>
      <c r="Q386" s="19"/>
      <c r="R386" s="19"/>
      <c r="S386" s="19"/>
      <c r="T386" s="19"/>
      <c r="U386" s="19"/>
      <c r="V386" s="19"/>
      <c r="W386" s="20">
        <f ca="1">IFERROR(__xludf.DUMMYFUNCTION("""COMPUTED_VALUE"""),39844312)</f>
        <v>39844312</v>
      </c>
      <c r="X386" s="20" t="str">
        <f ca="1">IFERROR(__xludf.DUMMYFUNCTION("""COMPUTED_VALUE""")," MUNICIPALIDAD DE TOMÉ ")</f>
        <v xml:space="preserve"> MUNICIPALIDAD DE TOMÉ </v>
      </c>
    </row>
    <row r="387" spans="1:24" ht="15.75" customHeight="1" x14ac:dyDescent="0.25">
      <c r="A387" s="16" t="str">
        <f ca="1">IFERROR(__xludf.DUMMYFUNCTION("""COMPUTED_VALUE""")," REGIÓN DEL BIOBÍO ")</f>
        <v xml:space="preserve"> REGIÓN DEL BIOBÍO </v>
      </c>
      <c r="B387" s="16" t="str">
        <f t="shared" ca="1" si="1"/>
        <v xml:space="preserve"> TOMÉ </v>
      </c>
      <c r="C387" s="16" t="str">
        <f ca="1">IFERROR(__xludf.DUMMYFUNCTION("""COMPUTED_VALUE""")," CONSTRUCCION RADIER DE ACCESO GIMNASIO MUNICIPAL DE DICHATO, COMUNA DE TOME ")</f>
        <v xml:space="preserve"> CONSTRUCCION RADIER DE ACCESO GIMNASIO MUNICIPAL DE DICHATO, COMUNA DE TOME </v>
      </c>
      <c r="D387" s="16" t="str">
        <f ca="1">IFERROR(__xludf.DUMMYFUNCTION("""COMPUTED_VALUE""")," 1-K-2023-166 ")</f>
        <v xml:space="preserve"> 1-K-2023-166 </v>
      </c>
      <c r="E387" s="16" t="str">
        <f ca="1">IFERROR(__xludf.DUMMYFUNCTION("""COMPUTED_VALUE""")," 100% Girado ")</f>
        <v xml:space="preserve"> 100% Girado </v>
      </c>
      <c r="F387" s="17">
        <f ca="1">IFERROR(__xludf.DUMMYFUNCTION("""COMPUTED_VALUE"""),45322)</f>
        <v>45322</v>
      </c>
      <c r="G387" s="16">
        <f ca="1">IFERROR(__xludf.DUMMYFUNCTION("""COMPUTED_VALUE"""),115950382)</f>
        <v>115950382</v>
      </c>
      <c r="H387" s="16" t="str">
        <f ca="1">IFERROR(__xludf.DUMMYFUNCTION("""COMPUTED_VALUE""")," 100% Girado ")</f>
        <v xml:space="preserve"> 100% Girado </v>
      </c>
      <c r="I387" s="16">
        <f ca="1">IFERROR(__xludf.DUMMYFUNCTION("""COMPUTED_VALUE"""),57975191)</f>
        <v>57975191</v>
      </c>
      <c r="J387" s="83" t="s">
        <v>48</v>
      </c>
      <c r="K387" s="16"/>
      <c r="L387" s="16"/>
      <c r="M387" s="16"/>
      <c r="N387" s="19"/>
      <c r="O387" s="21">
        <f ca="1">IFERROR(__xludf.DUMMYFUNCTION("""COMPUTED_VALUE"""),57975191)</f>
        <v>57975191</v>
      </c>
      <c r="P387" s="19"/>
      <c r="Q387" s="19"/>
      <c r="R387" s="19"/>
      <c r="S387" s="19"/>
      <c r="T387" s="19"/>
      <c r="U387" s="19"/>
      <c r="V387" s="19"/>
      <c r="W387" s="20">
        <f ca="1">IFERROR(__xludf.DUMMYFUNCTION("""COMPUTED_VALUE"""),57975191)</f>
        <v>57975191</v>
      </c>
      <c r="X387" s="20" t="str">
        <f ca="1">IFERROR(__xludf.DUMMYFUNCTION("""COMPUTED_VALUE""")," MUNICIPALIDAD DE TOMÉ ")</f>
        <v xml:space="preserve"> MUNICIPALIDAD DE TOMÉ </v>
      </c>
    </row>
    <row r="388" spans="1:24" ht="15.75" customHeight="1" x14ac:dyDescent="0.25">
      <c r="A388" s="16" t="str">
        <f ca="1">IFERROR(__xludf.DUMMYFUNCTION("""COMPUTED_VALUE""")," REGIÓN DE LA ARAUCANÍA ")</f>
        <v xml:space="preserve"> REGIÓN DE LA ARAUCANÍA </v>
      </c>
      <c r="B388" s="16" t="str">
        <f t="shared" ca="1" si="1"/>
        <v xml:space="preserve"> TEMUCO </v>
      </c>
      <c r="C388" s="16" t="str">
        <f ca="1">IFERROR(__xludf.DUMMYFUNCTION("""COMPUTED_VALUE""")," SPD MEJORAMIENTO ÁREA VERDE VILLA RENACER EN CALLE LUCIANO FARIÑA Y PJE. LA PORTADA, TEMUCO ")</f>
        <v xml:space="preserve"> SPD MEJORAMIENTO ÁREA VERDE VILLA RENACER EN CALLE LUCIANO FARIÑA Y PJE. LA PORTADA, TEMUCO </v>
      </c>
      <c r="D388" s="16" t="str">
        <f ca="1">IFERROR(__xludf.DUMMYFUNCTION("""COMPUTED_VALUE""")," 1-SPD-2022-195 ")</f>
        <v xml:space="preserve"> 1-SPD-2022-195 </v>
      </c>
      <c r="E388" s="16" t="str">
        <f ca="1">IFERROR(__xludf.DUMMYFUNCTION("""COMPUTED_VALUE""")," 100% Girado ")</f>
        <v xml:space="preserve"> 100% Girado </v>
      </c>
      <c r="F388" s="17">
        <f ca="1">IFERROR(__xludf.DUMMYFUNCTION("""COMPUTED_VALUE"""),45419)</f>
        <v>45419</v>
      </c>
      <c r="G388" s="16">
        <f ca="1">IFERROR(__xludf.DUMMYFUNCTION("""COMPUTED_VALUE"""),74999995)</f>
        <v>74999995</v>
      </c>
      <c r="H388" s="16" t="str">
        <f ca="1">IFERROR(__xludf.DUMMYFUNCTION("""COMPUTED_VALUE""")," 100% Girado ")</f>
        <v xml:space="preserve"> 100% Girado </v>
      </c>
      <c r="I388" s="16">
        <f ca="1">IFERROR(__xludf.DUMMYFUNCTION("""COMPUTED_VALUE"""),74999995)</f>
        <v>74999995</v>
      </c>
      <c r="J388" s="83" t="s">
        <v>48</v>
      </c>
      <c r="K388" s="16"/>
      <c r="L388" s="16"/>
      <c r="M388" s="16"/>
      <c r="N388" s="19"/>
      <c r="O388" s="21">
        <f ca="1">IFERROR(__xludf.DUMMYFUNCTION("""COMPUTED_VALUE"""),74999995)</f>
        <v>74999995</v>
      </c>
      <c r="P388" s="19"/>
      <c r="Q388" s="19"/>
      <c r="R388" s="19"/>
      <c r="S388" s="19"/>
      <c r="T388" s="19"/>
      <c r="U388" s="19"/>
      <c r="V388" s="19"/>
      <c r="W388" s="20">
        <f ca="1">IFERROR(__xludf.DUMMYFUNCTION("""COMPUTED_VALUE"""),74999995)</f>
        <v>74999995</v>
      </c>
      <c r="X388" s="20" t="str">
        <f ca="1">IFERROR(__xludf.DUMMYFUNCTION("""COMPUTED_VALUE""")," MUNICIPALIDAD DE TEMUCO ")</f>
        <v xml:space="preserve"> MUNICIPALIDAD DE TEMUCO </v>
      </c>
    </row>
    <row r="389" spans="1:24" ht="15.75" customHeight="1" x14ac:dyDescent="0.25">
      <c r="A389" s="16" t="str">
        <f ca="1">IFERROR(__xludf.DUMMYFUNCTION("""COMPUTED_VALUE""")," REGIÓN DE LA ARAUCANÍA ")</f>
        <v xml:space="preserve"> REGIÓN DE LA ARAUCANÍA </v>
      </c>
      <c r="B389" s="16" t="str">
        <f t="shared" ca="1" si="1"/>
        <v xml:space="preserve"> PADRE LAS CASAS </v>
      </c>
      <c r="C389" s="16" t="str">
        <f ca="1">IFERROR(__xludf.DUMMYFUNCTION("""COMPUTED_VALUE""")," SPD- AMPLIACIÓN SISTEMA DE TELEPROTECCIÓN PARA LA COMUNA DE PADRE LAS CASAS ")</f>
        <v xml:space="preserve"> SPD- AMPLIACIÓN SISTEMA DE TELEPROTECCIÓN PARA LA COMUNA DE PADRE LAS CASAS </v>
      </c>
      <c r="D389" s="16" t="str">
        <f ca="1">IFERROR(__xludf.DUMMYFUNCTION("""COMPUTED_VALUE""")," 1-SPD-2022-605 ")</f>
        <v xml:space="preserve"> 1-SPD-2022-605 </v>
      </c>
      <c r="E389" s="16" t="str">
        <f ca="1">IFERROR(__xludf.DUMMYFUNCTION("""COMPUTED_VALUE""")," 100% Girado ")</f>
        <v xml:space="preserve"> 100% Girado </v>
      </c>
      <c r="F389" s="17">
        <f ca="1">IFERROR(__xludf.DUMMYFUNCTION("""COMPUTED_VALUE"""),45422)</f>
        <v>45422</v>
      </c>
      <c r="G389" s="16">
        <f ca="1">IFERROR(__xludf.DUMMYFUNCTION("""COMPUTED_VALUE"""),74962782)</f>
        <v>74962782</v>
      </c>
      <c r="H389" s="16" t="str">
        <f ca="1">IFERROR(__xludf.DUMMYFUNCTION("""COMPUTED_VALUE""")," 100% Girado ")</f>
        <v xml:space="preserve"> 100% Girado </v>
      </c>
      <c r="I389" s="16">
        <f ca="1">IFERROR(__xludf.DUMMYFUNCTION("""COMPUTED_VALUE"""),74962782)</f>
        <v>74962782</v>
      </c>
      <c r="J389" s="83" t="s">
        <v>48</v>
      </c>
      <c r="K389" s="16"/>
      <c r="L389" s="16"/>
      <c r="M389" s="16"/>
      <c r="N389" s="19"/>
      <c r="O389" s="21">
        <f ca="1">IFERROR(__xludf.DUMMYFUNCTION("""COMPUTED_VALUE"""),74962782)</f>
        <v>74962782</v>
      </c>
      <c r="P389" s="19"/>
      <c r="Q389" s="19"/>
      <c r="R389" s="19"/>
      <c r="S389" s="19"/>
      <c r="T389" s="19"/>
      <c r="U389" s="19"/>
      <c r="V389" s="19"/>
      <c r="W389" s="20">
        <f ca="1">IFERROR(__xludf.DUMMYFUNCTION("""COMPUTED_VALUE"""),74962782)</f>
        <v>74962782</v>
      </c>
      <c r="X389" s="20" t="str">
        <f ca="1">IFERROR(__xludf.DUMMYFUNCTION("""COMPUTED_VALUE""")," MUNICIPALIDAD DE PADRE LAS CASAS ")</f>
        <v xml:space="preserve"> MUNICIPALIDAD DE PADRE LAS CASAS </v>
      </c>
    </row>
    <row r="390" spans="1:24" ht="15.75" customHeight="1" x14ac:dyDescent="0.25">
      <c r="A390" s="16" t="str">
        <f ca="1">IFERROR(__xludf.DUMMYFUNCTION("""COMPUTED_VALUE""")," REGIÓN DE LA ARAUCANÍA ")</f>
        <v xml:space="preserve"> REGIÓN DE LA ARAUCANÍA </v>
      </c>
      <c r="B390" s="16" t="str">
        <f t="shared" ca="1" si="1"/>
        <v xml:space="preserve"> LONCOCHE </v>
      </c>
      <c r="C390" s="16" t="str">
        <f ca="1">IFERROR(__xludf.DUMMYFUNCTION("""COMPUTED_VALUE""")," [SATE] MEJORAMIENTO ÁREA VERDE Y REPOSICIÓN SEDE VILLA LOS AROMOS, LONCOCHE ")</f>
        <v xml:space="preserve"> [SATE] MEJORAMIENTO ÁREA VERDE Y REPOSICIÓN SEDE VILLA LOS AROMOS, LONCOCHE </v>
      </c>
      <c r="D390" s="16" t="str">
        <f ca="1">IFERROR(__xludf.DUMMYFUNCTION("""COMPUTED_VALUE""")," 1-C-2023-1185 ")</f>
        <v xml:space="preserve"> 1-C-2023-1185 </v>
      </c>
      <c r="E390" s="16" t="str">
        <f ca="1">IFERROR(__xludf.DUMMYFUNCTION("""COMPUTED_VALUE""")," 100% Girado ")</f>
        <v xml:space="preserve"> 100% Girado </v>
      </c>
      <c r="F390" s="17">
        <f ca="1">IFERROR(__xludf.DUMMYFUNCTION("""COMPUTED_VALUE"""),45419)</f>
        <v>45419</v>
      </c>
      <c r="G390" s="16">
        <f ca="1">IFERROR(__xludf.DUMMYFUNCTION("""COMPUTED_VALUE"""),154422499)</f>
        <v>154422499</v>
      </c>
      <c r="H390" s="16" t="str">
        <f ca="1">IFERROR(__xludf.DUMMYFUNCTION("""COMPUTED_VALUE""")," 100% Girado ")</f>
        <v xml:space="preserve"> 100% Girado </v>
      </c>
      <c r="I390" s="16">
        <f ca="1">IFERROR(__xludf.DUMMYFUNCTION("""COMPUTED_VALUE"""),154422499)</f>
        <v>154422499</v>
      </c>
      <c r="J390" s="83" t="s">
        <v>48</v>
      </c>
      <c r="K390" s="16"/>
      <c r="L390" s="16"/>
      <c r="M390" s="16"/>
      <c r="N390" s="19"/>
      <c r="O390" s="21">
        <f ca="1">IFERROR(__xludf.DUMMYFUNCTION("""COMPUTED_VALUE"""),154422499)</f>
        <v>154422499</v>
      </c>
      <c r="P390" s="19"/>
      <c r="Q390" s="19"/>
      <c r="R390" s="19"/>
      <c r="S390" s="19"/>
      <c r="T390" s="19"/>
      <c r="U390" s="19"/>
      <c r="V390" s="19"/>
      <c r="W390" s="20">
        <f ca="1">IFERROR(__xludf.DUMMYFUNCTION("""COMPUTED_VALUE"""),154422499)</f>
        <v>154422499</v>
      </c>
      <c r="X390" s="20" t="str">
        <f ca="1">IFERROR(__xludf.DUMMYFUNCTION("""COMPUTED_VALUE""")," MUNICIPALIDAD DE LONCOCHE ")</f>
        <v xml:space="preserve"> MUNICIPALIDAD DE LONCOCHE </v>
      </c>
    </row>
    <row r="391" spans="1:24" ht="15.75" customHeight="1" x14ac:dyDescent="0.25">
      <c r="A391" s="16" t="str">
        <f ca="1">IFERROR(__xludf.DUMMYFUNCTION("""COMPUTED_VALUE""")," REGIÓN DE LA ARAUCANÍA ")</f>
        <v xml:space="preserve"> REGIÓN DE LA ARAUCANÍA </v>
      </c>
      <c r="B391" s="16" t="str">
        <f t="shared" ca="1" si="1"/>
        <v xml:space="preserve"> TEMUCO </v>
      </c>
      <c r="C391" s="16" t="str">
        <f ca="1">IFERROR(__xludf.DUMMYFUNCTION("""COMPUTED_VALUE""")," CONSTRUCCIÓN SEMÁFOROS INTERSECCIÓN GABRIELA MISTRAL CON RECREO, TEMUCO ")</f>
        <v xml:space="preserve"> CONSTRUCCIÓN SEMÁFOROS INTERSECCIÓN GABRIELA MISTRAL CON RECREO, TEMUCO </v>
      </c>
      <c r="D391" s="16" t="str">
        <f ca="1">IFERROR(__xludf.DUMMYFUNCTION("""COMPUTED_VALUE""")," 1-C-2023-1253 ")</f>
        <v xml:space="preserve"> 1-C-2023-1253 </v>
      </c>
      <c r="E391" s="16" t="str">
        <f ca="1">IFERROR(__xludf.DUMMYFUNCTION("""COMPUTED_VALUE""")," 100% Girado ")</f>
        <v xml:space="preserve"> 100% Girado </v>
      </c>
      <c r="F391" s="17">
        <f ca="1">IFERROR(__xludf.DUMMYFUNCTION("""COMPUTED_VALUE"""),45419)</f>
        <v>45419</v>
      </c>
      <c r="G391" s="16">
        <f ca="1">IFERROR(__xludf.DUMMYFUNCTION("""COMPUTED_VALUE"""),135724567)</f>
        <v>135724567</v>
      </c>
      <c r="H391" s="16" t="str">
        <f ca="1">IFERROR(__xludf.DUMMYFUNCTION("""COMPUTED_VALUE""")," 100% Girado ")</f>
        <v xml:space="preserve"> 100% Girado </v>
      </c>
      <c r="I391" s="16">
        <f ca="1">IFERROR(__xludf.DUMMYFUNCTION("""COMPUTED_VALUE"""),135724567)</f>
        <v>135724567</v>
      </c>
      <c r="J391" s="83" t="s">
        <v>48</v>
      </c>
      <c r="K391" s="16"/>
      <c r="L391" s="16"/>
      <c r="M391" s="16"/>
      <c r="N391" s="19"/>
      <c r="O391" s="21">
        <f ca="1">IFERROR(__xludf.DUMMYFUNCTION("""COMPUTED_VALUE"""),135724567)</f>
        <v>135724567</v>
      </c>
      <c r="P391" s="19"/>
      <c r="Q391" s="19"/>
      <c r="R391" s="19"/>
      <c r="S391" s="19"/>
      <c r="T391" s="19"/>
      <c r="U391" s="19"/>
      <c r="V391" s="19"/>
      <c r="W391" s="20">
        <f ca="1">IFERROR(__xludf.DUMMYFUNCTION("""COMPUTED_VALUE"""),135724567)</f>
        <v>135724567</v>
      </c>
      <c r="X391" s="20" t="str">
        <f ca="1">IFERROR(__xludf.DUMMYFUNCTION("""COMPUTED_VALUE""")," MUNICIPALIDAD DE TEMUCO ")</f>
        <v xml:space="preserve"> MUNICIPALIDAD DE TEMUCO </v>
      </c>
    </row>
    <row r="392" spans="1:24" ht="15.75" customHeight="1" x14ac:dyDescent="0.25">
      <c r="A392" s="16" t="str">
        <f ca="1">IFERROR(__xludf.DUMMYFUNCTION("""COMPUTED_VALUE""")," REGIÓN DE LA ARAUCANÍA ")</f>
        <v xml:space="preserve"> REGIÓN DE LA ARAUCANÍA </v>
      </c>
      <c r="B392" s="16" t="str">
        <f t="shared" ca="1" si="1"/>
        <v xml:space="preserve"> GALVARINO </v>
      </c>
      <c r="C392" s="16" t="str">
        <f ca="1">IFERROR(__xludf.DUMMYFUNCTION("""COMPUTED_VALUE""")," CONSTRUCCION DE OBRAS EXTERIORES Y PATIO NORMATIVO, ESCUELA REDUCCION PANGUECO. COMUNA DE GALVARINO ")</f>
        <v xml:space="preserve"> CONSTRUCCION DE OBRAS EXTERIORES Y PATIO NORMATIVO, ESCUELA REDUCCION PANGUECO. COMUNA DE GALVARINO </v>
      </c>
      <c r="D392" s="16" t="str">
        <f ca="1">IFERROR(__xludf.DUMMYFUNCTION("""COMPUTED_VALUE""")," 1-C-2024-342 ")</f>
        <v xml:space="preserve"> 1-C-2024-342 </v>
      </c>
      <c r="E392" s="16" t="str">
        <f ca="1">IFERROR(__xludf.DUMMYFUNCTION("""COMPUTED_VALUE""")," 100% Girado ")</f>
        <v xml:space="preserve"> 100% Girado </v>
      </c>
      <c r="F392" s="17">
        <f ca="1">IFERROR(__xludf.DUMMYFUNCTION("""COMPUTED_VALUE"""),45419)</f>
        <v>45419</v>
      </c>
      <c r="G392" s="16">
        <f ca="1">IFERROR(__xludf.DUMMYFUNCTION("""COMPUTED_VALUE"""),161529599)</f>
        <v>161529599</v>
      </c>
      <c r="H392" s="16" t="str">
        <f ca="1">IFERROR(__xludf.DUMMYFUNCTION("""COMPUTED_VALUE""")," 100% Girado ")</f>
        <v xml:space="preserve"> 100% Girado </v>
      </c>
      <c r="I392" s="16">
        <f ca="1">IFERROR(__xludf.DUMMYFUNCTION("""COMPUTED_VALUE"""),161529599)</f>
        <v>161529599</v>
      </c>
      <c r="J392" s="83" t="s">
        <v>48</v>
      </c>
      <c r="K392" s="16"/>
      <c r="L392" s="16"/>
      <c r="M392" s="16"/>
      <c r="N392" s="19"/>
      <c r="O392" s="21">
        <f ca="1">IFERROR(__xludf.DUMMYFUNCTION("""COMPUTED_VALUE"""),161529599)</f>
        <v>161529599</v>
      </c>
      <c r="P392" s="19"/>
      <c r="Q392" s="19"/>
      <c r="R392" s="19"/>
      <c r="S392" s="19"/>
      <c r="T392" s="19"/>
      <c r="U392" s="19"/>
      <c r="V392" s="19"/>
      <c r="W392" s="20">
        <f ca="1">IFERROR(__xludf.DUMMYFUNCTION("""COMPUTED_VALUE"""),161529599)</f>
        <v>161529599</v>
      </c>
      <c r="X392" s="20" t="str">
        <f ca="1">IFERROR(__xludf.DUMMYFUNCTION("""COMPUTED_VALUE""")," MUNICIPALIDAD DE GALVARINO ")</f>
        <v xml:space="preserve"> MUNICIPALIDAD DE GALVARINO </v>
      </c>
    </row>
    <row r="393" spans="1:24" ht="15.75" customHeight="1" x14ac:dyDescent="0.25">
      <c r="A393" s="16" t="str">
        <f ca="1">IFERROR(__xludf.DUMMYFUNCTION("""COMPUTED_VALUE""")," REGIÓN DE LOS LAGOS ")</f>
        <v xml:space="preserve"> REGIÓN DE LOS LAGOS </v>
      </c>
      <c r="B393" s="16" t="str">
        <f t="shared" ca="1" si="1"/>
        <v xml:space="preserve"> PUERTO MONTT </v>
      </c>
      <c r="C393" s="16" t="str">
        <f ca="1">IFERROR(__xludf.DUMMYFUNCTION("""COMPUTED_VALUE""")," CONSTRUCCIÓN MULTICANCHA JARDÍN ORIENTE III ")</f>
        <v xml:space="preserve"> CONSTRUCCIÓN MULTICANCHA JARDÍN ORIENTE III </v>
      </c>
      <c r="D393" s="16" t="str">
        <f ca="1">IFERROR(__xludf.DUMMYFUNCTION("""COMPUTED_VALUE""")," 1-C-2020-799 [CHA] ")</f>
        <v xml:space="preserve"> 1-C-2020-799 [CHA] </v>
      </c>
      <c r="E393" s="16" t="str">
        <f ca="1">IFERROR(__xludf.DUMMYFUNCTION("""COMPUTED_VALUE""")," 100% Girado ")</f>
        <v xml:space="preserve"> 100% Girado </v>
      </c>
      <c r="F393" s="17">
        <f ca="1">IFERROR(__xludf.DUMMYFUNCTION("""COMPUTED_VALUE"""),44770)</f>
        <v>44770</v>
      </c>
      <c r="G393" s="16">
        <f ca="1">IFERROR(__xludf.DUMMYFUNCTION("""COMPUTED_VALUE"""),88455873)</f>
        <v>88455873</v>
      </c>
      <c r="H393" s="16" t="str">
        <f ca="1">IFERROR(__xludf.DUMMYFUNCTION("""COMPUTED_VALUE""")," 100% Girado ")</f>
        <v xml:space="preserve"> 100% Girado </v>
      </c>
      <c r="I393" s="16">
        <f ca="1">IFERROR(__xludf.DUMMYFUNCTION("""COMPUTED_VALUE"""),13475517)</f>
        <v>13475517</v>
      </c>
      <c r="J393" s="83" t="s">
        <v>48</v>
      </c>
      <c r="K393" s="16"/>
      <c r="L393" s="16"/>
      <c r="M393" s="16"/>
      <c r="N393" s="19"/>
      <c r="O393" s="21">
        <f ca="1">IFERROR(__xludf.DUMMYFUNCTION("""COMPUTED_VALUE"""),13475517)</f>
        <v>13475517</v>
      </c>
      <c r="P393" s="19"/>
      <c r="Q393" s="19"/>
      <c r="R393" s="19"/>
      <c r="S393" s="19"/>
      <c r="T393" s="19"/>
      <c r="U393" s="19"/>
      <c r="V393" s="19"/>
      <c r="W393" s="20">
        <f ca="1">IFERROR(__xludf.DUMMYFUNCTION("""COMPUTED_VALUE"""),13475517)</f>
        <v>13475517</v>
      </c>
      <c r="X393" s="20" t="str">
        <f ca="1">IFERROR(__xludf.DUMMYFUNCTION("""COMPUTED_VALUE""")," MUNICIPALIDAD DE PUERTO MONTT ")</f>
        <v xml:space="preserve"> MUNICIPALIDAD DE PUERTO MONTT </v>
      </c>
    </row>
    <row r="394" spans="1:24" ht="15.75" customHeight="1" x14ac:dyDescent="0.25">
      <c r="A394" s="16" t="str">
        <f ca="1">IFERROR(__xludf.DUMMYFUNCTION("""COMPUTED_VALUE""")," REGIÓN DE LOS LAGOS ")</f>
        <v xml:space="preserve"> REGIÓN DE LOS LAGOS </v>
      </c>
      <c r="B394" s="16" t="str">
        <f t="shared" ca="1" si="1"/>
        <v xml:space="preserve"> CHAITÉN </v>
      </c>
      <c r="C394" s="16" t="str">
        <f ca="1">IFERROR(__xludf.DUMMYFUNCTION("""COMPUTED_VALUE""")," CONSERVACIÓN ESCUELA RURAL DE HUEQUE, COMUNA DE CHAITÉN ")</f>
        <v xml:space="preserve"> CONSERVACIÓN ESCUELA RURAL DE HUEQUE, COMUNA DE CHAITÉN </v>
      </c>
      <c r="D394" s="16" t="str">
        <f ca="1">IFERROR(__xludf.DUMMYFUNCTION("""COMPUTED_VALUE""")," 1-C-2023-2854 ")</f>
        <v xml:space="preserve"> 1-C-2023-2854 </v>
      </c>
      <c r="E394" s="16" t="str">
        <f ca="1">IFERROR(__xludf.DUMMYFUNCTION("""COMPUTED_VALUE""")," 100% Girado ")</f>
        <v xml:space="preserve"> 100% Girado </v>
      </c>
      <c r="F394" s="17">
        <f ca="1">IFERROR(__xludf.DUMMYFUNCTION("""COMPUTED_VALUE"""),45441)</f>
        <v>45441</v>
      </c>
      <c r="G394" s="16">
        <f ca="1">IFERROR(__xludf.DUMMYFUNCTION("""COMPUTED_VALUE"""),149999997)</f>
        <v>149999997</v>
      </c>
      <c r="H394" s="16" t="str">
        <f ca="1">IFERROR(__xludf.DUMMYFUNCTION("""COMPUTED_VALUE""")," 100% Girado ")</f>
        <v xml:space="preserve"> 100% Girado </v>
      </c>
      <c r="I394" s="16">
        <f ca="1">IFERROR(__xludf.DUMMYFUNCTION("""COMPUTED_VALUE"""),149999997)</f>
        <v>149999997</v>
      </c>
      <c r="J394" s="83" t="s">
        <v>48</v>
      </c>
      <c r="K394" s="16"/>
      <c r="L394" s="16"/>
      <c r="M394" s="16"/>
      <c r="N394" s="19"/>
      <c r="O394" s="21">
        <f ca="1">IFERROR(__xludf.DUMMYFUNCTION("""COMPUTED_VALUE"""),149999997)</f>
        <v>149999997</v>
      </c>
      <c r="P394" s="19"/>
      <c r="Q394" s="19"/>
      <c r="R394" s="19"/>
      <c r="S394" s="19"/>
      <c r="T394" s="19"/>
      <c r="U394" s="19"/>
      <c r="V394" s="19"/>
      <c r="W394" s="20">
        <f ca="1">IFERROR(__xludf.DUMMYFUNCTION("""COMPUTED_VALUE"""),149999997)</f>
        <v>149999997</v>
      </c>
      <c r="X394" s="20" t="str">
        <f ca="1">IFERROR(__xludf.DUMMYFUNCTION("""COMPUTED_VALUE""")," MUNICIPALIDAD DE CHAITÉN ")</f>
        <v xml:space="preserve"> MUNICIPALIDAD DE CHAITÉN </v>
      </c>
    </row>
    <row r="395" spans="1:24" ht="15.75" customHeight="1" x14ac:dyDescent="0.25">
      <c r="A395" s="16" t="str">
        <f ca="1">IFERROR(__xludf.DUMMYFUNCTION("""COMPUTED_VALUE""")," REGIÓN DE LOS LAGOS ")</f>
        <v xml:space="preserve"> REGIÓN DE LOS LAGOS </v>
      </c>
      <c r="B395" s="16" t="str">
        <f t="shared" ca="1" si="1"/>
        <v xml:space="preserve"> PUERTO VARAS </v>
      </c>
      <c r="C395" s="16" t="str">
        <f ca="1">IFERROR(__xludf.DUMMYFUNCTION("""COMPUTED_VALUE""")," CONSERVACIÓN JUEGOS Y MOBILIARIO URBANO EN PLAZAS DE PUERTO VARAS ")</f>
        <v xml:space="preserve"> CONSERVACIÓN JUEGOS Y MOBILIARIO URBANO EN PLAZAS DE PUERTO VARAS </v>
      </c>
      <c r="D395" s="16" t="str">
        <f ca="1">IFERROR(__xludf.DUMMYFUNCTION("""COMPUTED_VALUE""")," 1-C-2023-3193 ")</f>
        <v xml:space="preserve"> 1-C-2023-3193 </v>
      </c>
      <c r="E395" s="16" t="str">
        <f ca="1">IFERROR(__xludf.DUMMYFUNCTION("""COMPUTED_VALUE""")," 100% Girado ")</f>
        <v xml:space="preserve"> 100% Girado </v>
      </c>
      <c r="F395" s="17">
        <f ca="1">IFERROR(__xludf.DUMMYFUNCTION("""COMPUTED_VALUE"""),45441)</f>
        <v>45441</v>
      </c>
      <c r="G395" s="16">
        <f ca="1">IFERROR(__xludf.DUMMYFUNCTION("""COMPUTED_VALUE"""),154000000)</f>
        <v>154000000</v>
      </c>
      <c r="H395" s="16" t="str">
        <f ca="1">IFERROR(__xludf.DUMMYFUNCTION("""COMPUTED_VALUE""")," 100% Girado ")</f>
        <v xml:space="preserve"> 100% Girado </v>
      </c>
      <c r="I395" s="16">
        <f ca="1">IFERROR(__xludf.DUMMYFUNCTION("""COMPUTED_VALUE"""),154000000)</f>
        <v>154000000</v>
      </c>
      <c r="J395" s="83" t="s">
        <v>48</v>
      </c>
      <c r="K395" s="16"/>
      <c r="L395" s="16"/>
      <c r="M395" s="16"/>
      <c r="N395" s="19"/>
      <c r="O395" s="21">
        <f ca="1">IFERROR(__xludf.DUMMYFUNCTION("""COMPUTED_VALUE"""),154000000)</f>
        <v>154000000</v>
      </c>
      <c r="P395" s="19"/>
      <c r="Q395" s="19"/>
      <c r="R395" s="19"/>
      <c r="S395" s="19"/>
      <c r="T395" s="19"/>
      <c r="U395" s="19"/>
      <c r="V395" s="19"/>
      <c r="W395" s="20">
        <f ca="1">IFERROR(__xludf.DUMMYFUNCTION("""COMPUTED_VALUE"""),154000000)</f>
        <v>154000000</v>
      </c>
      <c r="X395" s="20" t="str">
        <f ca="1">IFERROR(__xludf.DUMMYFUNCTION("""COMPUTED_VALUE""")," MUNICIPALIDAD DE PUERTO VARAS ")</f>
        <v xml:space="preserve"> MUNICIPALIDAD DE PUERTO VARAS </v>
      </c>
    </row>
    <row r="396" spans="1:24" ht="15.75" customHeight="1" x14ac:dyDescent="0.25">
      <c r="A396" s="16" t="str">
        <f ca="1">IFERROR(__xludf.DUMMYFUNCTION("""COMPUTED_VALUE""")," REGIÓN DE LOS LAGOS ")</f>
        <v xml:space="preserve"> REGIÓN DE LOS LAGOS </v>
      </c>
      <c r="B396" s="16" t="str">
        <f t="shared" ca="1" si="1"/>
        <v xml:space="preserve"> QUINCHAO </v>
      </c>
      <c r="C396" s="16" t="str">
        <f ca="1">IFERROR(__xludf.DUMMYFUNCTION("""COMPUTED_VALUE""")," MEJORAMIENTO INTERNADO LICEO INSULAR, COMUNA DE QUINCHAO ")</f>
        <v xml:space="preserve"> MEJORAMIENTO INTERNADO LICEO INSULAR, COMUNA DE QUINCHAO </v>
      </c>
      <c r="D396" s="16" t="str">
        <f ca="1">IFERROR(__xludf.DUMMYFUNCTION("""COMPUTED_VALUE""")," 1-C-2023-3235 ")</f>
        <v xml:space="preserve"> 1-C-2023-3235 </v>
      </c>
      <c r="E396" s="16" t="str">
        <f ca="1">IFERROR(__xludf.DUMMYFUNCTION("""COMPUTED_VALUE""")," 100% Girado ")</f>
        <v xml:space="preserve"> 100% Girado </v>
      </c>
      <c r="F396" s="17">
        <f ca="1">IFERROR(__xludf.DUMMYFUNCTION("""COMPUTED_VALUE"""),45414)</f>
        <v>45414</v>
      </c>
      <c r="G396" s="16">
        <f ca="1">IFERROR(__xludf.DUMMYFUNCTION("""COMPUTED_VALUE"""),154481531)</f>
        <v>154481531</v>
      </c>
      <c r="H396" s="16" t="str">
        <f ca="1">IFERROR(__xludf.DUMMYFUNCTION("""COMPUTED_VALUE""")," 100% Girado ")</f>
        <v xml:space="preserve"> 100% Girado </v>
      </c>
      <c r="I396" s="16">
        <f ca="1">IFERROR(__xludf.DUMMYFUNCTION("""COMPUTED_VALUE"""),154481531)</f>
        <v>154481531</v>
      </c>
      <c r="J396" s="83" t="s">
        <v>48</v>
      </c>
      <c r="K396" s="16"/>
      <c r="L396" s="16"/>
      <c r="M396" s="16"/>
      <c r="N396" s="19"/>
      <c r="O396" s="21">
        <f ca="1">IFERROR(__xludf.DUMMYFUNCTION("""COMPUTED_VALUE"""),154481531)</f>
        <v>154481531</v>
      </c>
      <c r="P396" s="19"/>
      <c r="Q396" s="19"/>
      <c r="R396" s="19"/>
      <c r="S396" s="19"/>
      <c r="T396" s="19"/>
      <c r="U396" s="19"/>
      <c r="V396" s="19"/>
      <c r="W396" s="20">
        <f ca="1">IFERROR(__xludf.DUMMYFUNCTION("""COMPUTED_VALUE"""),154481531)</f>
        <v>154481531</v>
      </c>
      <c r="X396" s="20" t="str">
        <f ca="1">IFERROR(__xludf.DUMMYFUNCTION("""COMPUTED_VALUE""")," MUNICIPALIDAD DE QUINCHAO ")</f>
        <v xml:space="preserve"> MUNICIPALIDAD DE QUINCHAO </v>
      </c>
    </row>
    <row r="397" spans="1:24" ht="15.75" customHeight="1" x14ac:dyDescent="0.25">
      <c r="A397" s="16" t="str">
        <f ca="1">IFERROR(__xludf.DUMMYFUNCTION("""COMPUTED_VALUE""")," REGIÓN METROPOLITANA ")</f>
        <v xml:space="preserve"> REGIÓN METROPOLITANA </v>
      </c>
      <c r="B397" s="16" t="str">
        <f t="shared" ca="1" si="1"/>
        <v xml:space="preserve"> TALAGANTE </v>
      </c>
      <c r="C397" s="16" t="str">
        <f ca="1">IFERROR(__xludf.DUMMYFUNCTION("""COMPUTED_VALUE""")," CONSTRUCCIÓN DE SEMÁFORO CAMINO SANTA ADRIANA RUTA G-78, COMUNA DE TALAGANTE. ")</f>
        <v xml:space="preserve"> CONSTRUCCIÓN DE SEMÁFORO CAMINO SANTA ADRIANA RUTA G-78, COMUNA DE TALAGANTE. </v>
      </c>
      <c r="D397" s="16" t="str">
        <f ca="1">IFERROR(__xludf.DUMMYFUNCTION("""COMPUTED_VALUE""")," 1-C-2022-2397 ")</f>
        <v xml:space="preserve"> 1-C-2022-2397 </v>
      </c>
      <c r="E397" s="16" t="str">
        <f ca="1">IFERROR(__xludf.DUMMYFUNCTION("""COMPUTED_VALUE""")," 100% Girado ")</f>
        <v xml:space="preserve"> 100% Girado </v>
      </c>
      <c r="F397" s="17">
        <f ca="1">IFERROR(__xludf.DUMMYFUNCTION("""COMPUTED_VALUE"""),45414)</f>
        <v>45414</v>
      </c>
      <c r="G397" s="16">
        <f ca="1">IFERROR(__xludf.DUMMYFUNCTION("""COMPUTED_VALUE"""),80129033)</f>
        <v>80129033</v>
      </c>
      <c r="H397" s="16" t="str">
        <f ca="1">IFERROR(__xludf.DUMMYFUNCTION("""COMPUTED_VALUE""")," 100% Girado ")</f>
        <v xml:space="preserve"> 100% Girado </v>
      </c>
      <c r="I397" s="16">
        <f ca="1">IFERROR(__xludf.DUMMYFUNCTION("""COMPUTED_VALUE"""),80129033)</f>
        <v>80129033</v>
      </c>
      <c r="J397" s="83" t="s">
        <v>48</v>
      </c>
      <c r="K397" s="16"/>
      <c r="L397" s="16"/>
      <c r="M397" s="16"/>
      <c r="N397" s="19"/>
      <c r="O397" s="21">
        <f ca="1">IFERROR(__xludf.DUMMYFUNCTION("""COMPUTED_VALUE"""),80129033)</f>
        <v>80129033</v>
      </c>
      <c r="P397" s="19"/>
      <c r="Q397" s="19"/>
      <c r="R397" s="19"/>
      <c r="S397" s="19"/>
      <c r="T397" s="19"/>
      <c r="U397" s="19"/>
      <c r="V397" s="19"/>
      <c r="W397" s="20">
        <f ca="1">IFERROR(__xludf.DUMMYFUNCTION("""COMPUTED_VALUE"""),80129033)</f>
        <v>80129033</v>
      </c>
      <c r="X397" s="20" t="str">
        <f ca="1">IFERROR(__xludf.DUMMYFUNCTION("""COMPUTED_VALUE""")," MUNICIPALIDAD DE TALAGANTE ")</f>
        <v xml:space="preserve"> MUNICIPALIDAD DE TALAGANTE </v>
      </c>
    </row>
    <row r="398" spans="1:24" ht="15.75" customHeight="1" x14ac:dyDescent="0.25">
      <c r="A398" s="16" t="str">
        <f ca="1">IFERROR(__xludf.DUMMYFUNCTION("""COMPUTED_VALUE""")," REGIÓN METROPOLITANA ")</f>
        <v xml:space="preserve"> REGIÓN METROPOLITANA </v>
      </c>
      <c r="B398" s="16" t="str">
        <f t="shared" ca="1" si="1"/>
        <v xml:space="preserve"> INDEPENDENCIA </v>
      </c>
      <c r="C398" s="16" t="str">
        <f ca="1">IFERROR(__xludf.DUMMYFUNCTION("""COMPUTED_VALUE""")," MEJORAMIENTO SEDE CENTRO DIURNO DEL ADULTO MAYOR 2 C ")</f>
        <v xml:space="preserve"> MEJORAMIENTO SEDE CENTRO DIURNO DEL ADULTO MAYOR 2 C </v>
      </c>
      <c r="D398" s="16" t="str">
        <f ca="1">IFERROR(__xludf.DUMMYFUNCTION("""COMPUTED_VALUE""")," 1-C-2023-555 ")</f>
        <v xml:space="preserve"> 1-C-2023-555 </v>
      </c>
      <c r="E398" s="16" t="str">
        <f ca="1">IFERROR(__xludf.DUMMYFUNCTION("""COMPUTED_VALUE""")," 100% Girado ")</f>
        <v xml:space="preserve"> 100% Girado </v>
      </c>
      <c r="F398" s="17">
        <f ca="1">IFERROR(__xludf.DUMMYFUNCTION("""COMPUTED_VALUE"""),45422)</f>
        <v>45422</v>
      </c>
      <c r="G398" s="16">
        <f ca="1">IFERROR(__xludf.DUMMYFUNCTION("""COMPUTED_VALUE"""),147744571)</f>
        <v>147744571</v>
      </c>
      <c r="H398" s="16" t="str">
        <f ca="1">IFERROR(__xludf.DUMMYFUNCTION("""COMPUTED_VALUE""")," 100% Girado ")</f>
        <v xml:space="preserve"> 100% Girado </v>
      </c>
      <c r="I398" s="16">
        <f ca="1">IFERROR(__xludf.DUMMYFUNCTION("""COMPUTED_VALUE"""),147744571)</f>
        <v>147744571</v>
      </c>
      <c r="J398" s="83" t="s">
        <v>48</v>
      </c>
      <c r="K398" s="16"/>
      <c r="L398" s="16"/>
      <c r="M398" s="16"/>
      <c r="N398" s="19"/>
      <c r="O398" s="21">
        <f ca="1">IFERROR(__xludf.DUMMYFUNCTION("""COMPUTED_VALUE"""),147744571)</f>
        <v>147744571</v>
      </c>
      <c r="P398" s="19"/>
      <c r="Q398" s="19"/>
      <c r="R398" s="19"/>
      <c r="S398" s="19"/>
      <c r="T398" s="19"/>
      <c r="U398" s="19"/>
      <c r="V398" s="19"/>
      <c r="W398" s="20">
        <f ca="1">IFERROR(__xludf.DUMMYFUNCTION("""COMPUTED_VALUE"""),147744571)</f>
        <v>147744571</v>
      </c>
      <c r="X398" s="20" t="str">
        <f ca="1">IFERROR(__xludf.DUMMYFUNCTION("""COMPUTED_VALUE""")," MUNICIPALIDAD DE INDEPENDENCIA ")</f>
        <v xml:space="preserve"> MUNICIPALIDAD DE INDEPENDENCIA </v>
      </c>
    </row>
    <row r="399" spans="1:24" ht="15.75" customHeight="1" x14ac:dyDescent="0.25">
      <c r="A399" s="16" t="str">
        <f ca="1">IFERROR(__xludf.DUMMYFUNCTION("""COMPUTED_VALUE""")," REGIÓN METROPOLITANA ")</f>
        <v xml:space="preserve"> REGIÓN METROPOLITANA </v>
      </c>
      <c r="B399" s="16" t="str">
        <f t="shared" ca="1" si="1"/>
        <v xml:space="preserve"> LO ESPEJO </v>
      </c>
      <c r="C399" s="16" t="str">
        <f ca="1">IFERROR(__xludf.DUMMYFUNCTION("""COMPUTED_VALUE""")," MEJORAMIENTO PLAZA BUENAVENTURA ")</f>
        <v xml:space="preserve"> MEJORAMIENTO PLAZA BUENAVENTURA </v>
      </c>
      <c r="D399" s="16" t="str">
        <f ca="1">IFERROR(__xludf.DUMMYFUNCTION("""COMPUTED_VALUE""")," 1-C-2023-1056 ")</f>
        <v xml:space="preserve"> 1-C-2023-1056 </v>
      </c>
      <c r="E399" s="16" t="str">
        <f ca="1">IFERROR(__xludf.DUMMYFUNCTION("""COMPUTED_VALUE""")," 100% Girado ")</f>
        <v xml:space="preserve"> 100% Girado </v>
      </c>
      <c r="F399" s="17">
        <f ca="1">IFERROR(__xludf.DUMMYFUNCTION("""COMPUTED_VALUE"""),45418)</f>
        <v>45418</v>
      </c>
      <c r="G399" s="16">
        <f ca="1">IFERROR(__xludf.DUMMYFUNCTION("""COMPUTED_VALUE"""),154398601)</f>
        <v>154398601</v>
      </c>
      <c r="H399" s="16" t="str">
        <f ca="1">IFERROR(__xludf.DUMMYFUNCTION("""COMPUTED_VALUE""")," 100% Girado ")</f>
        <v xml:space="preserve"> 100% Girado </v>
      </c>
      <c r="I399" s="16">
        <f ca="1">IFERROR(__xludf.DUMMYFUNCTION("""COMPUTED_VALUE"""),154398601)</f>
        <v>154398601</v>
      </c>
      <c r="J399" s="83" t="s">
        <v>48</v>
      </c>
      <c r="K399" s="16"/>
      <c r="L399" s="16"/>
      <c r="M399" s="16"/>
      <c r="N399" s="19"/>
      <c r="O399" s="21">
        <f ca="1">IFERROR(__xludf.DUMMYFUNCTION("""COMPUTED_VALUE"""),154398601)</f>
        <v>154398601</v>
      </c>
      <c r="P399" s="19"/>
      <c r="Q399" s="19"/>
      <c r="R399" s="19"/>
      <c r="S399" s="19"/>
      <c r="T399" s="19"/>
      <c r="U399" s="19"/>
      <c r="V399" s="19"/>
      <c r="W399" s="20">
        <f ca="1">IFERROR(__xludf.DUMMYFUNCTION("""COMPUTED_VALUE"""),154398601)</f>
        <v>154398601</v>
      </c>
      <c r="X399" s="20" t="str">
        <f ca="1">IFERROR(__xludf.DUMMYFUNCTION("""COMPUTED_VALUE""")," MUNICIPALIDAD DE LO ESPEJO ")</f>
        <v xml:space="preserve"> MUNICIPALIDAD DE LO ESPEJO </v>
      </c>
    </row>
    <row r="400" spans="1:24" ht="15.75" customHeight="1" x14ac:dyDescent="0.25">
      <c r="A400" s="16" t="str">
        <f ca="1">IFERROR(__xludf.DUMMYFUNCTION("""COMPUTED_VALUE""")," REGIÓN METROPOLITANA ")</f>
        <v xml:space="preserve"> REGIÓN METROPOLITANA </v>
      </c>
      <c r="B400" s="16" t="str">
        <f t="shared" ca="1" si="1"/>
        <v xml:space="preserve"> RENCA </v>
      </c>
      <c r="C400" s="16" t="str">
        <f ca="1">IFERROR(__xludf.DUMMYFUNCTION("""COMPUTED_VALUE""")," PAVIMENTACIÓN Y AGUAS LLUVIAS CALLE RÍO MAIPO, ENTRE AV. MANUEL RODRÍGUEZ Y AV. EL CERRO, COMUNA DE RENCA ")</f>
        <v xml:space="preserve"> PAVIMENTACIÓN Y AGUAS LLUVIAS CALLE RÍO MAIPO, ENTRE AV. MANUEL RODRÍGUEZ Y AV. EL CERRO, COMUNA DE RENCA </v>
      </c>
      <c r="D400" s="16" t="str">
        <f ca="1">IFERROR(__xludf.DUMMYFUNCTION("""COMPUTED_VALUE""")," 1-C-2023-1475 ")</f>
        <v xml:space="preserve"> 1-C-2023-1475 </v>
      </c>
      <c r="E400" s="16" t="str">
        <f ca="1">IFERROR(__xludf.DUMMYFUNCTION("""COMPUTED_VALUE""")," 100% Girado ")</f>
        <v xml:space="preserve"> 100% Girado </v>
      </c>
      <c r="F400" s="17">
        <f ca="1">IFERROR(__xludf.DUMMYFUNCTION("""COMPUTED_VALUE"""),45427)</f>
        <v>45427</v>
      </c>
      <c r="G400" s="16">
        <f ca="1">IFERROR(__xludf.DUMMYFUNCTION("""COMPUTED_VALUE"""),154412348)</f>
        <v>154412348</v>
      </c>
      <c r="H400" s="16" t="str">
        <f ca="1">IFERROR(__xludf.DUMMYFUNCTION("""COMPUTED_VALUE""")," 100% Girado ")</f>
        <v xml:space="preserve"> 100% Girado </v>
      </c>
      <c r="I400" s="16">
        <f ca="1">IFERROR(__xludf.DUMMYFUNCTION("""COMPUTED_VALUE"""),154412348)</f>
        <v>154412348</v>
      </c>
      <c r="J400" s="83" t="s">
        <v>48</v>
      </c>
      <c r="K400" s="16"/>
      <c r="L400" s="16"/>
      <c r="M400" s="16"/>
      <c r="N400" s="19"/>
      <c r="O400" s="21">
        <f ca="1">IFERROR(__xludf.DUMMYFUNCTION("""COMPUTED_VALUE"""),154412348)</f>
        <v>154412348</v>
      </c>
      <c r="P400" s="19"/>
      <c r="Q400" s="19"/>
      <c r="R400" s="19"/>
      <c r="S400" s="19"/>
      <c r="T400" s="19"/>
      <c r="U400" s="19"/>
      <c r="V400" s="19"/>
      <c r="W400" s="20">
        <f ca="1">IFERROR(__xludf.DUMMYFUNCTION("""COMPUTED_VALUE"""),154412348)</f>
        <v>154412348</v>
      </c>
      <c r="X400" s="20" t="str">
        <f ca="1">IFERROR(__xludf.DUMMYFUNCTION("""COMPUTED_VALUE""")," MUNICIPALIDAD DE RENCA ")</f>
        <v xml:space="preserve"> MUNICIPALIDAD DE RENCA </v>
      </c>
    </row>
    <row r="401" spans="1:24" ht="15.75" customHeight="1" x14ac:dyDescent="0.25">
      <c r="A401" s="16" t="str">
        <f ca="1">IFERROR(__xludf.DUMMYFUNCTION("""COMPUTED_VALUE""")," REGIÓN METROPOLITANA ")</f>
        <v xml:space="preserve"> REGIÓN METROPOLITANA </v>
      </c>
      <c r="B401" s="16" t="str">
        <f t="shared" ca="1" si="1"/>
        <v xml:space="preserve"> QUINTA NORMAL </v>
      </c>
      <c r="C401" s="16" t="str">
        <f ca="1">IFERROR(__xludf.DUMMYFUNCTION("""COMPUTED_VALUE""")," REPOSICION ILUMINACION CANCHAS E ILUMINACION GRADERIAS ESTADIO ESPARTA ")</f>
        <v xml:space="preserve"> REPOSICION ILUMINACION CANCHAS E ILUMINACION GRADERIAS ESTADIO ESPARTA </v>
      </c>
      <c r="D401" s="16" t="str">
        <f ca="1">IFERROR(__xludf.DUMMYFUNCTION("""COMPUTED_VALUE""")," 1-C-2023-1663 ")</f>
        <v xml:space="preserve"> 1-C-2023-1663 </v>
      </c>
      <c r="E401" s="16" t="str">
        <f ca="1">IFERROR(__xludf.DUMMYFUNCTION("""COMPUTED_VALUE""")," 100% Girado ")</f>
        <v xml:space="preserve"> 100% Girado </v>
      </c>
      <c r="F401" s="17">
        <f ca="1">IFERROR(__xludf.DUMMYFUNCTION("""COMPUTED_VALUE"""),45427)</f>
        <v>45427</v>
      </c>
      <c r="G401" s="16">
        <f ca="1">IFERROR(__xludf.DUMMYFUNCTION("""COMPUTED_VALUE"""),151389123)</f>
        <v>151389123</v>
      </c>
      <c r="H401" s="16" t="str">
        <f ca="1">IFERROR(__xludf.DUMMYFUNCTION("""COMPUTED_VALUE""")," 100% Girado ")</f>
        <v xml:space="preserve"> 100% Girado </v>
      </c>
      <c r="I401" s="16">
        <f ca="1">IFERROR(__xludf.DUMMYFUNCTION("""COMPUTED_VALUE"""),151389123)</f>
        <v>151389123</v>
      </c>
      <c r="J401" s="83" t="s">
        <v>48</v>
      </c>
      <c r="K401" s="16"/>
      <c r="L401" s="16"/>
      <c r="M401" s="16"/>
      <c r="N401" s="19"/>
      <c r="O401" s="21">
        <f ca="1">IFERROR(__xludf.DUMMYFUNCTION("""COMPUTED_VALUE"""),151389123)</f>
        <v>151389123</v>
      </c>
      <c r="P401" s="19"/>
      <c r="Q401" s="19"/>
      <c r="R401" s="19"/>
      <c r="S401" s="19"/>
      <c r="T401" s="19"/>
      <c r="U401" s="19"/>
      <c r="V401" s="19"/>
      <c r="W401" s="20">
        <f ca="1">IFERROR(__xludf.DUMMYFUNCTION("""COMPUTED_VALUE"""),151389123)</f>
        <v>151389123</v>
      </c>
      <c r="X401" s="20" t="str">
        <f ca="1">IFERROR(__xludf.DUMMYFUNCTION("""COMPUTED_VALUE""")," MUNICIPALIDAD DE QUINTA NORMAL ")</f>
        <v xml:space="preserve"> MUNICIPALIDAD DE QUINTA NORMAL </v>
      </c>
    </row>
    <row r="402" spans="1:24" ht="15.75" customHeight="1" x14ac:dyDescent="0.25">
      <c r="A402" s="16" t="str">
        <f ca="1">IFERROR(__xludf.DUMMYFUNCTION("""COMPUTED_VALUE""")," REGIÓN METROPOLITANA ")</f>
        <v xml:space="preserve"> REGIÓN METROPOLITANA </v>
      </c>
      <c r="B402" s="16" t="str">
        <f t="shared" ca="1" si="1"/>
        <v xml:space="preserve"> INDEPENDENCIA </v>
      </c>
      <c r="C402" s="16" t="str">
        <f ca="1">IFERROR(__xludf.DUMMYFUNCTION("""COMPUTED_VALUE""")," CSV MEJORAMIENTO ESPACIO PÚBLICO CALLE DAVILA BAEZA ")</f>
        <v xml:space="preserve"> CSV MEJORAMIENTO ESPACIO PÚBLICO CALLE DAVILA BAEZA </v>
      </c>
      <c r="D402" s="16" t="str">
        <f ca="1">IFERROR(__xludf.DUMMYFUNCTION("""COMPUTED_VALUE""")," 1-C-2023-1954 ")</f>
        <v xml:space="preserve"> 1-C-2023-1954 </v>
      </c>
      <c r="E402" s="16" t="str">
        <f ca="1">IFERROR(__xludf.DUMMYFUNCTION("""COMPUTED_VALUE""")," 100% Girado ")</f>
        <v xml:space="preserve"> 100% Girado </v>
      </c>
      <c r="F402" s="17">
        <f ca="1">IFERROR(__xludf.DUMMYFUNCTION("""COMPUTED_VALUE"""),45415)</f>
        <v>45415</v>
      </c>
      <c r="G402" s="16">
        <f ca="1">IFERROR(__xludf.DUMMYFUNCTION("""COMPUTED_VALUE"""),154421441)</f>
        <v>154421441</v>
      </c>
      <c r="H402" s="16" t="str">
        <f ca="1">IFERROR(__xludf.DUMMYFUNCTION("""COMPUTED_VALUE""")," 100% Girado ")</f>
        <v xml:space="preserve"> 100% Girado </v>
      </c>
      <c r="I402" s="16">
        <f ca="1">IFERROR(__xludf.DUMMYFUNCTION("""COMPUTED_VALUE"""),154421441)</f>
        <v>154421441</v>
      </c>
      <c r="J402" s="83" t="s">
        <v>48</v>
      </c>
      <c r="K402" s="16"/>
      <c r="L402" s="16"/>
      <c r="M402" s="16"/>
      <c r="N402" s="19"/>
      <c r="O402" s="21">
        <f ca="1">IFERROR(__xludf.DUMMYFUNCTION("""COMPUTED_VALUE"""),154421441)</f>
        <v>154421441</v>
      </c>
      <c r="P402" s="19"/>
      <c r="Q402" s="19"/>
      <c r="R402" s="19"/>
      <c r="S402" s="19"/>
      <c r="T402" s="19"/>
      <c r="U402" s="19"/>
      <c r="V402" s="19"/>
      <c r="W402" s="20">
        <f ca="1">IFERROR(__xludf.DUMMYFUNCTION("""COMPUTED_VALUE"""),154421441)</f>
        <v>154421441</v>
      </c>
      <c r="X402" s="20" t="str">
        <f ca="1">IFERROR(__xludf.DUMMYFUNCTION("""COMPUTED_VALUE""")," MUNICIPALIDAD DE INDEPENDENCIA ")</f>
        <v xml:space="preserve"> MUNICIPALIDAD DE INDEPENDENCIA </v>
      </c>
    </row>
    <row r="403" spans="1:24" ht="15.75" customHeight="1" x14ac:dyDescent="0.25">
      <c r="A403" s="16" t="str">
        <f ca="1">IFERROR(__xludf.DUMMYFUNCTION("""COMPUTED_VALUE""")," REGIÓN METROPOLITANA ")</f>
        <v xml:space="preserve"> REGIÓN METROPOLITANA </v>
      </c>
      <c r="B403" s="16" t="str">
        <f t="shared" ca="1" si="1"/>
        <v xml:space="preserve"> INDEPENDENCIA </v>
      </c>
      <c r="C403" s="16" t="str">
        <f ca="1">IFERROR(__xludf.DUMMYFUNCTION("""COMPUTED_VALUE""")," CSV MEJORAMIENTO ESPACIO PÚBLICO CALLE ECHEVERRIA ")</f>
        <v xml:space="preserve"> CSV MEJORAMIENTO ESPACIO PÚBLICO CALLE ECHEVERRIA </v>
      </c>
      <c r="D403" s="16" t="str">
        <f ca="1">IFERROR(__xludf.DUMMYFUNCTION("""COMPUTED_VALUE""")," 1-C-2023-1967 ")</f>
        <v xml:space="preserve"> 1-C-2023-1967 </v>
      </c>
      <c r="E403" s="16" t="str">
        <f ca="1">IFERROR(__xludf.DUMMYFUNCTION("""COMPUTED_VALUE""")," 100% Girado ")</f>
        <v xml:space="preserve"> 100% Girado </v>
      </c>
      <c r="F403" s="17">
        <f ca="1">IFERROR(__xludf.DUMMYFUNCTION("""COMPUTED_VALUE"""),45415)</f>
        <v>45415</v>
      </c>
      <c r="G403" s="16">
        <f ca="1">IFERROR(__xludf.DUMMYFUNCTION("""COMPUTED_VALUE"""),94390771)</f>
        <v>94390771</v>
      </c>
      <c r="H403" s="16" t="str">
        <f ca="1">IFERROR(__xludf.DUMMYFUNCTION("""COMPUTED_VALUE""")," 100% Girado ")</f>
        <v xml:space="preserve"> 100% Girado </v>
      </c>
      <c r="I403" s="16">
        <f ca="1">IFERROR(__xludf.DUMMYFUNCTION("""COMPUTED_VALUE"""),94390771)</f>
        <v>94390771</v>
      </c>
      <c r="J403" s="83" t="s">
        <v>48</v>
      </c>
      <c r="K403" s="16"/>
      <c r="L403" s="16"/>
      <c r="M403" s="16"/>
      <c r="N403" s="19"/>
      <c r="O403" s="21">
        <f ca="1">IFERROR(__xludf.DUMMYFUNCTION("""COMPUTED_VALUE"""),94390771)</f>
        <v>94390771</v>
      </c>
      <c r="P403" s="19"/>
      <c r="Q403" s="19"/>
      <c r="R403" s="19"/>
      <c r="S403" s="19"/>
      <c r="T403" s="19"/>
      <c r="U403" s="19"/>
      <c r="V403" s="19"/>
      <c r="W403" s="20">
        <f ca="1">IFERROR(__xludf.DUMMYFUNCTION("""COMPUTED_VALUE"""),94390771)</f>
        <v>94390771</v>
      </c>
      <c r="X403" s="20" t="str">
        <f ca="1">IFERROR(__xludf.DUMMYFUNCTION("""COMPUTED_VALUE""")," MUNICIPALIDAD DE INDEPENDENCIA ")</f>
        <v xml:space="preserve"> MUNICIPALIDAD DE INDEPENDENCIA </v>
      </c>
    </row>
    <row r="404" spans="1:24" ht="15.75" customHeight="1" x14ac:dyDescent="0.25">
      <c r="A404" s="16" t="str">
        <f ca="1">IFERROR(__xludf.DUMMYFUNCTION("""COMPUTED_VALUE""")," REGIÓN METROPOLITANA ")</f>
        <v xml:space="preserve"> REGIÓN METROPOLITANA </v>
      </c>
      <c r="B404" s="16" t="str">
        <f t="shared" ca="1" si="1"/>
        <v xml:space="preserve"> QUILICURA </v>
      </c>
      <c r="C404" s="16" t="str">
        <f ca="1">IFERROR(__xludf.DUMMYFUNCTION("""COMPUTED_VALUE""")," REPOSICIÓN DE VEREDAS EN CALLE LOS CARRERA, QUILICURA ")</f>
        <v xml:space="preserve"> REPOSICIÓN DE VEREDAS EN CALLE LOS CARRERA, QUILICURA </v>
      </c>
      <c r="D404" s="16" t="str">
        <f ca="1">IFERROR(__xludf.DUMMYFUNCTION("""COMPUTED_VALUE""")," 1-C-2023-2096 ")</f>
        <v xml:space="preserve"> 1-C-2023-2096 </v>
      </c>
      <c r="E404" s="16" t="str">
        <f ca="1">IFERROR(__xludf.DUMMYFUNCTION("""COMPUTED_VALUE""")," 100% Girado ")</f>
        <v xml:space="preserve"> 100% Girado </v>
      </c>
      <c r="F404" s="17">
        <f ca="1">IFERROR(__xludf.DUMMYFUNCTION("""COMPUTED_VALUE"""),45419)</f>
        <v>45419</v>
      </c>
      <c r="G404" s="16">
        <f ca="1">IFERROR(__xludf.DUMMYFUNCTION("""COMPUTED_VALUE"""),114080838)</f>
        <v>114080838</v>
      </c>
      <c r="H404" s="16" t="str">
        <f ca="1">IFERROR(__xludf.DUMMYFUNCTION("""COMPUTED_VALUE""")," 100% Girado ")</f>
        <v xml:space="preserve"> 100% Girado </v>
      </c>
      <c r="I404" s="16">
        <f ca="1">IFERROR(__xludf.DUMMYFUNCTION("""COMPUTED_VALUE"""),114080838)</f>
        <v>114080838</v>
      </c>
      <c r="J404" s="83" t="s">
        <v>48</v>
      </c>
      <c r="K404" s="16"/>
      <c r="L404" s="16"/>
      <c r="M404" s="16"/>
      <c r="N404" s="19"/>
      <c r="O404" s="21">
        <f ca="1">IFERROR(__xludf.DUMMYFUNCTION("""COMPUTED_VALUE"""),114080838)</f>
        <v>114080838</v>
      </c>
      <c r="P404" s="19"/>
      <c r="Q404" s="19"/>
      <c r="R404" s="19"/>
      <c r="S404" s="19"/>
      <c r="T404" s="19"/>
      <c r="U404" s="19"/>
      <c r="V404" s="19"/>
      <c r="W404" s="20">
        <f ca="1">IFERROR(__xludf.DUMMYFUNCTION("""COMPUTED_VALUE"""),114080838)</f>
        <v>114080838</v>
      </c>
      <c r="X404" s="20" t="str">
        <f ca="1">IFERROR(__xludf.DUMMYFUNCTION("""COMPUTED_VALUE""")," MUNICIPALIDAD DE QUILICURA ")</f>
        <v xml:space="preserve"> MUNICIPALIDAD DE QUILICURA </v>
      </c>
    </row>
    <row r="405" spans="1:24" ht="15.75" customHeight="1" x14ac:dyDescent="0.25">
      <c r="A405" s="16" t="str">
        <f ca="1">IFERROR(__xludf.DUMMYFUNCTION("""COMPUTED_VALUE""")," REGIÓN METROPOLITANA ")</f>
        <v xml:space="preserve"> REGIÓN METROPOLITANA </v>
      </c>
      <c r="B405" s="16" t="str">
        <f t="shared" ca="1" si="1"/>
        <v xml:space="preserve"> ESTACIÓN CENTRAL </v>
      </c>
      <c r="C405" s="16" t="str">
        <f ca="1">IFERROR(__xludf.DUMMYFUNCTION("""COMPUTED_VALUE""")," MEJORAMIENTO PLATABANDA SANTA PETRONILA Y PURISIMA ")</f>
        <v xml:space="preserve"> MEJORAMIENTO PLATABANDA SANTA PETRONILA Y PURISIMA </v>
      </c>
      <c r="D405" s="16" t="str">
        <f ca="1">IFERROR(__xludf.DUMMYFUNCTION("""COMPUTED_VALUE""")," 1-C-2023-2435 ")</f>
        <v xml:space="preserve"> 1-C-2023-2435 </v>
      </c>
      <c r="E405" s="16" t="str">
        <f ca="1">IFERROR(__xludf.DUMMYFUNCTION("""COMPUTED_VALUE""")," 100% Girado ")</f>
        <v xml:space="preserve"> 100% Girado </v>
      </c>
      <c r="F405" s="17">
        <f ca="1">IFERROR(__xludf.DUMMYFUNCTION("""COMPUTED_VALUE"""),45419)</f>
        <v>45419</v>
      </c>
      <c r="G405" s="16">
        <f ca="1">IFERROR(__xludf.DUMMYFUNCTION("""COMPUTED_VALUE"""),143898493)</f>
        <v>143898493</v>
      </c>
      <c r="H405" s="16" t="str">
        <f ca="1">IFERROR(__xludf.DUMMYFUNCTION("""COMPUTED_VALUE""")," 100% Girado ")</f>
        <v xml:space="preserve"> 100% Girado </v>
      </c>
      <c r="I405" s="16">
        <f ca="1">IFERROR(__xludf.DUMMYFUNCTION("""COMPUTED_VALUE"""),143898493)</f>
        <v>143898493</v>
      </c>
      <c r="J405" s="83" t="s">
        <v>48</v>
      </c>
      <c r="K405" s="16"/>
      <c r="L405" s="16"/>
      <c r="M405" s="16"/>
      <c r="N405" s="19"/>
      <c r="O405" s="21">
        <f ca="1">IFERROR(__xludf.DUMMYFUNCTION("""COMPUTED_VALUE"""),143898493)</f>
        <v>143898493</v>
      </c>
      <c r="P405" s="19"/>
      <c r="Q405" s="19"/>
      <c r="R405" s="19"/>
      <c r="S405" s="19"/>
      <c r="T405" s="19"/>
      <c r="U405" s="19"/>
      <c r="V405" s="19"/>
      <c r="W405" s="20">
        <f ca="1">IFERROR(__xludf.DUMMYFUNCTION("""COMPUTED_VALUE"""),143898493)</f>
        <v>143898493</v>
      </c>
      <c r="X405" s="20" t="str">
        <f ca="1">IFERROR(__xludf.DUMMYFUNCTION("""COMPUTED_VALUE""")," MUNICIPALIDAD DE ESTACIÓN CENTRAL ")</f>
        <v xml:space="preserve"> MUNICIPALIDAD DE ESTACIÓN CENTRAL </v>
      </c>
    </row>
    <row r="406" spans="1:24" ht="15.75" customHeight="1" x14ac:dyDescent="0.25">
      <c r="A406" s="16" t="str">
        <f ca="1">IFERROR(__xludf.DUMMYFUNCTION("""COMPUTED_VALUE""")," REGIÓN METROPOLITANA ")</f>
        <v xml:space="preserve"> REGIÓN METROPOLITANA </v>
      </c>
      <c r="B406" s="16" t="str">
        <f t="shared" ca="1" si="1"/>
        <v xml:space="preserve"> LA FLORIDA </v>
      </c>
      <c r="C406" s="16" t="str">
        <f ca="1">IFERROR(__xludf.DUMMYFUNCTION("""COMPUTED_VALUE""")," MEJORAMIENTO INTEGRAL DE AREA VERDE Y MULTICANCHA LOS JAZMINES, U.V N°3, COMUNA DE LA FLORIDA ")</f>
        <v xml:space="preserve"> MEJORAMIENTO INTEGRAL DE AREA VERDE Y MULTICANCHA LOS JAZMINES, U.V N°3, COMUNA DE LA FLORIDA </v>
      </c>
      <c r="D406" s="16" t="str">
        <f ca="1">IFERROR(__xludf.DUMMYFUNCTION("""COMPUTED_VALUE""")," 1-C-2023-2463 ")</f>
        <v xml:space="preserve"> 1-C-2023-2463 </v>
      </c>
      <c r="E406" s="16" t="str">
        <f ca="1">IFERROR(__xludf.DUMMYFUNCTION("""COMPUTED_VALUE""")," 100% Girado ")</f>
        <v xml:space="preserve"> 100% Girado </v>
      </c>
      <c r="F406" s="17">
        <f ca="1">IFERROR(__xludf.DUMMYFUNCTION("""COMPUTED_VALUE"""),45414)</f>
        <v>45414</v>
      </c>
      <c r="G406" s="16">
        <f ca="1">IFERROR(__xludf.DUMMYFUNCTION("""COMPUTED_VALUE"""),145147716)</f>
        <v>145147716</v>
      </c>
      <c r="H406" s="16" t="str">
        <f ca="1">IFERROR(__xludf.DUMMYFUNCTION("""COMPUTED_VALUE""")," 100% Girado ")</f>
        <v xml:space="preserve"> 100% Girado </v>
      </c>
      <c r="I406" s="16">
        <f ca="1">IFERROR(__xludf.DUMMYFUNCTION("""COMPUTED_VALUE"""),145147716)</f>
        <v>145147716</v>
      </c>
      <c r="J406" s="83" t="s">
        <v>48</v>
      </c>
      <c r="K406" s="16"/>
      <c r="L406" s="16"/>
      <c r="M406" s="16"/>
      <c r="N406" s="19"/>
      <c r="O406" s="21">
        <f ca="1">IFERROR(__xludf.DUMMYFUNCTION("""COMPUTED_VALUE"""),145147716)</f>
        <v>145147716</v>
      </c>
      <c r="P406" s="19"/>
      <c r="Q406" s="19"/>
      <c r="R406" s="19"/>
      <c r="S406" s="19"/>
      <c r="T406" s="19"/>
      <c r="U406" s="19"/>
      <c r="V406" s="19"/>
      <c r="W406" s="20">
        <f ca="1">IFERROR(__xludf.DUMMYFUNCTION("""COMPUTED_VALUE"""),145147716)</f>
        <v>145147716</v>
      </c>
      <c r="X406" s="20" t="str">
        <f ca="1">IFERROR(__xludf.DUMMYFUNCTION("""COMPUTED_VALUE""")," MUNICIPALIDAD DE LA FLORIDA ")</f>
        <v xml:space="preserve"> MUNICIPALIDAD DE LA FLORIDA </v>
      </c>
    </row>
    <row r="407" spans="1:24" ht="15.75" customHeight="1" x14ac:dyDescent="0.25">
      <c r="A407" s="16" t="str">
        <f ca="1">IFERROR(__xludf.DUMMYFUNCTION("""COMPUTED_VALUE""")," REGIÓN METROPOLITANA ")</f>
        <v xml:space="preserve"> REGIÓN METROPOLITANA </v>
      </c>
      <c r="B407" s="16" t="str">
        <f t="shared" ca="1" si="1"/>
        <v xml:space="preserve"> LO ESPEJO </v>
      </c>
      <c r="C407" s="16" t="str">
        <f ca="1">IFERROR(__xludf.DUMMYFUNCTION("""COMPUTED_VALUE""")," MEJORAMIENTO MULTICANCHA CONDOMINIO LOS LEBRELES ")</f>
        <v xml:space="preserve"> MEJORAMIENTO MULTICANCHA CONDOMINIO LOS LEBRELES </v>
      </c>
      <c r="D407" s="16" t="str">
        <f ca="1">IFERROR(__xludf.DUMMYFUNCTION("""COMPUTED_VALUE""")," 1-C-2023-2537 ")</f>
        <v xml:space="preserve"> 1-C-2023-2537 </v>
      </c>
      <c r="E407" s="16" t="str">
        <f ca="1">IFERROR(__xludf.DUMMYFUNCTION("""COMPUTED_VALUE""")," 100% Girado ")</f>
        <v xml:space="preserve"> 100% Girado </v>
      </c>
      <c r="F407" s="17">
        <f ca="1">IFERROR(__xludf.DUMMYFUNCTION("""COMPUTED_VALUE"""),45427)</f>
        <v>45427</v>
      </c>
      <c r="G407" s="16">
        <f ca="1">IFERROR(__xludf.DUMMYFUNCTION("""COMPUTED_VALUE"""),154420057)</f>
        <v>154420057</v>
      </c>
      <c r="H407" s="16" t="str">
        <f ca="1">IFERROR(__xludf.DUMMYFUNCTION("""COMPUTED_VALUE""")," 100% Girado ")</f>
        <v xml:space="preserve"> 100% Girado </v>
      </c>
      <c r="I407" s="16">
        <f ca="1">IFERROR(__xludf.DUMMYFUNCTION("""COMPUTED_VALUE"""),154420057)</f>
        <v>154420057</v>
      </c>
      <c r="J407" s="83" t="s">
        <v>48</v>
      </c>
      <c r="K407" s="16"/>
      <c r="L407" s="16"/>
      <c r="M407" s="16"/>
      <c r="N407" s="19"/>
      <c r="O407" s="21">
        <f ca="1">IFERROR(__xludf.DUMMYFUNCTION("""COMPUTED_VALUE"""),154420057)</f>
        <v>154420057</v>
      </c>
      <c r="P407" s="19"/>
      <c r="Q407" s="19"/>
      <c r="R407" s="19"/>
      <c r="S407" s="19"/>
      <c r="T407" s="19"/>
      <c r="U407" s="19"/>
      <c r="V407" s="19"/>
      <c r="W407" s="20">
        <f ca="1">IFERROR(__xludf.DUMMYFUNCTION("""COMPUTED_VALUE"""),154420057)</f>
        <v>154420057</v>
      </c>
      <c r="X407" s="20" t="str">
        <f ca="1">IFERROR(__xludf.DUMMYFUNCTION("""COMPUTED_VALUE""")," MUNICIPALIDAD DE LO ESPEJO ")</f>
        <v xml:space="preserve"> MUNICIPALIDAD DE LO ESPEJO </v>
      </c>
    </row>
    <row r="408" spans="1:24" ht="15.75" customHeight="1" x14ac:dyDescent="0.25">
      <c r="A408" s="16" t="str">
        <f ca="1">IFERROR(__xludf.DUMMYFUNCTION("""COMPUTED_VALUE""")," REGIÓN METROPOLITANA ")</f>
        <v xml:space="preserve"> REGIÓN METROPOLITANA </v>
      </c>
      <c r="B408" s="16" t="str">
        <f t="shared" ca="1" si="1"/>
        <v xml:space="preserve"> SAN RAMÓN </v>
      </c>
      <c r="C408" s="16" t="str">
        <f ca="1">IFERROR(__xludf.DUMMYFUNCTION("""COMPUTED_VALUE""")," MEJORAMIENTO ESPACIO PÚBLICO PASAJE NAVIDAD, UV 13, COMUNA DE SAN RAMÓN ")</f>
        <v xml:space="preserve"> MEJORAMIENTO ESPACIO PÚBLICO PASAJE NAVIDAD, UV 13, COMUNA DE SAN RAMÓN </v>
      </c>
      <c r="D408" s="16" t="str">
        <f ca="1">IFERROR(__xludf.DUMMYFUNCTION("""COMPUTED_VALUE""")," 1-C-2023-2908 ")</f>
        <v xml:space="preserve"> 1-C-2023-2908 </v>
      </c>
      <c r="E408" s="16" t="str">
        <f ca="1">IFERROR(__xludf.DUMMYFUNCTION("""COMPUTED_VALUE""")," 100% Girado ")</f>
        <v xml:space="preserve"> 100% Girado </v>
      </c>
      <c r="F408" s="17">
        <f ca="1">IFERROR(__xludf.DUMMYFUNCTION("""COMPUTED_VALUE"""),45432)</f>
        <v>45432</v>
      </c>
      <c r="G408" s="16">
        <f ca="1">IFERROR(__xludf.DUMMYFUNCTION("""COMPUTED_VALUE"""),127971991)</f>
        <v>127971991</v>
      </c>
      <c r="H408" s="16" t="str">
        <f ca="1">IFERROR(__xludf.DUMMYFUNCTION("""COMPUTED_VALUE""")," 100% Girado ")</f>
        <v xml:space="preserve"> 100% Girado </v>
      </c>
      <c r="I408" s="16">
        <f ca="1">IFERROR(__xludf.DUMMYFUNCTION("""COMPUTED_VALUE"""),127971991)</f>
        <v>127971991</v>
      </c>
      <c r="J408" s="83" t="s">
        <v>48</v>
      </c>
      <c r="K408" s="16"/>
      <c r="L408" s="16"/>
      <c r="M408" s="16"/>
      <c r="N408" s="19"/>
      <c r="O408" s="21">
        <f ca="1">IFERROR(__xludf.DUMMYFUNCTION("""COMPUTED_VALUE"""),127971991)</f>
        <v>127971991</v>
      </c>
      <c r="P408" s="19"/>
      <c r="Q408" s="19"/>
      <c r="R408" s="19"/>
      <c r="S408" s="19"/>
      <c r="T408" s="19"/>
      <c r="U408" s="19"/>
      <c r="V408" s="19"/>
      <c r="W408" s="20">
        <f ca="1">IFERROR(__xludf.DUMMYFUNCTION("""COMPUTED_VALUE"""),127971991)</f>
        <v>127971991</v>
      </c>
      <c r="X408" s="20" t="str">
        <f ca="1">IFERROR(__xludf.DUMMYFUNCTION("""COMPUTED_VALUE""")," MUNICIPALIDAD DE SAN RAMÓN ")</f>
        <v xml:space="preserve"> MUNICIPALIDAD DE SAN RAMÓN </v>
      </c>
    </row>
    <row r="409" spans="1:24" ht="15.75" customHeight="1" x14ac:dyDescent="0.25">
      <c r="A409" s="16" t="str">
        <f ca="1">IFERROR(__xludf.DUMMYFUNCTION("""COMPUTED_VALUE""")," REGIÓN METROPOLITANA ")</f>
        <v xml:space="preserve"> REGIÓN METROPOLITANA </v>
      </c>
      <c r="B409" s="16" t="str">
        <f t="shared" ca="1" si="1"/>
        <v xml:space="preserve"> PEDRO AGUIRRE CERDA </v>
      </c>
      <c r="C409" s="16" t="str">
        <f ca="1">IFERROR(__xludf.DUMMYFUNCTION("""COMPUTED_VALUE""")," MEJORAMIENTO ESPACIO PUBLICO UNIDAD VECINAL 14 ")</f>
        <v xml:space="preserve"> MEJORAMIENTO ESPACIO PUBLICO UNIDAD VECINAL 14 </v>
      </c>
      <c r="D409" s="16" t="str">
        <f ca="1">IFERROR(__xludf.DUMMYFUNCTION("""COMPUTED_VALUE""")," 1-C-2024-206 ")</f>
        <v xml:space="preserve"> 1-C-2024-206 </v>
      </c>
      <c r="E409" s="16" t="str">
        <f ca="1">IFERROR(__xludf.DUMMYFUNCTION("""COMPUTED_VALUE""")," 100% Girado ")</f>
        <v xml:space="preserve"> 100% Girado </v>
      </c>
      <c r="F409" s="17">
        <f ca="1">IFERROR(__xludf.DUMMYFUNCTION("""COMPUTED_VALUE"""),45419)</f>
        <v>45419</v>
      </c>
      <c r="G409" s="16">
        <f ca="1">IFERROR(__xludf.DUMMYFUNCTION("""COMPUTED_VALUE"""),154323976)</f>
        <v>154323976</v>
      </c>
      <c r="H409" s="16" t="str">
        <f ca="1">IFERROR(__xludf.DUMMYFUNCTION("""COMPUTED_VALUE""")," 100% Girado ")</f>
        <v xml:space="preserve"> 100% Girado </v>
      </c>
      <c r="I409" s="16">
        <f ca="1">IFERROR(__xludf.DUMMYFUNCTION("""COMPUTED_VALUE"""),154323976)</f>
        <v>154323976</v>
      </c>
      <c r="J409" s="83" t="s">
        <v>48</v>
      </c>
      <c r="K409" s="16"/>
      <c r="L409" s="16"/>
      <c r="M409" s="16"/>
      <c r="N409" s="19"/>
      <c r="O409" s="21">
        <f ca="1">IFERROR(__xludf.DUMMYFUNCTION("""COMPUTED_VALUE"""),154323976)</f>
        <v>154323976</v>
      </c>
      <c r="P409" s="19"/>
      <c r="Q409" s="19"/>
      <c r="R409" s="19"/>
      <c r="S409" s="19"/>
      <c r="T409" s="19"/>
      <c r="U409" s="19"/>
      <c r="V409" s="19"/>
      <c r="W409" s="20">
        <f ca="1">IFERROR(__xludf.DUMMYFUNCTION("""COMPUTED_VALUE"""),154323976)</f>
        <v>154323976</v>
      </c>
      <c r="X409" s="20" t="str">
        <f ca="1">IFERROR(__xludf.DUMMYFUNCTION("""COMPUTED_VALUE""")," MUNICIPALIDAD DE PEDRO AGUIRRE CERDA ")</f>
        <v xml:space="preserve"> MUNICIPALIDAD DE PEDRO AGUIRRE CERDA </v>
      </c>
    </row>
    <row r="410" spans="1:24" ht="15.75" customHeight="1" x14ac:dyDescent="0.25">
      <c r="A410" s="16" t="str">
        <f ca="1">IFERROR(__xludf.DUMMYFUNCTION("""COMPUTED_VALUE""")," REGIÓN DE LOS RÍOS ")</f>
        <v xml:space="preserve"> REGIÓN DE LOS RÍOS </v>
      </c>
      <c r="B410" s="16" t="str">
        <f t="shared" ca="1" si="1"/>
        <v xml:space="preserve"> LA UNIÓN </v>
      </c>
      <c r="C410" s="16" t="str">
        <f ca="1">IFERROR(__xludf.DUMMYFUNCTION("""COMPUTED_VALUE""")," CONSTRUCCIÓN REDUCTORES DE VELOCIDAD URBANOS, COMUNA DE LA UNIÓN ")</f>
        <v xml:space="preserve"> CONSTRUCCIÓN REDUCTORES DE VELOCIDAD URBANOS, COMUNA DE LA UNIÓN </v>
      </c>
      <c r="D410" s="16" t="str">
        <f ca="1">IFERROR(__xludf.DUMMYFUNCTION("""COMPUTED_VALUE""")," 1-C-2023-1599 ")</f>
        <v xml:space="preserve"> 1-C-2023-1599 </v>
      </c>
      <c r="E410" s="16" t="str">
        <f ca="1">IFERROR(__xludf.DUMMYFUNCTION("""COMPUTED_VALUE""")," 100% Girado ")</f>
        <v xml:space="preserve"> 100% Girado </v>
      </c>
      <c r="F410" s="17">
        <f ca="1">IFERROR(__xludf.DUMMYFUNCTION("""COMPUTED_VALUE"""),45414)</f>
        <v>45414</v>
      </c>
      <c r="G410" s="16">
        <f ca="1">IFERROR(__xludf.DUMMYFUNCTION("""COMPUTED_VALUE"""),97912724)</f>
        <v>97912724</v>
      </c>
      <c r="H410" s="16" t="str">
        <f ca="1">IFERROR(__xludf.DUMMYFUNCTION("""COMPUTED_VALUE""")," 100% Girado ")</f>
        <v xml:space="preserve"> 100% Girado </v>
      </c>
      <c r="I410" s="16">
        <f ca="1">IFERROR(__xludf.DUMMYFUNCTION("""COMPUTED_VALUE"""),97912724)</f>
        <v>97912724</v>
      </c>
      <c r="J410" s="83" t="s">
        <v>48</v>
      </c>
      <c r="K410" s="16"/>
      <c r="L410" s="16"/>
      <c r="M410" s="16"/>
      <c r="N410" s="19"/>
      <c r="O410" s="21">
        <f ca="1">IFERROR(__xludf.DUMMYFUNCTION("""COMPUTED_VALUE"""),97912724)</f>
        <v>97912724</v>
      </c>
      <c r="P410" s="19"/>
      <c r="Q410" s="19"/>
      <c r="R410" s="19"/>
      <c r="S410" s="19"/>
      <c r="T410" s="19"/>
      <c r="U410" s="19"/>
      <c r="V410" s="19"/>
      <c r="W410" s="20">
        <f ca="1">IFERROR(__xludf.DUMMYFUNCTION("""COMPUTED_VALUE"""),97912724)</f>
        <v>97912724</v>
      </c>
      <c r="X410" s="20" t="str">
        <f ca="1">IFERROR(__xludf.DUMMYFUNCTION("""COMPUTED_VALUE""")," MUNICIPALIDAD DE LA UNIÓN ")</f>
        <v xml:space="preserve"> MUNICIPALIDAD DE LA UNIÓN </v>
      </c>
    </row>
    <row r="411" spans="1:24" ht="15.75" customHeight="1" x14ac:dyDescent="0.25">
      <c r="A411" s="16" t="str">
        <f ca="1">IFERROR(__xludf.DUMMYFUNCTION("""COMPUTED_VALUE""")," REGIÓN DE ARICA Y PARINACOTA ")</f>
        <v xml:space="preserve"> REGIÓN DE ARICA Y PARINACOTA </v>
      </c>
      <c r="B411" s="16" t="str">
        <f t="shared" ca="1" si="1"/>
        <v xml:space="preserve"> CAMARONES </v>
      </c>
      <c r="C411" s="16" t="str">
        <f ca="1">IFERROR(__xludf.DUMMYFUNCTION("""COMPUTED_VALUE""")," [SATE] CONSTRUCCION DE CUBIERTA Y MEJORAMIENTO MULTICANCHA LOCALIDAD DE CUYA ")</f>
        <v xml:space="preserve"> [SATE] CONSTRUCCION DE CUBIERTA Y MEJORAMIENTO MULTICANCHA LOCALIDAD DE CUYA </v>
      </c>
      <c r="D411" s="16" t="str">
        <f ca="1">IFERROR(__xludf.DUMMYFUNCTION("""COMPUTED_VALUE""")," 1-C-2023-909 ")</f>
        <v xml:space="preserve"> 1-C-2023-909 </v>
      </c>
      <c r="E411" s="16" t="str">
        <f ca="1">IFERROR(__xludf.DUMMYFUNCTION("""COMPUTED_VALUE""")," 100% Girado ")</f>
        <v xml:space="preserve"> 100% Girado </v>
      </c>
      <c r="F411" s="17">
        <f ca="1">IFERROR(__xludf.DUMMYFUNCTION("""COMPUTED_VALUE"""),45404)</f>
        <v>45404</v>
      </c>
      <c r="G411" s="16">
        <f ca="1">IFERROR(__xludf.DUMMYFUNCTION("""COMPUTED_VALUE"""),154000000)</f>
        <v>154000000</v>
      </c>
      <c r="H411" s="16" t="str">
        <f ca="1">IFERROR(__xludf.DUMMYFUNCTION("""COMPUTED_VALUE""")," 100% Girado ")</f>
        <v xml:space="preserve"> 100% Girado </v>
      </c>
      <c r="I411" s="16">
        <f ca="1">IFERROR(__xludf.DUMMYFUNCTION("""COMPUTED_VALUE"""),154000000)</f>
        <v>154000000</v>
      </c>
      <c r="J411" s="83" t="s">
        <v>48</v>
      </c>
      <c r="K411" s="16"/>
      <c r="L411" s="16"/>
      <c r="M411" s="16"/>
      <c r="N411" s="19"/>
      <c r="O411" s="21">
        <f ca="1">IFERROR(__xludf.DUMMYFUNCTION("""COMPUTED_VALUE"""),154000000)</f>
        <v>154000000</v>
      </c>
      <c r="P411" s="19"/>
      <c r="Q411" s="19"/>
      <c r="R411" s="19"/>
      <c r="S411" s="19"/>
      <c r="T411" s="19"/>
      <c r="U411" s="19"/>
      <c r="V411" s="19"/>
      <c r="W411" s="20">
        <f ca="1">IFERROR(__xludf.DUMMYFUNCTION("""COMPUTED_VALUE"""),154000000)</f>
        <v>154000000</v>
      </c>
      <c r="X411" s="20" t="str">
        <f ca="1">IFERROR(__xludf.DUMMYFUNCTION("""COMPUTED_VALUE""")," MUNICIPALIDAD DE CAMARONES ")</f>
        <v xml:space="preserve"> MUNICIPALIDAD DE CAMARONES </v>
      </c>
    </row>
    <row r="412" spans="1:24" ht="15.75" customHeight="1" x14ac:dyDescent="0.25">
      <c r="A412" s="16" t="str">
        <f ca="1">IFERROR(__xludf.DUMMYFUNCTION("""COMPUTED_VALUE""")," REGIÓN DE ARICA Y PARINACOTA ")</f>
        <v xml:space="preserve"> REGIÓN DE ARICA Y PARINACOTA </v>
      </c>
      <c r="B412" s="16" t="str">
        <f t="shared" ca="1" si="1"/>
        <v xml:space="preserve"> CAMARONES </v>
      </c>
      <c r="C412" s="16" t="str">
        <f ca="1">IFERROR(__xludf.DUMMYFUNCTION("""COMPUTED_VALUE""")," [SATE] CONSTRUCCION DE CUBIERTA Y MEJORAMIENTO MULTICANCHA, LOCALIDAD DE ESQUIÑA ")</f>
        <v xml:space="preserve"> [SATE] CONSTRUCCION DE CUBIERTA Y MEJORAMIENTO MULTICANCHA, LOCALIDAD DE ESQUIÑA </v>
      </c>
      <c r="D412" s="16" t="str">
        <f ca="1">IFERROR(__xludf.DUMMYFUNCTION("""COMPUTED_VALUE""")," 1-C-2023-1258 ")</f>
        <v xml:space="preserve"> 1-C-2023-1258 </v>
      </c>
      <c r="E412" s="16" t="str">
        <f ca="1">IFERROR(__xludf.DUMMYFUNCTION("""COMPUTED_VALUE""")," 100% Girado ")</f>
        <v xml:space="preserve"> 100% Girado </v>
      </c>
      <c r="F412" s="17">
        <f ca="1">IFERROR(__xludf.DUMMYFUNCTION("""COMPUTED_VALUE"""),45422)</f>
        <v>45422</v>
      </c>
      <c r="G412" s="16">
        <f ca="1">IFERROR(__xludf.DUMMYFUNCTION("""COMPUTED_VALUE"""),161664999)</f>
        <v>161664999</v>
      </c>
      <c r="H412" s="16" t="str">
        <f ca="1">IFERROR(__xludf.DUMMYFUNCTION("""COMPUTED_VALUE""")," 100% Girado ")</f>
        <v xml:space="preserve"> 100% Girado </v>
      </c>
      <c r="I412" s="16">
        <f ca="1">IFERROR(__xludf.DUMMYFUNCTION("""COMPUTED_VALUE"""),161664999)</f>
        <v>161664999</v>
      </c>
      <c r="J412" s="83" t="s">
        <v>48</v>
      </c>
      <c r="K412" s="16"/>
      <c r="L412" s="16"/>
      <c r="M412" s="16"/>
      <c r="N412" s="19"/>
      <c r="O412" s="21">
        <f ca="1">IFERROR(__xludf.DUMMYFUNCTION("""COMPUTED_VALUE"""),161664999)</f>
        <v>161664999</v>
      </c>
      <c r="P412" s="19"/>
      <c r="Q412" s="19"/>
      <c r="R412" s="19"/>
      <c r="S412" s="19"/>
      <c r="T412" s="19"/>
      <c r="U412" s="19"/>
      <c r="V412" s="19"/>
      <c r="W412" s="20">
        <f ca="1">IFERROR(__xludf.DUMMYFUNCTION("""COMPUTED_VALUE"""),161664999)</f>
        <v>161664999</v>
      </c>
      <c r="X412" s="20" t="str">
        <f ca="1">IFERROR(__xludf.DUMMYFUNCTION("""COMPUTED_VALUE""")," MUNICIPALIDAD DE CAMARONES ")</f>
        <v xml:space="preserve"> MUNICIPALIDAD DE CAMARONES </v>
      </c>
    </row>
    <row r="413" spans="1:24" ht="15.75" customHeight="1" x14ac:dyDescent="0.25">
      <c r="A413" s="16" t="str">
        <f ca="1">IFERROR(__xludf.DUMMYFUNCTION("""COMPUTED_VALUE""")," REGIÓN DE ÑUBLE ")</f>
        <v xml:space="preserve"> REGIÓN DE ÑUBLE </v>
      </c>
      <c r="B413" s="16" t="str">
        <f t="shared" ca="1" si="1"/>
        <v xml:space="preserve"> CHILLÁN </v>
      </c>
      <c r="C413" s="16" t="str">
        <f ca="1">IFERROR(__xludf.DUMMYFUNCTION("""COMPUTED_VALUE""")," CSV MEJORAMIENTO DE VEREDA PEATONAL TERMINAL MARIA TERESA ")</f>
        <v xml:space="preserve"> CSV MEJORAMIENTO DE VEREDA PEATONAL TERMINAL MARIA TERESA </v>
      </c>
      <c r="D413" s="16" t="str">
        <f ca="1">IFERROR(__xludf.DUMMYFUNCTION("""COMPUTED_VALUE""")," 1-C-2023-2336 ")</f>
        <v xml:space="preserve"> 1-C-2023-2336 </v>
      </c>
      <c r="E413" s="16" t="str">
        <f ca="1">IFERROR(__xludf.DUMMYFUNCTION("""COMPUTED_VALUE""")," 100% Girado ")</f>
        <v xml:space="preserve"> 100% Girado </v>
      </c>
      <c r="F413" s="17">
        <f ca="1">IFERROR(__xludf.DUMMYFUNCTION("""COMPUTED_VALUE"""),45407)</f>
        <v>45407</v>
      </c>
      <c r="G413" s="16">
        <f ca="1">IFERROR(__xludf.DUMMYFUNCTION("""COMPUTED_VALUE"""),69052884)</f>
        <v>69052884</v>
      </c>
      <c r="H413" s="16" t="str">
        <f ca="1">IFERROR(__xludf.DUMMYFUNCTION("""COMPUTED_VALUE""")," 100% Girado ")</f>
        <v xml:space="preserve"> 100% Girado </v>
      </c>
      <c r="I413" s="16">
        <f ca="1">IFERROR(__xludf.DUMMYFUNCTION("""COMPUTED_VALUE"""),69052884)</f>
        <v>69052884</v>
      </c>
      <c r="J413" s="83" t="s">
        <v>48</v>
      </c>
      <c r="K413" s="16"/>
      <c r="L413" s="16"/>
      <c r="M413" s="16"/>
      <c r="N413" s="19"/>
      <c r="O413" s="21">
        <f ca="1">IFERROR(__xludf.DUMMYFUNCTION("""COMPUTED_VALUE"""),69052884)</f>
        <v>69052884</v>
      </c>
      <c r="P413" s="19"/>
      <c r="Q413" s="19"/>
      <c r="R413" s="19"/>
      <c r="S413" s="19"/>
      <c r="T413" s="19"/>
      <c r="U413" s="19"/>
      <c r="V413" s="19"/>
      <c r="W413" s="20">
        <f ca="1">IFERROR(__xludf.DUMMYFUNCTION("""COMPUTED_VALUE"""),69052884)</f>
        <v>69052884</v>
      </c>
      <c r="X413" s="20" t="str">
        <f ca="1">IFERROR(__xludf.DUMMYFUNCTION("""COMPUTED_VALUE""")," MUNICIPALIDAD DE CHILLÁN ")</f>
        <v xml:space="preserve"> MUNICIPALIDAD DE CHILLÁN </v>
      </c>
    </row>
    <row r="414" spans="1:24" ht="15.75" customHeight="1" x14ac:dyDescent="0.25">
      <c r="A414" s="16" t="str">
        <f ca="1">IFERROR(__xludf.DUMMYFUNCTION("""COMPUTED_VALUE""")," REGIÓN DE TARAPACÁ ")</f>
        <v xml:space="preserve"> REGIÓN DE TARAPACÁ </v>
      </c>
      <c r="B414" s="16" t="str">
        <f t="shared" ca="1" si="1"/>
        <v xml:space="preserve"> CAMIÑA </v>
      </c>
      <c r="C414" s="16" t="str">
        <f ca="1">IFERROR(__xludf.DUMMYFUNCTION("""COMPUTED_VALUE""")," [SATE] CONSTRUCCION TECHUMBRE MULTICANCHA DE ALTO CAMIÑA ")</f>
        <v xml:space="preserve"> [SATE] CONSTRUCCION TECHUMBRE MULTICANCHA DE ALTO CAMIÑA </v>
      </c>
      <c r="D414" s="16" t="str">
        <f ca="1">IFERROR(__xludf.DUMMYFUNCTION("""COMPUTED_VALUE""")," 1-C-2023-846 ")</f>
        <v xml:space="preserve"> 1-C-2023-846 </v>
      </c>
      <c r="E414" s="16" t="str">
        <f ca="1">IFERROR(__xludf.DUMMYFUNCTION("""COMPUTED_VALUE""")," 100% Girado ")</f>
        <v xml:space="preserve"> 100% Girado </v>
      </c>
      <c r="F414" s="17">
        <f ca="1">IFERROR(__xludf.DUMMYFUNCTION("""COMPUTED_VALUE"""),45464)</f>
        <v>45464</v>
      </c>
      <c r="G414" s="16">
        <f ca="1">IFERROR(__xludf.DUMMYFUNCTION("""COMPUTED_VALUE"""),124077522)</f>
        <v>124077522</v>
      </c>
      <c r="H414" s="16" t="str">
        <f ca="1">IFERROR(__xludf.DUMMYFUNCTION("""COMPUTED_VALUE""")," 100% Girado ")</f>
        <v xml:space="preserve"> 100% Girado </v>
      </c>
      <c r="I414" s="16">
        <f ca="1">IFERROR(__xludf.DUMMYFUNCTION("""COMPUTED_VALUE"""),124077522)</f>
        <v>124077522</v>
      </c>
      <c r="J414" s="83" t="s">
        <v>48</v>
      </c>
      <c r="K414" s="16"/>
      <c r="L414" s="16"/>
      <c r="M414" s="16"/>
      <c r="N414" s="19"/>
      <c r="O414" s="19"/>
      <c r="P414" s="21">
        <f ca="1">IFERROR(__xludf.DUMMYFUNCTION("""COMPUTED_VALUE"""),124077522)</f>
        <v>124077522</v>
      </c>
      <c r="Q414" s="19"/>
      <c r="R414" s="19"/>
      <c r="S414" s="19"/>
      <c r="T414" s="19"/>
      <c r="U414" s="19"/>
      <c r="V414" s="19"/>
      <c r="W414" s="20">
        <f ca="1">IFERROR(__xludf.DUMMYFUNCTION("""COMPUTED_VALUE"""),124077522)</f>
        <v>124077522</v>
      </c>
      <c r="X414" s="20" t="str">
        <f ca="1">IFERROR(__xludf.DUMMYFUNCTION("""COMPUTED_VALUE""")," MUNICIPALIDAD DE CAMIÑA ")</f>
        <v xml:space="preserve"> MUNICIPALIDAD DE CAMIÑA </v>
      </c>
    </row>
    <row r="415" spans="1:24" ht="15.75" customHeight="1" x14ac:dyDescent="0.25">
      <c r="A415" s="16" t="str">
        <f ca="1">IFERROR(__xludf.DUMMYFUNCTION("""COMPUTED_VALUE""")," REGIÓN DE TARAPACÁ ")</f>
        <v xml:space="preserve"> REGIÓN DE TARAPACÁ </v>
      </c>
      <c r="B415" s="16" t="str">
        <f t="shared" ca="1" si="1"/>
        <v xml:space="preserve"> COLCHANE </v>
      </c>
      <c r="C415" s="16" t="str">
        <f ca="1">IFERROR(__xludf.DUMMYFUNCTION("""COMPUTED_VALUE""")," MEJORAMIENTO CONSULTORIO GENERAL RURAL, COMUNA DE COLCHANE ")</f>
        <v xml:space="preserve"> MEJORAMIENTO CONSULTORIO GENERAL RURAL, COMUNA DE COLCHANE </v>
      </c>
      <c r="D415" s="16" t="str">
        <f ca="1">IFERROR(__xludf.DUMMYFUNCTION("""COMPUTED_VALUE""")," 1-C-2023-1360 ")</f>
        <v xml:space="preserve"> 1-C-2023-1360 </v>
      </c>
      <c r="E415" s="16" t="str">
        <f ca="1">IFERROR(__xludf.DUMMYFUNCTION("""COMPUTED_VALUE""")," 100% Girado ")</f>
        <v xml:space="preserve"> 100% Girado </v>
      </c>
      <c r="F415" s="17">
        <f ca="1">IFERROR(__xludf.DUMMYFUNCTION("""COMPUTED_VALUE"""),45464)</f>
        <v>45464</v>
      </c>
      <c r="G415" s="16">
        <f ca="1">IFERROR(__xludf.DUMMYFUNCTION("""COMPUTED_VALUE"""),144770801)</f>
        <v>144770801</v>
      </c>
      <c r="H415" s="16" t="str">
        <f ca="1">IFERROR(__xludf.DUMMYFUNCTION("""COMPUTED_VALUE""")," 100% Girado ")</f>
        <v xml:space="preserve"> 100% Girado </v>
      </c>
      <c r="I415" s="16">
        <f ca="1">IFERROR(__xludf.DUMMYFUNCTION("""COMPUTED_VALUE"""),144770801)</f>
        <v>144770801</v>
      </c>
      <c r="J415" s="83" t="s">
        <v>48</v>
      </c>
      <c r="K415" s="16"/>
      <c r="L415" s="16"/>
      <c r="M415" s="16"/>
      <c r="N415" s="19"/>
      <c r="O415" s="19"/>
      <c r="P415" s="21">
        <f ca="1">IFERROR(__xludf.DUMMYFUNCTION("""COMPUTED_VALUE"""),144770801)</f>
        <v>144770801</v>
      </c>
      <c r="Q415" s="19"/>
      <c r="R415" s="19"/>
      <c r="S415" s="19"/>
      <c r="T415" s="19"/>
      <c r="U415" s="19"/>
      <c r="V415" s="19"/>
      <c r="W415" s="20">
        <f ca="1">IFERROR(__xludf.DUMMYFUNCTION("""COMPUTED_VALUE"""),144770801)</f>
        <v>144770801</v>
      </c>
      <c r="X415" s="20" t="str">
        <f ca="1">IFERROR(__xludf.DUMMYFUNCTION("""COMPUTED_VALUE""")," MUNICIPALIDAD DE COLCHANE ")</f>
        <v xml:space="preserve"> MUNICIPALIDAD DE COLCHANE </v>
      </c>
    </row>
    <row r="416" spans="1:24" ht="15.75" customHeight="1" x14ac:dyDescent="0.25">
      <c r="A416" s="16" t="str">
        <f ca="1">IFERROR(__xludf.DUMMYFUNCTION("""COMPUTED_VALUE""")," REGIÓN DE TARAPACÁ ")</f>
        <v xml:space="preserve"> REGIÓN DE TARAPACÁ </v>
      </c>
      <c r="B416" s="16" t="str">
        <f t="shared" ca="1" si="1"/>
        <v xml:space="preserve"> COLCHANE </v>
      </c>
      <c r="C416" s="16" t="str">
        <f ca="1">IFERROR(__xludf.DUMMYFUNCTION("""COMPUTED_VALUE""")," [SATE] CONSTRUCCIÓN CANCHA DE FUTBOLITO, LOCALIDAD DE QUEBE ")</f>
        <v xml:space="preserve"> [SATE] CONSTRUCCIÓN CANCHA DE FUTBOLITO, LOCALIDAD DE QUEBE </v>
      </c>
      <c r="D416" s="16" t="str">
        <f ca="1">IFERROR(__xludf.DUMMYFUNCTION("""COMPUTED_VALUE""")," 1-C-2023-1428 ")</f>
        <v xml:space="preserve"> 1-C-2023-1428 </v>
      </c>
      <c r="E416" s="16" t="str">
        <f ca="1">IFERROR(__xludf.DUMMYFUNCTION("""COMPUTED_VALUE""")," 100% Girado ")</f>
        <v xml:space="preserve"> 100% Girado </v>
      </c>
      <c r="F416" s="17">
        <f ca="1">IFERROR(__xludf.DUMMYFUNCTION("""COMPUTED_VALUE"""),45464)</f>
        <v>45464</v>
      </c>
      <c r="G416" s="16">
        <f ca="1">IFERROR(__xludf.DUMMYFUNCTION("""COMPUTED_VALUE"""),154246825)</f>
        <v>154246825</v>
      </c>
      <c r="H416" s="16" t="str">
        <f ca="1">IFERROR(__xludf.DUMMYFUNCTION("""COMPUTED_VALUE""")," 100% Girado ")</f>
        <v xml:space="preserve"> 100% Girado </v>
      </c>
      <c r="I416" s="16">
        <f ca="1">IFERROR(__xludf.DUMMYFUNCTION("""COMPUTED_VALUE"""),154246825)</f>
        <v>154246825</v>
      </c>
      <c r="J416" s="83" t="s">
        <v>48</v>
      </c>
      <c r="K416" s="16"/>
      <c r="L416" s="16"/>
      <c r="M416" s="16"/>
      <c r="N416" s="19"/>
      <c r="O416" s="19"/>
      <c r="P416" s="21">
        <f ca="1">IFERROR(__xludf.DUMMYFUNCTION("""COMPUTED_VALUE"""),154246825)</f>
        <v>154246825</v>
      </c>
      <c r="Q416" s="19"/>
      <c r="R416" s="19"/>
      <c r="S416" s="19"/>
      <c r="T416" s="19"/>
      <c r="U416" s="19"/>
      <c r="V416" s="19"/>
      <c r="W416" s="20">
        <f ca="1">IFERROR(__xludf.DUMMYFUNCTION("""COMPUTED_VALUE"""),154246825)</f>
        <v>154246825</v>
      </c>
      <c r="X416" s="20" t="str">
        <f ca="1">IFERROR(__xludf.DUMMYFUNCTION("""COMPUTED_VALUE""")," MUNICIPALIDAD DE COLCHANE ")</f>
        <v xml:space="preserve"> MUNICIPALIDAD DE COLCHANE </v>
      </c>
    </row>
    <row r="417" spans="1:24" ht="15.75" customHeight="1" x14ac:dyDescent="0.25">
      <c r="A417" s="16" t="str">
        <f ca="1">IFERROR(__xludf.DUMMYFUNCTION("""COMPUTED_VALUE""")," REGIÓN DE TARAPACÁ ")</f>
        <v xml:space="preserve"> REGIÓN DE TARAPACÁ </v>
      </c>
      <c r="B417" s="16" t="str">
        <f t="shared" ca="1" si="1"/>
        <v xml:space="preserve"> HUARA </v>
      </c>
      <c r="C417" s="16" t="str">
        <f ca="1">IFERROR(__xludf.DUMMYFUNCTION("""COMPUTED_VALUE""")," [SATE] REPOSICIÓN ESCALERAS PÚBLICAS LOCALIDAD DE SIBAYA, COMUNA DE HUARA ")</f>
        <v xml:space="preserve"> [SATE] REPOSICIÓN ESCALERAS PÚBLICAS LOCALIDAD DE SIBAYA, COMUNA DE HUARA </v>
      </c>
      <c r="D417" s="16" t="str">
        <f ca="1">IFERROR(__xludf.DUMMYFUNCTION("""COMPUTED_VALUE""")," 1-C-2023-1601 ")</f>
        <v xml:space="preserve"> 1-C-2023-1601 </v>
      </c>
      <c r="E417" s="16" t="str">
        <f ca="1">IFERROR(__xludf.DUMMYFUNCTION("""COMPUTED_VALUE""")," 100% Girado ")</f>
        <v xml:space="preserve"> 100% Girado </v>
      </c>
      <c r="F417" s="17">
        <f ca="1">IFERROR(__xludf.DUMMYFUNCTION("""COMPUTED_VALUE"""),45461)</f>
        <v>45461</v>
      </c>
      <c r="G417" s="16">
        <f ca="1">IFERROR(__xludf.DUMMYFUNCTION("""COMPUTED_VALUE"""),137543333)</f>
        <v>137543333</v>
      </c>
      <c r="H417" s="16" t="str">
        <f ca="1">IFERROR(__xludf.DUMMYFUNCTION("""COMPUTED_VALUE""")," 100% Girado ")</f>
        <v xml:space="preserve"> 100% Girado </v>
      </c>
      <c r="I417" s="16">
        <f ca="1">IFERROR(__xludf.DUMMYFUNCTION("""COMPUTED_VALUE"""),137543333)</f>
        <v>137543333</v>
      </c>
      <c r="J417" s="83" t="s">
        <v>48</v>
      </c>
      <c r="K417" s="16"/>
      <c r="L417" s="16"/>
      <c r="M417" s="16"/>
      <c r="N417" s="19"/>
      <c r="O417" s="19"/>
      <c r="P417" s="21">
        <f ca="1">IFERROR(__xludf.DUMMYFUNCTION("""COMPUTED_VALUE"""),137543333)</f>
        <v>137543333</v>
      </c>
      <c r="Q417" s="19"/>
      <c r="R417" s="19"/>
      <c r="S417" s="19"/>
      <c r="T417" s="19"/>
      <c r="U417" s="19"/>
      <c r="V417" s="19"/>
      <c r="W417" s="20">
        <f ca="1">IFERROR(__xludf.DUMMYFUNCTION("""COMPUTED_VALUE"""),137543333)</f>
        <v>137543333</v>
      </c>
      <c r="X417" s="20" t="str">
        <f ca="1">IFERROR(__xludf.DUMMYFUNCTION("""COMPUTED_VALUE""")," MUNICIPALIDAD DE HUARA ")</f>
        <v xml:space="preserve"> MUNICIPALIDAD DE HUARA </v>
      </c>
    </row>
    <row r="418" spans="1:24" ht="15.75" customHeight="1" x14ac:dyDescent="0.25">
      <c r="A418" s="16" t="str">
        <f ca="1">IFERROR(__xludf.DUMMYFUNCTION("""COMPUTED_VALUE""")," REGIÓN DE TARAPACÁ ")</f>
        <v xml:space="preserve"> REGIÓN DE TARAPACÁ </v>
      </c>
      <c r="B418" s="16" t="str">
        <f t="shared" ca="1" si="1"/>
        <v xml:space="preserve"> HUARA </v>
      </c>
      <c r="C418" s="16" t="str">
        <f ca="1">IFERROR(__xludf.DUMMYFUNCTION("""COMPUTED_VALUE""")," CONSTRUCCIÓN CANCHAS DE BABY FUTBOL LOCALIDAD DE HUARA ")</f>
        <v xml:space="preserve"> CONSTRUCCIÓN CANCHAS DE BABY FUTBOL LOCALIDAD DE HUARA </v>
      </c>
      <c r="D418" s="16" t="str">
        <f ca="1">IFERROR(__xludf.DUMMYFUNCTION("""COMPUTED_VALUE""")," 1-C-2023-3276 ")</f>
        <v xml:space="preserve"> 1-C-2023-3276 </v>
      </c>
      <c r="E418" s="16" t="str">
        <f ca="1">IFERROR(__xludf.DUMMYFUNCTION("""COMPUTED_VALUE""")," 100% Girado ")</f>
        <v xml:space="preserve"> 100% Girado </v>
      </c>
      <c r="F418" s="17">
        <f ca="1">IFERROR(__xludf.DUMMYFUNCTION("""COMPUTED_VALUE"""),45461)</f>
        <v>45461</v>
      </c>
      <c r="G418" s="16">
        <f ca="1">IFERROR(__xludf.DUMMYFUNCTION("""COMPUTED_VALUE"""),154211356)</f>
        <v>154211356</v>
      </c>
      <c r="H418" s="16" t="str">
        <f ca="1">IFERROR(__xludf.DUMMYFUNCTION("""COMPUTED_VALUE""")," 100% Girado ")</f>
        <v xml:space="preserve"> 100% Girado </v>
      </c>
      <c r="I418" s="16">
        <f ca="1">IFERROR(__xludf.DUMMYFUNCTION("""COMPUTED_VALUE"""),154211356)</f>
        <v>154211356</v>
      </c>
      <c r="J418" s="83" t="s">
        <v>48</v>
      </c>
      <c r="K418" s="16"/>
      <c r="L418" s="16"/>
      <c r="M418" s="16"/>
      <c r="N418" s="19"/>
      <c r="O418" s="19"/>
      <c r="P418" s="21">
        <f ca="1">IFERROR(__xludf.DUMMYFUNCTION("""COMPUTED_VALUE"""),154211356)</f>
        <v>154211356</v>
      </c>
      <c r="Q418" s="19"/>
      <c r="R418" s="19"/>
      <c r="S418" s="19"/>
      <c r="T418" s="19"/>
      <c r="U418" s="19"/>
      <c r="V418" s="19"/>
      <c r="W418" s="20">
        <f ca="1">IFERROR(__xludf.DUMMYFUNCTION("""COMPUTED_VALUE"""),154211356)</f>
        <v>154211356</v>
      </c>
      <c r="X418" s="20" t="str">
        <f ca="1">IFERROR(__xludf.DUMMYFUNCTION("""COMPUTED_VALUE""")," MUNICIPALIDAD DE HUARA ")</f>
        <v xml:space="preserve"> MUNICIPALIDAD DE HUARA </v>
      </c>
    </row>
    <row r="419" spans="1:24" ht="15.75" customHeight="1" x14ac:dyDescent="0.25">
      <c r="A419" s="16" t="str">
        <f ca="1">IFERROR(__xludf.DUMMYFUNCTION("""COMPUTED_VALUE""")," REGIÓN DE COQUIMBO ")</f>
        <v xml:space="preserve"> REGIÓN DE COQUIMBO </v>
      </c>
      <c r="B419" s="16" t="str">
        <f t="shared" ca="1" si="1"/>
        <v xml:space="preserve"> COMBARBALÁ </v>
      </c>
      <c r="C419" s="16" t="str">
        <f ca="1">IFERROR(__xludf.DUMMYFUNCTION("""COMPUTED_VALUE""")," ADQUISICION E INSTALACION DE ILUMINACION LED Y GANCHOS, EN VARIAS LOCALIDADES DEL NORTE DE LA COMUNA DE COMBARBALA ")</f>
        <v xml:space="preserve"> ADQUISICION E INSTALACION DE ILUMINACION LED Y GANCHOS, EN VARIAS LOCALIDADES DEL NORTE DE LA COMUNA DE COMBARBALA </v>
      </c>
      <c r="D419" s="16" t="str">
        <f ca="1">IFERROR(__xludf.DUMMYFUNCTION("""COMPUTED_VALUE""")," 1-B-2024-56 ")</f>
        <v xml:space="preserve"> 1-B-2024-56 </v>
      </c>
      <c r="E419" s="16" t="str">
        <f ca="1">IFERROR(__xludf.DUMMYFUNCTION("""COMPUTED_VALUE""")," 100% Girado ")</f>
        <v xml:space="preserve"> 100% Girado </v>
      </c>
      <c r="F419" s="17">
        <f ca="1">IFERROR(__xludf.DUMMYFUNCTION("""COMPUTED_VALUE"""),45463)</f>
        <v>45463</v>
      </c>
      <c r="G419" s="16">
        <f ca="1">IFERROR(__xludf.DUMMYFUNCTION("""COMPUTED_VALUE"""),135650335)</f>
        <v>135650335</v>
      </c>
      <c r="H419" s="16" t="str">
        <f ca="1">IFERROR(__xludf.DUMMYFUNCTION("""COMPUTED_VALUE""")," 100% Girado ")</f>
        <v xml:space="preserve"> 100% Girado </v>
      </c>
      <c r="I419" s="16">
        <f ca="1">IFERROR(__xludf.DUMMYFUNCTION("""COMPUTED_VALUE"""),135650335)</f>
        <v>135650335</v>
      </c>
      <c r="J419" s="83" t="s">
        <v>48</v>
      </c>
      <c r="K419" s="16"/>
      <c r="L419" s="16"/>
      <c r="M419" s="16"/>
      <c r="N419" s="19"/>
      <c r="O419" s="19"/>
      <c r="P419" s="21">
        <f ca="1">IFERROR(__xludf.DUMMYFUNCTION("""COMPUTED_VALUE"""),135650335)</f>
        <v>135650335</v>
      </c>
      <c r="Q419" s="19"/>
      <c r="R419" s="19"/>
      <c r="S419" s="19"/>
      <c r="T419" s="19"/>
      <c r="U419" s="19"/>
      <c r="V419" s="19"/>
      <c r="W419" s="20">
        <f ca="1">IFERROR(__xludf.DUMMYFUNCTION("""COMPUTED_VALUE"""),135650335)</f>
        <v>135650335</v>
      </c>
      <c r="X419" s="20" t="str">
        <f ca="1">IFERROR(__xludf.DUMMYFUNCTION("""COMPUTED_VALUE""")," MUNICIPALIDAD DE COMBARBALÁ ")</f>
        <v xml:space="preserve"> MUNICIPALIDAD DE COMBARBALÁ </v>
      </c>
    </row>
    <row r="420" spans="1:24" ht="15.75" customHeight="1" x14ac:dyDescent="0.25">
      <c r="A420" s="16" t="str">
        <f ca="1">IFERROR(__xludf.DUMMYFUNCTION("""COMPUTED_VALUE""")," REGIÓN DE VALPARAÍSO ")</f>
        <v xml:space="preserve"> REGIÓN DE VALPARAÍSO </v>
      </c>
      <c r="B420" s="16" t="str">
        <f t="shared" ca="1" si="1"/>
        <v xml:space="preserve"> VILLA ALEMANA </v>
      </c>
      <c r="C420" s="16" t="str">
        <f ca="1">IFERROR(__xludf.DUMMYFUNCTION("""COMPUTED_VALUE""")," MEJORAMIENTO PLAZA RINCÓN DEL SOL, VILLA ALEMANA ")</f>
        <v xml:space="preserve"> MEJORAMIENTO PLAZA RINCÓN DEL SOL, VILLA ALEMANA </v>
      </c>
      <c r="D420" s="16" t="str">
        <f ca="1">IFERROR(__xludf.DUMMYFUNCTION("""COMPUTED_VALUE""")," 1-C-2020-549 ")</f>
        <v xml:space="preserve"> 1-C-2020-549 </v>
      </c>
      <c r="E420" s="16" t="str">
        <f ca="1">IFERROR(__xludf.DUMMYFUNCTION("""COMPUTED_VALUE""")," 100% Girado ")</f>
        <v xml:space="preserve"> 100% Girado </v>
      </c>
      <c r="F420" s="17">
        <f ca="1">IFERROR(__xludf.DUMMYFUNCTION("""COMPUTED_VALUE"""),44560)</f>
        <v>44560</v>
      </c>
      <c r="G420" s="16">
        <f ca="1">IFERROR(__xludf.DUMMYFUNCTION("""COMPUTED_VALUE"""),68165178)</f>
        <v>68165178</v>
      </c>
      <c r="H420" s="16" t="str">
        <f ca="1">IFERROR(__xludf.DUMMYFUNCTION("""COMPUTED_VALUE""")," 100% Girado ")</f>
        <v xml:space="preserve"> 100% Girado </v>
      </c>
      <c r="I420" s="16">
        <f ca="1">IFERROR(__xludf.DUMMYFUNCTION("""COMPUTED_VALUE"""),7911048)</f>
        <v>7911048</v>
      </c>
      <c r="J420" s="83" t="s">
        <v>48</v>
      </c>
      <c r="K420" s="16"/>
      <c r="L420" s="16"/>
      <c r="M420" s="16"/>
      <c r="N420" s="19"/>
      <c r="O420" s="19"/>
      <c r="P420" s="21">
        <f ca="1">IFERROR(__xludf.DUMMYFUNCTION("""COMPUTED_VALUE"""),7911048)</f>
        <v>7911048</v>
      </c>
      <c r="Q420" s="19"/>
      <c r="R420" s="19"/>
      <c r="S420" s="19"/>
      <c r="T420" s="19"/>
      <c r="U420" s="19"/>
      <c r="V420" s="19"/>
      <c r="W420" s="20">
        <f ca="1">IFERROR(__xludf.DUMMYFUNCTION("""COMPUTED_VALUE"""),7911048)</f>
        <v>7911048</v>
      </c>
      <c r="X420" s="20" t="str">
        <f ca="1">IFERROR(__xludf.DUMMYFUNCTION("""COMPUTED_VALUE""")," MUNICIPALIDAD DE VILLA ALEMANA ")</f>
        <v xml:space="preserve"> MUNICIPALIDAD DE VILLA ALEMANA </v>
      </c>
    </row>
    <row r="421" spans="1:24" ht="15.75" customHeight="1" x14ac:dyDescent="0.25">
      <c r="A421" s="16" t="str">
        <f ca="1">IFERROR(__xludf.DUMMYFUNCTION("""COMPUTED_VALUE""")," REGIÓN DE VALPARAÍSO ")</f>
        <v xml:space="preserve"> REGIÓN DE VALPARAÍSO </v>
      </c>
      <c r="B421" s="16" t="str">
        <f t="shared" ca="1" si="1"/>
        <v xml:space="preserve"> CARTAGENA </v>
      </c>
      <c r="C421" s="16" t="str">
        <f ca="1">IFERROR(__xludf.DUMMYFUNCTION("""COMPUTED_VALUE""")," CSV INSTALACION SISTEMA DE ALUMBRADO PÚBLICO FOTOVOLTAICO, SECTOR QUILLAYCILLO, COMUNA DE CARTAGENA ")</f>
        <v xml:space="preserve"> CSV INSTALACION SISTEMA DE ALUMBRADO PÚBLICO FOTOVOLTAICO, SECTOR QUILLAYCILLO, COMUNA DE CARTAGENA </v>
      </c>
      <c r="D421" s="16" t="str">
        <f ca="1">IFERROR(__xludf.DUMMYFUNCTION("""COMPUTED_VALUE""")," 1-C-2023-3225 ")</f>
        <v xml:space="preserve"> 1-C-2023-3225 </v>
      </c>
      <c r="E421" s="16" t="str">
        <f ca="1">IFERROR(__xludf.DUMMYFUNCTION("""COMPUTED_VALUE""")," 100% Girado ")</f>
        <v xml:space="preserve"> 100% Girado </v>
      </c>
      <c r="F421" s="17">
        <f ca="1">IFERROR(__xludf.DUMMYFUNCTION("""COMPUTED_VALUE"""),45464)</f>
        <v>45464</v>
      </c>
      <c r="G421" s="16">
        <f ca="1">IFERROR(__xludf.DUMMYFUNCTION("""COMPUTED_VALUE"""),38000000)</f>
        <v>38000000</v>
      </c>
      <c r="H421" s="16" t="str">
        <f ca="1">IFERROR(__xludf.DUMMYFUNCTION("""COMPUTED_VALUE""")," 100% Girado ")</f>
        <v xml:space="preserve"> 100% Girado </v>
      </c>
      <c r="I421" s="16">
        <f ca="1">IFERROR(__xludf.DUMMYFUNCTION("""COMPUTED_VALUE"""),38000000)</f>
        <v>38000000</v>
      </c>
      <c r="J421" s="83" t="s">
        <v>48</v>
      </c>
      <c r="K421" s="16"/>
      <c r="L421" s="16"/>
      <c r="M421" s="16"/>
      <c r="N421" s="19"/>
      <c r="O421" s="19"/>
      <c r="P421" s="21">
        <f ca="1">IFERROR(__xludf.DUMMYFUNCTION("""COMPUTED_VALUE"""),38000000)</f>
        <v>38000000</v>
      </c>
      <c r="Q421" s="19"/>
      <c r="R421" s="19"/>
      <c r="S421" s="19"/>
      <c r="T421" s="19"/>
      <c r="U421" s="19"/>
      <c r="V421" s="19"/>
      <c r="W421" s="20">
        <f ca="1">IFERROR(__xludf.DUMMYFUNCTION("""COMPUTED_VALUE"""),38000000)</f>
        <v>38000000</v>
      </c>
      <c r="X421" s="20" t="str">
        <f ca="1">IFERROR(__xludf.DUMMYFUNCTION("""COMPUTED_VALUE""")," MUNICIPALIDAD DE CARTAGENA ")</f>
        <v xml:space="preserve"> MUNICIPALIDAD DE CARTAGENA </v>
      </c>
    </row>
    <row r="422" spans="1:24" ht="15.75" customHeight="1" x14ac:dyDescent="0.25">
      <c r="A422" s="16" t="str">
        <f ca="1">IFERROR(__xludf.DUMMYFUNCTION("""COMPUTED_VALUE""")," REGIÓN DEL LIBERTADOR GENERAL BERNARDO O’HIGGINS ")</f>
        <v xml:space="preserve"> REGIÓN DEL LIBERTADOR GENERAL BERNARDO O’HIGGINS </v>
      </c>
      <c r="B422" s="16" t="str">
        <f t="shared" ca="1" si="1"/>
        <v xml:space="preserve"> PUMANQUE </v>
      </c>
      <c r="C422" s="16" t="str">
        <f ca="1">IFERROR(__xludf.DUMMYFUNCTION("""COMPUTED_VALUE""")," AMPLIACION Y MEJORAMIENTO POSTA DE SALUD RURAL PUMANQUE ")</f>
        <v xml:space="preserve"> AMPLIACION Y MEJORAMIENTO POSTA DE SALUD RURAL PUMANQUE </v>
      </c>
      <c r="D422" s="16" t="str">
        <f ca="1">IFERROR(__xludf.DUMMYFUNCTION("""COMPUTED_VALUE""")," 1-C-2022-1294 ")</f>
        <v xml:space="preserve"> 1-C-2022-1294 </v>
      </c>
      <c r="E422" s="16" t="str">
        <f ca="1">IFERROR(__xludf.DUMMYFUNCTION("""COMPUTED_VALUE""")," 100% Girado ")</f>
        <v xml:space="preserve"> 100% Girado </v>
      </c>
      <c r="F422" s="17">
        <f ca="1">IFERROR(__xludf.DUMMYFUNCTION("""COMPUTED_VALUE"""),45464)</f>
        <v>45464</v>
      </c>
      <c r="G422" s="16">
        <f ca="1">IFERROR(__xludf.DUMMYFUNCTION("""COMPUTED_VALUE"""),153999939)</f>
        <v>153999939</v>
      </c>
      <c r="H422" s="16" t="str">
        <f ca="1">IFERROR(__xludf.DUMMYFUNCTION("""COMPUTED_VALUE""")," 100% Girado ")</f>
        <v xml:space="preserve"> 100% Girado </v>
      </c>
      <c r="I422" s="16">
        <f ca="1">IFERROR(__xludf.DUMMYFUNCTION("""COMPUTED_VALUE"""),153999939)</f>
        <v>153999939</v>
      </c>
      <c r="J422" s="83" t="s">
        <v>48</v>
      </c>
      <c r="K422" s="16"/>
      <c r="L422" s="16"/>
      <c r="M422" s="16"/>
      <c r="N422" s="19"/>
      <c r="O422" s="19"/>
      <c r="P422" s="21">
        <f ca="1">IFERROR(__xludf.DUMMYFUNCTION("""COMPUTED_VALUE"""),153999939)</f>
        <v>153999939</v>
      </c>
      <c r="Q422" s="19"/>
      <c r="R422" s="19"/>
      <c r="S422" s="19"/>
      <c r="T422" s="19"/>
      <c r="U422" s="19"/>
      <c r="V422" s="19"/>
      <c r="W422" s="20">
        <f ca="1">IFERROR(__xludf.DUMMYFUNCTION("""COMPUTED_VALUE"""),153999939)</f>
        <v>153999939</v>
      </c>
      <c r="X422" s="20" t="str">
        <f ca="1">IFERROR(__xludf.DUMMYFUNCTION("""COMPUTED_VALUE""")," MUNICIPALIDAD DE PUMANQUE ")</f>
        <v xml:space="preserve"> MUNICIPALIDAD DE PUMANQUE </v>
      </c>
    </row>
    <row r="423" spans="1:24" ht="15.75" customHeight="1" x14ac:dyDescent="0.25">
      <c r="A423" s="16" t="str">
        <f ca="1">IFERROR(__xludf.DUMMYFUNCTION("""COMPUTED_VALUE""")," REGIÓN DEL LIBERTADOR GENERAL BERNARDO O’HIGGINS ")</f>
        <v xml:space="preserve"> REGIÓN DEL LIBERTADOR GENERAL BERNARDO O’HIGGINS </v>
      </c>
      <c r="B423" s="16" t="str">
        <f t="shared" ca="1" si="1"/>
        <v xml:space="preserve"> CODEGUA </v>
      </c>
      <c r="C423" s="16" t="str">
        <f ca="1">IFERROR(__xludf.DUMMYFUNCTION("""COMPUTED_VALUE""")," REPOSICIÓN SALAS DE EMERGENCIA COLEGIO MARIANO LATORRE, COMUNA DE CODEGUA ")</f>
        <v xml:space="preserve"> REPOSICIÓN SALAS DE EMERGENCIA COLEGIO MARIANO LATORRE, COMUNA DE CODEGUA </v>
      </c>
      <c r="D423" s="16" t="str">
        <f ca="1">IFERROR(__xludf.DUMMYFUNCTION("""COMPUTED_VALUE""")," 1-C-2023-2884 ")</f>
        <v xml:space="preserve"> 1-C-2023-2884 </v>
      </c>
      <c r="E423" s="16" t="str">
        <f ca="1">IFERROR(__xludf.DUMMYFUNCTION("""COMPUTED_VALUE""")," 100% Girado ")</f>
        <v xml:space="preserve"> 100% Girado </v>
      </c>
      <c r="F423" s="17">
        <f ca="1">IFERROR(__xludf.DUMMYFUNCTION("""COMPUTED_VALUE"""),45464)</f>
        <v>45464</v>
      </c>
      <c r="G423" s="16">
        <f ca="1">IFERROR(__xludf.DUMMYFUNCTION("""COMPUTED_VALUE"""),154162201)</f>
        <v>154162201</v>
      </c>
      <c r="H423" s="16" t="str">
        <f ca="1">IFERROR(__xludf.DUMMYFUNCTION("""COMPUTED_VALUE""")," 100% Girado ")</f>
        <v xml:space="preserve"> 100% Girado </v>
      </c>
      <c r="I423" s="16">
        <f ca="1">IFERROR(__xludf.DUMMYFUNCTION("""COMPUTED_VALUE"""),154162201)</f>
        <v>154162201</v>
      </c>
      <c r="J423" s="83" t="s">
        <v>48</v>
      </c>
      <c r="K423" s="16"/>
      <c r="L423" s="16"/>
      <c r="M423" s="16"/>
      <c r="N423" s="19"/>
      <c r="O423" s="19"/>
      <c r="P423" s="21">
        <f ca="1">IFERROR(__xludf.DUMMYFUNCTION("""COMPUTED_VALUE"""),154162201)</f>
        <v>154162201</v>
      </c>
      <c r="Q423" s="19"/>
      <c r="R423" s="19"/>
      <c r="S423" s="19"/>
      <c r="T423" s="19"/>
      <c r="U423" s="19"/>
      <c r="V423" s="19"/>
      <c r="W423" s="20">
        <f ca="1">IFERROR(__xludf.DUMMYFUNCTION("""COMPUTED_VALUE"""),154162201)</f>
        <v>154162201</v>
      </c>
      <c r="X423" s="20" t="str">
        <f ca="1">IFERROR(__xludf.DUMMYFUNCTION("""COMPUTED_VALUE""")," MUNICIPALIDAD DE CODEGUA ")</f>
        <v xml:space="preserve"> MUNICIPALIDAD DE CODEGUA </v>
      </c>
    </row>
    <row r="424" spans="1:24" ht="15.75" customHeight="1" x14ac:dyDescent="0.25">
      <c r="A424" s="16" t="str">
        <f ca="1">IFERROR(__xludf.DUMMYFUNCTION("""COMPUTED_VALUE""")," REGIÓN DEL BIOBÍO ")</f>
        <v xml:space="preserve"> REGIÓN DEL BIOBÍO </v>
      </c>
      <c r="B424" s="16" t="str">
        <f t="shared" ca="1" si="1"/>
        <v xml:space="preserve"> LEBU </v>
      </c>
      <c r="C424" s="16" t="str">
        <f ca="1">IFERROR(__xludf.DUMMYFUNCTION("""COMPUTED_VALUE""")," [SATE ]-CONSERVACIÓN DIVERSAS PLAZAS E ILUMINACIÓN ORNAMENTAL MIRADOR CERRO LA CRUZ ")</f>
        <v xml:space="preserve"> [SATE ]-CONSERVACIÓN DIVERSAS PLAZAS E ILUMINACIÓN ORNAMENTAL MIRADOR CERRO LA CRUZ </v>
      </c>
      <c r="D424" s="16" t="str">
        <f ca="1">IFERROR(__xludf.DUMMYFUNCTION("""COMPUTED_VALUE""")," 1-C-2022-2505 ")</f>
        <v xml:space="preserve"> 1-C-2022-2505 </v>
      </c>
      <c r="E424" s="16" t="str">
        <f ca="1">IFERROR(__xludf.DUMMYFUNCTION("""COMPUTED_VALUE""")," 100% Girado ")</f>
        <v xml:space="preserve"> 100% Girado </v>
      </c>
      <c r="F424" s="17">
        <f ca="1">IFERROR(__xludf.DUMMYFUNCTION("""COMPUTED_VALUE"""),45441)</f>
        <v>45441</v>
      </c>
      <c r="G424" s="16">
        <f ca="1">IFERROR(__xludf.DUMMYFUNCTION("""COMPUTED_VALUE"""),154786755)</f>
        <v>154786755</v>
      </c>
      <c r="H424" s="16" t="str">
        <f ca="1">IFERROR(__xludf.DUMMYFUNCTION("""COMPUTED_VALUE""")," 100% Girado ")</f>
        <v xml:space="preserve"> 100% Girado </v>
      </c>
      <c r="I424" s="16">
        <f ca="1">IFERROR(__xludf.DUMMYFUNCTION("""COMPUTED_VALUE"""),154786755)</f>
        <v>154786755</v>
      </c>
      <c r="J424" s="83" t="s">
        <v>48</v>
      </c>
      <c r="K424" s="16"/>
      <c r="L424" s="16"/>
      <c r="M424" s="16"/>
      <c r="N424" s="19"/>
      <c r="O424" s="19"/>
      <c r="P424" s="21">
        <f ca="1">IFERROR(__xludf.DUMMYFUNCTION("""COMPUTED_VALUE"""),154786755)</f>
        <v>154786755</v>
      </c>
      <c r="Q424" s="19"/>
      <c r="R424" s="19"/>
      <c r="S424" s="19"/>
      <c r="T424" s="19"/>
      <c r="U424" s="19"/>
      <c r="V424" s="19"/>
      <c r="W424" s="20">
        <f ca="1">IFERROR(__xludf.DUMMYFUNCTION("""COMPUTED_VALUE"""),154786755)</f>
        <v>154786755</v>
      </c>
      <c r="X424" s="20" t="str">
        <f ca="1">IFERROR(__xludf.DUMMYFUNCTION("""COMPUTED_VALUE""")," MUNICIPALIDAD DE LEBU ")</f>
        <v xml:space="preserve"> MUNICIPALIDAD DE LEBU </v>
      </c>
    </row>
    <row r="425" spans="1:24" ht="15.75" customHeight="1" x14ac:dyDescent="0.25">
      <c r="A425" s="16" t="str">
        <f ca="1">IFERROR(__xludf.DUMMYFUNCTION("""COMPUTED_VALUE""")," REGIÓN DEL BIOBÍO ")</f>
        <v xml:space="preserve"> REGIÓN DEL BIOBÍO </v>
      </c>
      <c r="B425" s="16" t="str">
        <f t="shared" ca="1" si="1"/>
        <v xml:space="preserve"> CORONEL </v>
      </c>
      <c r="C425" s="16" t="str">
        <f ca="1">IFERROR(__xludf.DUMMYFUNCTION("""COMPUTED_VALUE""")," CONSTRUCCIÒN ÁREA VERDE PASAJE FRESIA, CAMILO OLAVARRÍA ")</f>
        <v xml:space="preserve"> CONSTRUCCIÒN ÁREA VERDE PASAJE FRESIA, CAMILO OLAVARRÍA </v>
      </c>
      <c r="D425" s="16" t="str">
        <f ca="1">IFERROR(__xludf.DUMMYFUNCTION("""COMPUTED_VALUE""")," 1-C-2023-1320 ")</f>
        <v xml:space="preserve"> 1-C-2023-1320 </v>
      </c>
      <c r="E425" s="16" t="str">
        <f ca="1">IFERROR(__xludf.DUMMYFUNCTION("""COMPUTED_VALUE""")," 100% Girado ")</f>
        <v xml:space="preserve"> 100% Girado </v>
      </c>
      <c r="F425" s="17">
        <f ca="1">IFERROR(__xludf.DUMMYFUNCTION("""COMPUTED_VALUE"""),45441)</f>
        <v>45441</v>
      </c>
      <c r="G425" s="16">
        <f ca="1">IFERROR(__xludf.DUMMYFUNCTION("""COMPUTED_VALUE"""),139935979)</f>
        <v>139935979</v>
      </c>
      <c r="H425" s="16" t="str">
        <f ca="1">IFERROR(__xludf.DUMMYFUNCTION("""COMPUTED_VALUE""")," 100% Girado ")</f>
        <v xml:space="preserve"> 100% Girado </v>
      </c>
      <c r="I425" s="16">
        <f ca="1">IFERROR(__xludf.DUMMYFUNCTION("""COMPUTED_VALUE"""),139935979)</f>
        <v>139935979</v>
      </c>
      <c r="J425" s="83" t="s">
        <v>48</v>
      </c>
      <c r="K425" s="16"/>
      <c r="L425" s="16"/>
      <c r="M425" s="16"/>
      <c r="N425" s="19"/>
      <c r="O425" s="19"/>
      <c r="P425" s="21">
        <f ca="1">IFERROR(__xludf.DUMMYFUNCTION("""COMPUTED_VALUE"""),139935979)</f>
        <v>139935979</v>
      </c>
      <c r="Q425" s="19"/>
      <c r="R425" s="19"/>
      <c r="S425" s="19"/>
      <c r="T425" s="19"/>
      <c r="U425" s="19"/>
      <c r="V425" s="19"/>
      <c r="W425" s="20">
        <f ca="1">IFERROR(__xludf.DUMMYFUNCTION("""COMPUTED_VALUE"""),139935979)</f>
        <v>139935979</v>
      </c>
      <c r="X425" s="20" t="str">
        <f ca="1">IFERROR(__xludf.DUMMYFUNCTION("""COMPUTED_VALUE""")," MUNICIPALIDAD DE CORONEL ")</f>
        <v xml:space="preserve"> MUNICIPALIDAD DE CORONEL </v>
      </c>
    </row>
    <row r="426" spans="1:24" ht="15.75" customHeight="1" x14ac:dyDescent="0.25">
      <c r="A426" s="16" t="str">
        <f ca="1">IFERROR(__xludf.DUMMYFUNCTION("""COMPUTED_VALUE""")," REGIÓN DEL BIOBÍO ")</f>
        <v xml:space="preserve"> REGIÓN DEL BIOBÍO </v>
      </c>
      <c r="B426" s="16" t="str">
        <f t="shared" ca="1" si="1"/>
        <v xml:space="preserve"> CORONEL </v>
      </c>
      <c r="C426" s="16" t="str">
        <f ca="1">IFERROR(__xludf.DUMMYFUNCTION("""COMPUTED_VALUE""")," MEJORAMIENTO BAÑOS PÚBLICOS PLAZA, CORONEL ")</f>
        <v xml:space="preserve"> MEJORAMIENTO BAÑOS PÚBLICOS PLAZA, CORONEL </v>
      </c>
      <c r="D426" s="16" t="str">
        <f ca="1">IFERROR(__xludf.DUMMYFUNCTION("""COMPUTED_VALUE""")," 1-C-2023-2836 ")</f>
        <v xml:space="preserve"> 1-C-2023-2836 </v>
      </c>
      <c r="E426" s="16" t="str">
        <f ca="1">IFERROR(__xludf.DUMMYFUNCTION("""COMPUTED_VALUE""")," 100% Girado ")</f>
        <v xml:space="preserve"> 100% Girado </v>
      </c>
      <c r="F426" s="17">
        <f ca="1">IFERROR(__xludf.DUMMYFUNCTION("""COMPUTED_VALUE"""),45441)</f>
        <v>45441</v>
      </c>
      <c r="G426" s="16">
        <f ca="1">IFERROR(__xludf.DUMMYFUNCTION("""COMPUTED_VALUE"""),148485577)</f>
        <v>148485577</v>
      </c>
      <c r="H426" s="16" t="str">
        <f ca="1">IFERROR(__xludf.DUMMYFUNCTION("""COMPUTED_VALUE""")," 100% Girado ")</f>
        <v xml:space="preserve"> 100% Girado </v>
      </c>
      <c r="I426" s="16">
        <f ca="1">IFERROR(__xludf.DUMMYFUNCTION("""COMPUTED_VALUE"""),148485577)</f>
        <v>148485577</v>
      </c>
      <c r="J426" s="83" t="s">
        <v>48</v>
      </c>
      <c r="K426" s="16"/>
      <c r="L426" s="16"/>
      <c r="M426" s="16"/>
      <c r="N426" s="19"/>
      <c r="O426" s="19"/>
      <c r="P426" s="21">
        <f ca="1">IFERROR(__xludf.DUMMYFUNCTION("""COMPUTED_VALUE"""),148485577)</f>
        <v>148485577</v>
      </c>
      <c r="Q426" s="19"/>
      <c r="R426" s="19"/>
      <c r="S426" s="19"/>
      <c r="T426" s="19"/>
      <c r="U426" s="19"/>
      <c r="V426" s="19"/>
      <c r="W426" s="20">
        <f ca="1">IFERROR(__xludf.DUMMYFUNCTION("""COMPUTED_VALUE"""),148485577)</f>
        <v>148485577</v>
      </c>
      <c r="X426" s="20" t="str">
        <f ca="1">IFERROR(__xludf.DUMMYFUNCTION("""COMPUTED_VALUE""")," MUNICIPALIDAD DE CORONEL ")</f>
        <v xml:space="preserve"> MUNICIPALIDAD DE CORONEL </v>
      </c>
    </row>
    <row r="427" spans="1:24" ht="15.75" customHeight="1" x14ac:dyDescent="0.25">
      <c r="A427" s="16" t="str">
        <f ca="1">IFERROR(__xludf.DUMMYFUNCTION("""COMPUTED_VALUE""")," REGIÓN DEL BIOBÍO ")</f>
        <v xml:space="preserve"> REGIÓN DEL BIOBÍO </v>
      </c>
      <c r="B427" s="16" t="str">
        <f t="shared" ca="1" si="1"/>
        <v xml:space="preserve"> NEGRETE </v>
      </c>
      <c r="C427" s="16" t="str">
        <f ca="1">IFERROR(__xludf.DUMMYFUNCTION("""COMPUTED_VALUE""")," [SATE] CONSTRUCCIÓN DE BAÑOS Y MEJORAMIENTO DE CAMARINES E ILUMINACIÓN ESTADIO NEGRETE, COMUNA NEGRETE ")</f>
        <v xml:space="preserve"> [SATE] CONSTRUCCIÓN DE BAÑOS Y MEJORAMIENTO DE CAMARINES E ILUMINACIÓN ESTADIO NEGRETE, COMUNA NEGRETE </v>
      </c>
      <c r="D427" s="16" t="str">
        <f ca="1">IFERROR(__xludf.DUMMYFUNCTION("""COMPUTED_VALUE""")," 1-C-2024-442 ")</f>
        <v xml:space="preserve"> 1-C-2024-442 </v>
      </c>
      <c r="E427" s="16" t="str">
        <f ca="1">IFERROR(__xludf.DUMMYFUNCTION("""COMPUTED_VALUE""")," 100% Girado ")</f>
        <v xml:space="preserve"> 100% Girado </v>
      </c>
      <c r="F427" s="17">
        <f ca="1">IFERROR(__xludf.DUMMYFUNCTION("""COMPUTED_VALUE"""),45464)</f>
        <v>45464</v>
      </c>
      <c r="G427" s="16">
        <f ca="1">IFERROR(__xludf.DUMMYFUNCTION("""COMPUTED_VALUE"""),147969022)</f>
        <v>147969022</v>
      </c>
      <c r="H427" s="16" t="str">
        <f ca="1">IFERROR(__xludf.DUMMYFUNCTION("""COMPUTED_VALUE""")," 100% Girado ")</f>
        <v xml:space="preserve"> 100% Girado </v>
      </c>
      <c r="I427" s="16">
        <f ca="1">IFERROR(__xludf.DUMMYFUNCTION("""COMPUTED_VALUE"""),147969022)</f>
        <v>147969022</v>
      </c>
      <c r="J427" s="83" t="s">
        <v>48</v>
      </c>
      <c r="K427" s="16"/>
      <c r="L427" s="16"/>
      <c r="M427" s="16"/>
      <c r="N427" s="19"/>
      <c r="O427" s="19"/>
      <c r="P427" s="21">
        <f ca="1">IFERROR(__xludf.DUMMYFUNCTION("""COMPUTED_VALUE"""),147969022)</f>
        <v>147969022</v>
      </c>
      <c r="Q427" s="19"/>
      <c r="R427" s="19"/>
      <c r="S427" s="19"/>
      <c r="T427" s="19"/>
      <c r="U427" s="19"/>
      <c r="V427" s="19"/>
      <c r="W427" s="20">
        <f ca="1">IFERROR(__xludf.DUMMYFUNCTION("""COMPUTED_VALUE"""),147969022)</f>
        <v>147969022</v>
      </c>
      <c r="X427" s="20" t="str">
        <f ca="1">IFERROR(__xludf.DUMMYFUNCTION("""COMPUTED_VALUE""")," MUNICIPALIDAD DE NEGRETE ")</f>
        <v xml:space="preserve"> MUNICIPALIDAD DE NEGRETE </v>
      </c>
    </row>
    <row r="428" spans="1:24" ht="15.75" customHeight="1" x14ac:dyDescent="0.25">
      <c r="A428" s="16" t="str">
        <f ca="1">IFERROR(__xludf.DUMMYFUNCTION("""COMPUTED_VALUE""")," REGIÓN DEL BIOBÍO ")</f>
        <v xml:space="preserve"> REGIÓN DEL BIOBÍO </v>
      </c>
      <c r="B428" s="16" t="str">
        <f t="shared" ca="1" si="1"/>
        <v xml:space="preserve"> ARAUCO </v>
      </c>
      <c r="C428" s="16" t="str">
        <f ca="1">IFERROR(__xludf.DUMMYFUNCTION("""COMPUTED_VALUE""")," [CATÁSTROFE] HABILITACIÓN DE ESPACIOS PUBLICOS SECTOR CARRETERA COMUNA DE ARAUCO ")</f>
        <v xml:space="preserve"> [CATÁSTROFE] HABILITACIÓN DE ESPACIOS PUBLICOS SECTOR CARRETERA COMUNA DE ARAUCO </v>
      </c>
      <c r="D428" s="16" t="str">
        <f ca="1">IFERROR(__xludf.DUMMYFUNCTION("""COMPUTED_VALUE""")," 1-C-2024-1069 ")</f>
        <v xml:space="preserve"> 1-C-2024-1069 </v>
      </c>
      <c r="E428" s="16" t="str">
        <f ca="1">IFERROR(__xludf.DUMMYFUNCTION("""COMPUTED_VALUE""")," 100% Girado ")</f>
        <v xml:space="preserve"> 100% Girado </v>
      </c>
      <c r="F428" s="17">
        <f ca="1">IFERROR(__xludf.DUMMYFUNCTION("""COMPUTED_VALUE"""),45461)</f>
        <v>45461</v>
      </c>
      <c r="G428" s="16">
        <f ca="1">IFERROR(__xludf.DUMMYFUNCTION("""COMPUTED_VALUE"""),51413283)</f>
        <v>51413283</v>
      </c>
      <c r="H428" s="16" t="str">
        <f ca="1">IFERROR(__xludf.DUMMYFUNCTION("""COMPUTED_VALUE""")," 100% Girado ")</f>
        <v xml:space="preserve"> 100% Girado </v>
      </c>
      <c r="I428" s="16">
        <f ca="1">IFERROR(__xludf.DUMMYFUNCTION("""COMPUTED_VALUE"""),51413283)</f>
        <v>51413283</v>
      </c>
      <c r="J428" s="83" t="s">
        <v>48</v>
      </c>
      <c r="K428" s="16"/>
      <c r="L428" s="16"/>
      <c r="M428" s="16"/>
      <c r="N428" s="19"/>
      <c r="O428" s="19"/>
      <c r="P428" s="21">
        <f ca="1">IFERROR(__xludf.DUMMYFUNCTION("""COMPUTED_VALUE"""),51413283)</f>
        <v>51413283</v>
      </c>
      <c r="Q428" s="19"/>
      <c r="R428" s="19"/>
      <c r="S428" s="19"/>
      <c r="T428" s="19"/>
      <c r="U428" s="19"/>
      <c r="V428" s="19"/>
      <c r="W428" s="20">
        <f ca="1">IFERROR(__xludf.DUMMYFUNCTION("""COMPUTED_VALUE"""),51413283)</f>
        <v>51413283</v>
      </c>
      <c r="X428" s="20" t="str">
        <f ca="1">IFERROR(__xludf.DUMMYFUNCTION("""COMPUTED_VALUE""")," MUNICIPALIDAD DE ARAUCO ")</f>
        <v xml:space="preserve"> MUNICIPALIDAD DE ARAUCO </v>
      </c>
    </row>
    <row r="429" spans="1:24" ht="15.75" customHeight="1" x14ac:dyDescent="0.25">
      <c r="A429" s="16" t="str">
        <f ca="1">IFERROR(__xludf.DUMMYFUNCTION("""COMPUTED_VALUE""")," REGIÓN DEL BIOBÍO ")</f>
        <v xml:space="preserve"> REGIÓN DEL BIOBÍO </v>
      </c>
      <c r="B429" s="16" t="str">
        <f t="shared" ca="1" si="1"/>
        <v xml:space="preserve"> ARAUCO </v>
      </c>
      <c r="C429" s="16" t="str">
        <f ca="1">IFERROR(__xludf.DUMMYFUNCTION("""COMPUTED_VALUE""")," [CATÁSTROFE] HABILITACIÓN DE ESPACIOS PÚBLICOS SECTOR COSTA, COMUNA DE ARAUCO ")</f>
        <v xml:space="preserve"> [CATÁSTROFE] HABILITACIÓN DE ESPACIOS PÚBLICOS SECTOR COSTA, COMUNA DE ARAUCO </v>
      </c>
      <c r="D429" s="16" t="str">
        <f ca="1">IFERROR(__xludf.DUMMYFUNCTION("""COMPUTED_VALUE""")," 1-C-2024-1070 ")</f>
        <v xml:space="preserve"> 1-C-2024-1070 </v>
      </c>
      <c r="E429" s="16" t="str">
        <f ca="1">IFERROR(__xludf.DUMMYFUNCTION("""COMPUTED_VALUE""")," 100% Girado ")</f>
        <v xml:space="preserve"> 100% Girado </v>
      </c>
      <c r="F429" s="17">
        <f ca="1">IFERROR(__xludf.DUMMYFUNCTION("""COMPUTED_VALUE"""),45462)</f>
        <v>45462</v>
      </c>
      <c r="G429" s="16">
        <f ca="1">IFERROR(__xludf.DUMMYFUNCTION("""COMPUTED_VALUE"""),51413283)</f>
        <v>51413283</v>
      </c>
      <c r="H429" s="16" t="str">
        <f ca="1">IFERROR(__xludf.DUMMYFUNCTION("""COMPUTED_VALUE""")," 100% Girado ")</f>
        <v xml:space="preserve"> 100% Girado </v>
      </c>
      <c r="I429" s="16">
        <f ca="1">IFERROR(__xludf.DUMMYFUNCTION("""COMPUTED_VALUE"""),51413283)</f>
        <v>51413283</v>
      </c>
      <c r="J429" s="83" t="s">
        <v>48</v>
      </c>
      <c r="K429" s="16"/>
      <c r="L429" s="16"/>
      <c r="M429" s="16"/>
      <c r="N429" s="19"/>
      <c r="O429" s="19"/>
      <c r="P429" s="21">
        <f ca="1">IFERROR(__xludf.DUMMYFUNCTION("""COMPUTED_VALUE"""),51413283)</f>
        <v>51413283</v>
      </c>
      <c r="Q429" s="19"/>
      <c r="R429" s="19"/>
      <c r="S429" s="19"/>
      <c r="T429" s="19"/>
      <c r="U429" s="19"/>
      <c r="V429" s="19"/>
      <c r="W429" s="20">
        <f ca="1">IFERROR(__xludf.DUMMYFUNCTION("""COMPUTED_VALUE"""),51413283)</f>
        <v>51413283</v>
      </c>
      <c r="X429" s="20" t="str">
        <f ca="1">IFERROR(__xludf.DUMMYFUNCTION("""COMPUTED_VALUE""")," MUNICIPALIDAD DE ARAUCO ")</f>
        <v xml:space="preserve"> MUNICIPALIDAD DE ARAUCO </v>
      </c>
    </row>
    <row r="430" spans="1:24" ht="15.75" customHeight="1" x14ac:dyDescent="0.25">
      <c r="A430" s="16" t="str">
        <f ca="1">IFERROR(__xludf.DUMMYFUNCTION("""COMPUTED_VALUE""")," REGIÓN DEL BIOBÍO ")</f>
        <v xml:space="preserve"> REGIÓN DEL BIOBÍO </v>
      </c>
      <c r="B430" s="16" t="str">
        <f t="shared" ca="1" si="1"/>
        <v xml:space="preserve"> ARAUCO </v>
      </c>
      <c r="C430" s="16" t="str">
        <f ca="1">IFERROR(__xludf.DUMMYFUNCTION("""COMPUTED_VALUE""")," [CATÁSTROFE] HABILITACION DE ESPACIOS PUBLICOS SECTOR CIUDAD DE ARAUCO ")</f>
        <v xml:space="preserve"> [CATÁSTROFE] HABILITACION DE ESPACIOS PUBLICOS SECTOR CIUDAD DE ARAUCO </v>
      </c>
      <c r="D430" s="16" t="str">
        <f ca="1">IFERROR(__xludf.DUMMYFUNCTION("""COMPUTED_VALUE""")," 1-C-2024-1073 ")</f>
        <v xml:space="preserve"> 1-C-2024-1073 </v>
      </c>
      <c r="E430" s="16" t="str">
        <f ca="1">IFERROR(__xludf.DUMMYFUNCTION("""COMPUTED_VALUE""")," 100% Girado ")</f>
        <v xml:space="preserve"> 100% Girado </v>
      </c>
      <c r="F430" s="17">
        <f ca="1">IFERROR(__xludf.DUMMYFUNCTION("""COMPUTED_VALUE"""),45461)</f>
        <v>45461</v>
      </c>
      <c r="G430" s="16">
        <f ca="1">IFERROR(__xludf.DUMMYFUNCTION("""COMPUTED_VALUE"""),51413283)</f>
        <v>51413283</v>
      </c>
      <c r="H430" s="16" t="str">
        <f ca="1">IFERROR(__xludf.DUMMYFUNCTION("""COMPUTED_VALUE""")," 100% Girado ")</f>
        <v xml:space="preserve"> 100% Girado </v>
      </c>
      <c r="I430" s="16">
        <f ca="1">IFERROR(__xludf.DUMMYFUNCTION("""COMPUTED_VALUE"""),51413283)</f>
        <v>51413283</v>
      </c>
      <c r="J430" s="83" t="s">
        <v>48</v>
      </c>
      <c r="K430" s="16"/>
      <c r="L430" s="16"/>
      <c r="M430" s="16"/>
      <c r="N430" s="19"/>
      <c r="O430" s="19"/>
      <c r="P430" s="21">
        <f ca="1">IFERROR(__xludf.DUMMYFUNCTION("""COMPUTED_VALUE"""),51413283)</f>
        <v>51413283</v>
      </c>
      <c r="Q430" s="19"/>
      <c r="R430" s="19"/>
      <c r="S430" s="19"/>
      <c r="T430" s="19"/>
      <c r="U430" s="19"/>
      <c r="V430" s="19"/>
      <c r="W430" s="20">
        <f ca="1">IFERROR(__xludf.DUMMYFUNCTION("""COMPUTED_VALUE"""),51413283)</f>
        <v>51413283</v>
      </c>
      <c r="X430" s="20" t="str">
        <f ca="1">IFERROR(__xludf.DUMMYFUNCTION("""COMPUTED_VALUE""")," MUNICIPALIDAD DE ARAUCO ")</f>
        <v xml:space="preserve"> MUNICIPALIDAD DE ARAUCO </v>
      </c>
    </row>
    <row r="431" spans="1:24" ht="15.75" customHeight="1" x14ac:dyDescent="0.25">
      <c r="A431" s="16" t="str">
        <f ca="1">IFERROR(__xludf.DUMMYFUNCTION("""COMPUTED_VALUE""")," REGIÓN DEL BIOBÍO ")</f>
        <v xml:space="preserve"> REGIÓN DEL BIOBÍO </v>
      </c>
      <c r="B431" s="16" t="str">
        <f t="shared" ca="1" si="1"/>
        <v xml:space="preserve"> SANTA JUANA </v>
      </c>
      <c r="C431" s="16" t="str">
        <f ca="1">IFERROR(__xludf.DUMMYFUNCTION("""COMPUTED_VALUE""")," CATÁSTROFE POR ACCIÓN CLIMÁTICA SANTA JUANA, HABILITACIÓN DE ESPACIOS PÚBLICOS SECTOR CURALÍ ")</f>
        <v xml:space="preserve"> CATÁSTROFE POR ACCIÓN CLIMÁTICA SANTA JUANA, HABILITACIÓN DE ESPACIOS PÚBLICOS SECTOR CURALÍ </v>
      </c>
      <c r="D431" s="16" t="str">
        <f ca="1">IFERROR(__xludf.DUMMYFUNCTION("""COMPUTED_VALUE""")," 1-C-2024-1086 ")</f>
        <v xml:space="preserve"> 1-C-2024-1086 </v>
      </c>
      <c r="E431" s="16" t="str">
        <f ca="1">IFERROR(__xludf.DUMMYFUNCTION("""COMPUTED_VALUE""")," 100% Girado ")</f>
        <v xml:space="preserve"> 100% Girado </v>
      </c>
      <c r="F431" s="17">
        <f ca="1">IFERROR(__xludf.DUMMYFUNCTION("""COMPUTED_VALUE"""),45464)</f>
        <v>45464</v>
      </c>
      <c r="G431" s="16">
        <f ca="1">IFERROR(__xludf.DUMMYFUNCTION("""COMPUTED_VALUE"""),50400071)</f>
        <v>50400071</v>
      </c>
      <c r="H431" s="16" t="str">
        <f ca="1">IFERROR(__xludf.DUMMYFUNCTION("""COMPUTED_VALUE""")," 100% Girado ")</f>
        <v xml:space="preserve"> 100% Girado </v>
      </c>
      <c r="I431" s="16">
        <f ca="1">IFERROR(__xludf.DUMMYFUNCTION("""COMPUTED_VALUE"""),50400071)</f>
        <v>50400071</v>
      </c>
      <c r="J431" s="83" t="s">
        <v>48</v>
      </c>
      <c r="K431" s="16"/>
      <c r="L431" s="16"/>
      <c r="M431" s="16"/>
      <c r="N431" s="19"/>
      <c r="O431" s="19"/>
      <c r="P431" s="21">
        <f ca="1">IFERROR(__xludf.DUMMYFUNCTION("""COMPUTED_VALUE"""),50400071)</f>
        <v>50400071</v>
      </c>
      <c r="Q431" s="19"/>
      <c r="R431" s="19"/>
      <c r="S431" s="19"/>
      <c r="T431" s="19"/>
      <c r="U431" s="19"/>
      <c r="V431" s="19"/>
      <c r="W431" s="20">
        <f ca="1">IFERROR(__xludf.DUMMYFUNCTION("""COMPUTED_VALUE"""),50400071)</f>
        <v>50400071</v>
      </c>
      <c r="X431" s="20" t="str">
        <f ca="1">IFERROR(__xludf.DUMMYFUNCTION("""COMPUTED_VALUE""")," MUNICIPALIDAD DE SANTA JUANA ")</f>
        <v xml:space="preserve"> MUNICIPALIDAD DE SANTA JUANA </v>
      </c>
    </row>
    <row r="432" spans="1:24" ht="15.75" customHeight="1" x14ac:dyDescent="0.25">
      <c r="A432" s="16" t="str">
        <f ca="1">IFERROR(__xludf.DUMMYFUNCTION("""COMPUTED_VALUE""")," REGIÓN DEL BIOBÍO ")</f>
        <v xml:space="preserve"> REGIÓN DEL BIOBÍO </v>
      </c>
      <c r="B432" s="16" t="str">
        <f t="shared" ca="1" si="1"/>
        <v xml:space="preserve"> CURANILAHUE </v>
      </c>
      <c r="C432" s="16" t="str">
        <f ca="1">IFERROR(__xludf.DUMMYFUNCTION("""COMPUTED_VALUE""")," [CATÁSTROFE] SUMINISTRO DE AGUA POTABLE EN LOCALIDADES RURALES; SAN JOSE DE COLICO, COLICO NORTE, PLEGARIAS Y PICHIARAUCO ")</f>
        <v xml:space="preserve"> [CATÁSTROFE] SUMINISTRO DE AGUA POTABLE EN LOCALIDADES RURALES; SAN JOSE DE COLICO, COLICO NORTE, PLEGARIAS Y PICHIARAUCO </v>
      </c>
      <c r="D432" s="16" t="str">
        <f ca="1">IFERROR(__xludf.DUMMYFUNCTION("""COMPUTED_VALUE""")," 1-C-2024-1098 ")</f>
        <v xml:space="preserve"> 1-C-2024-1098 </v>
      </c>
      <c r="E432" s="16" t="str">
        <f ca="1">IFERROR(__xludf.DUMMYFUNCTION("""COMPUTED_VALUE""")," 100% Girado ")</f>
        <v xml:space="preserve"> 100% Girado </v>
      </c>
      <c r="F432" s="17">
        <f ca="1">IFERROR(__xludf.DUMMYFUNCTION("""COMPUTED_VALUE"""),45464)</f>
        <v>45464</v>
      </c>
      <c r="G432" s="16">
        <f ca="1">IFERROR(__xludf.DUMMYFUNCTION("""COMPUTED_VALUE"""),19710208)</f>
        <v>19710208</v>
      </c>
      <c r="H432" s="16" t="str">
        <f ca="1">IFERROR(__xludf.DUMMYFUNCTION("""COMPUTED_VALUE""")," 100% Girado ")</f>
        <v xml:space="preserve"> 100% Girado </v>
      </c>
      <c r="I432" s="16">
        <f ca="1">IFERROR(__xludf.DUMMYFUNCTION("""COMPUTED_VALUE"""),19710208)</f>
        <v>19710208</v>
      </c>
      <c r="J432" s="83" t="s">
        <v>48</v>
      </c>
      <c r="K432" s="16"/>
      <c r="L432" s="16"/>
      <c r="M432" s="16"/>
      <c r="N432" s="19"/>
      <c r="O432" s="19"/>
      <c r="P432" s="21">
        <f ca="1">IFERROR(__xludf.DUMMYFUNCTION("""COMPUTED_VALUE"""),19710208)</f>
        <v>19710208</v>
      </c>
      <c r="Q432" s="19"/>
      <c r="R432" s="19"/>
      <c r="S432" s="19"/>
      <c r="T432" s="19"/>
      <c r="U432" s="19"/>
      <c r="V432" s="19"/>
      <c r="W432" s="20">
        <f ca="1">IFERROR(__xludf.DUMMYFUNCTION("""COMPUTED_VALUE"""),19710208)</f>
        <v>19710208</v>
      </c>
      <c r="X432" s="20" t="str">
        <f ca="1">IFERROR(__xludf.DUMMYFUNCTION("""COMPUTED_VALUE""")," MUNICIPALIDAD DE CURANILAHUE ")</f>
        <v xml:space="preserve"> MUNICIPALIDAD DE CURANILAHUE </v>
      </c>
    </row>
    <row r="433" spans="1:24" ht="15.75" customHeight="1" x14ac:dyDescent="0.25">
      <c r="A433" s="16" t="str">
        <f ca="1">IFERROR(__xludf.DUMMYFUNCTION("""COMPUTED_VALUE""")," REGIÓN DEL BIOBÍO ")</f>
        <v xml:space="preserve"> REGIÓN DEL BIOBÍO </v>
      </c>
      <c r="B433" s="16" t="str">
        <f t="shared" ca="1" si="1"/>
        <v xml:space="preserve"> CURANILAHUE </v>
      </c>
      <c r="C433" s="16" t="str">
        <f ca="1">IFERROR(__xludf.DUMMYFUNCTION("""COMPUTED_VALUE""")," [CATÁSTROFE] HABILITACION PASAJE LOMA BAJA, POBLACION RICARDO LAGOS ")</f>
        <v xml:space="preserve"> [CATÁSTROFE] HABILITACION PASAJE LOMA BAJA, POBLACION RICARDO LAGOS </v>
      </c>
      <c r="D433" s="16" t="str">
        <f ca="1">IFERROR(__xludf.DUMMYFUNCTION("""COMPUTED_VALUE""")," 1-C-2024-1099 ")</f>
        <v xml:space="preserve"> 1-C-2024-1099 </v>
      </c>
      <c r="E433" s="16" t="str">
        <f ca="1">IFERROR(__xludf.DUMMYFUNCTION("""COMPUTED_VALUE""")," 100% Girado ")</f>
        <v xml:space="preserve"> 100% Girado </v>
      </c>
      <c r="F433" s="17">
        <f ca="1">IFERROR(__xludf.DUMMYFUNCTION("""COMPUTED_VALUE"""),45464)</f>
        <v>45464</v>
      </c>
      <c r="G433" s="16">
        <f ca="1">IFERROR(__xludf.DUMMYFUNCTION("""COMPUTED_VALUE"""),102558960)</f>
        <v>102558960</v>
      </c>
      <c r="H433" s="16" t="str">
        <f ca="1">IFERROR(__xludf.DUMMYFUNCTION("""COMPUTED_VALUE""")," 100% Girado ")</f>
        <v xml:space="preserve"> 100% Girado </v>
      </c>
      <c r="I433" s="16">
        <f ca="1">IFERROR(__xludf.DUMMYFUNCTION("""COMPUTED_VALUE"""),102558960)</f>
        <v>102558960</v>
      </c>
      <c r="J433" s="83" t="s">
        <v>48</v>
      </c>
      <c r="K433" s="16"/>
      <c r="L433" s="16"/>
      <c r="M433" s="16"/>
      <c r="N433" s="19"/>
      <c r="O433" s="19"/>
      <c r="P433" s="21">
        <f ca="1">IFERROR(__xludf.DUMMYFUNCTION("""COMPUTED_VALUE"""),102558960)</f>
        <v>102558960</v>
      </c>
      <c r="Q433" s="19"/>
      <c r="R433" s="19"/>
      <c r="S433" s="19"/>
      <c r="T433" s="19"/>
      <c r="U433" s="19"/>
      <c r="V433" s="19"/>
      <c r="W433" s="20">
        <f ca="1">IFERROR(__xludf.DUMMYFUNCTION("""COMPUTED_VALUE"""),102558960)</f>
        <v>102558960</v>
      </c>
      <c r="X433" s="20" t="str">
        <f ca="1">IFERROR(__xludf.DUMMYFUNCTION("""COMPUTED_VALUE""")," MUNICIPALIDAD DE CURANILAHUE ")</f>
        <v xml:space="preserve"> MUNICIPALIDAD DE CURANILAHUE </v>
      </c>
    </row>
    <row r="434" spans="1:24" ht="15.75" customHeight="1" x14ac:dyDescent="0.25">
      <c r="A434" s="16" t="str">
        <f ca="1">IFERROR(__xludf.DUMMYFUNCTION("""COMPUTED_VALUE""")," REGIÓN DEL BIOBÍO ")</f>
        <v xml:space="preserve"> REGIÓN DEL BIOBÍO </v>
      </c>
      <c r="B434" s="16" t="str">
        <f t="shared" ca="1" si="1"/>
        <v xml:space="preserve"> CURANILAHUE </v>
      </c>
      <c r="C434" s="16" t="str">
        <f ca="1">IFERROR(__xludf.DUMMYFUNCTION("""COMPUTED_VALUE""")," [CATÁSTROFE] CONSERVACIÓN DE ZONAS CRITICAS POR LA REMOCIÓN EN MASA DE ALGUNOS SECTORES DE LA COMUNA ")</f>
        <v xml:space="preserve"> [CATÁSTROFE] CONSERVACIÓN DE ZONAS CRITICAS POR LA REMOCIÓN EN MASA DE ALGUNOS SECTORES DE LA COMUNA </v>
      </c>
      <c r="D434" s="16" t="str">
        <f ca="1">IFERROR(__xludf.DUMMYFUNCTION("""COMPUTED_VALUE""")," 1-C-2024-1100 ")</f>
        <v xml:space="preserve"> 1-C-2024-1100 </v>
      </c>
      <c r="E434" s="16" t="str">
        <f ca="1">IFERROR(__xludf.DUMMYFUNCTION("""COMPUTED_VALUE""")," 100% Girado ")</f>
        <v xml:space="preserve"> 100% Girado </v>
      </c>
      <c r="F434" s="17">
        <f ca="1">IFERROR(__xludf.DUMMYFUNCTION("""COMPUTED_VALUE"""),45464)</f>
        <v>45464</v>
      </c>
      <c r="G434" s="16">
        <f ca="1">IFERROR(__xludf.DUMMYFUNCTION("""COMPUTED_VALUE"""),25769047)</f>
        <v>25769047</v>
      </c>
      <c r="H434" s="16" t="str">
        <f ca="1">IFERROR(__xludf.DUMMYFUNCTION("""COMPUTED_VALUE""")," 100% Girado ")</f>
        <v xml:space="preserve"> 100% Girado </v>
      </c>
      <c r="I434" s="16">
        <f ca="1">IFERROR(__xludf.DUMMYFUNCTION("""COMPUTED_VALUE"""),25769047)</f>
        <v>25769047</v>
      </c>
      <c r="J434" s="83" t="s">
        <v>48</v>
      </c>
      <c r="K434" s="16"/>
      <c r="L434" s="16"/>
      <c r="M434" s="16"/>
      <c r="N434" s="19"/>
      <c r="O434" s="19"/>
      <c r="P434" s="21">
        <f ca="1">IFERROR(__xludf.DUMMYFUNCTION("""COMPUTED_VALUE"""),25769047)</f>
        <v>25769047</v>
      </c>
      <c r="Q434" s="19"/>
      <c r="R434" s="19"/>
      <c r="S434" s="19"/>
      <c r="T434" s="19"/>
      <c r="U434" s="19"/>
      <c r="V434" s="19"/>
      <c r="W434" s="20">
        <f ca="1">IFERROR(__xludf.DUMMYFUNCTION("""COMPUTED_VALUE"""),25769047)</f>
        <v>25769047</v>
      </c>
      <c r="X434" s="20" t="str">
        <f ca="1">IFERROR(__xludf.DUMMYFUNCTION("""COMPUTED_VALUE""")," MUNICIPALIDAD DE CURANILAHUE ")</f>
        <v xml:space="preserve"> MUNICIPALIDAD DE CURANILAHUE </v>
      </c>
    </row>
    <row r="435" spans="1:24" ht="15.75" customHeight="1" x14ac:dyDescent="0.25">
      <c r="A435" s="16" t="str">
        <f ca="1">IFERROR(__xludf.DUMMYFUNCTION("""COMPUTED_VALUE""")," REGIÓN DEL BIOBÍO ")</f>
        <v xml:space="preserve"> REGIÓN DEL BIOBÍO </v>
      </c>
      <c r="B435" s="16" t="str">
        <f t="shared" ca="1" si="1"/>
        <v xml:space="preserve"> SANTA JUANA </v>
      </c>
      <c r="C435" s="16" t="str">
        <f ca="1">IFERROR(__xludf.DUMMYFUNCTION("""COMPUTED_VALUE""")," CATÁSTROFE POR ACCIÓN CLIMÁTICA SANTA JUANA, HABILITACIÓN DE ESPACIOS PÚBLICOS SECTOR HUALLEREHUE ")</f>
        <v xml:space="preserve"> CATÁSTROFE POR ACCIÓN CLIMÁTICA SANTA JUANA, HABILITACIÓN DE ESPACIOS PÚBLICOS SECTOR HUALLEREHUE </v>
      </c>
      <c r="D435" s="16" t="str">
        <f ca="1">IFERROR(__xludf.DUMMYFUNCTION("""COMPUTED_VALUE""")," 1-C-2024-1103 ")</f>
        <v xml:space="preserve"> 1-C-2024-1103 </v>
      </c>
      <c r="E435" s="16" t="str">
        <f ca="1">IFERROR(__xludf.DUMMYFUNCTION("""COMPUTED_VALUE""")," 100% Girado ")</f>
        <v xml:space="preserve"> 100% Girado </v>
      </c>
      <c r="F435" s="17">
        <f ca="1">IFERROR(__xludf.DUMMYFUNCTION("""COMPUTED_VALUE"""),45464)</f>
        <v>45464</v>
      </c>
      <c r="G435" s="16">
        <f ca="1">IFERROR(__xludf.DUMMYFUNCTION("""COMPUTED_VALUE"""),50400071)</f>
        <v>50400071</v>
      </c>
      <c r="H435" s="16" t="str">
        <f ca="1">IFERROR(__xludf.DUMMYFUNCTION("""COMPUTED_VALUE""")," 100% Girado ")</f>
        <v xml:space="preserve"> 100% Girado </v>
      </c>
      <c r="I435" s="16">
        <f ca="1">IFERROR(__xludf.DUMMYFUNCTION("""COMPUTED_VALUE"""),50400071)</f>
        <v>50400071</v>
      </c>
      <c r="J435" s="83" t="s">
        <v>48</v>
      </c>
      <c r="K435" s="16"/>
      <c r="L435" s="16"/>
      <c r="M435" s="16"/>
      <c r="N435" s="19"/>
      <c r="O435" s="19"/>
      <c r="P435" s="21">
        <f ca="1">IFERROR(__xludf.DUMMYFUNCTION("""COMPUTED_VALUE"""),50400071)</f>
        <v>50400071</v>
      </c>
      <c r="Q435" s="19"/>
      <c r="R435" s="19"/>
      <c r="S435" s="19"/>
      <c r="T435" s="19"/>
      <c r="U435" s="19"/>
      <c r="V435" s="19"/>
      <c r="W435" s="20">
        <f ca="1">IFERROR(__xludf.DUMMYFUNCTION("""COMPUTED_VALUE"""),50400071)</f>
        <v>50400071</v>
      </c>
      <c r="X435" s="20" t="str">
        <f ca="1">IFERROR(__xludf.DUMMYFUNCTION("""COMPUTED_VALUE""")," MUNICIPALIDAD DE SANTA JUANA ")</f>
        <v xml:space="preserve"> MUNICIPALIDAD DE SANTA JUANA </v>
      </c>
    </row>
    <row r="436" spans="1:24" ht="15.75" customHeight="1" x14ac:dyDescent="0.25">
      <c r="A436" s="16" t="str">
        <f ca="1">IFERROR(__xludf.DUMMYFUNCTION("""COMPUTED_VALUE""")," REGIÓN DEL BIOBÍO ")</f>
        <v xml:space="preserve"> REGIÓN DEL BIOBÍO </v>
      </c>
      <c r="B436" s="16" t="str">
        <f t="shared" ca="1" si="1"/>
        <v xml:space="preserve"> SANTA JUANA </v>
      </c>
      <c r="C436" s="16" t="str">
        <f ca="1">IFERROR(__xludf.DUMMYFUNCTION("""COMPUTED_VALUE""")," CATÁSTROFE POR ACCIÓN CLIMÁTICA SANTA JUANA, HABILITACIÓN DE ESPACIOS PÚBLICOS SECTOR CHACAY ")</f>
        <v xml:space="preserve"> CATÁSTROFE POR ACCIÓN CLIMÁTICA SANTA JUANA, HABILITACIÓN DE ESPACIOS PÚBLICOS SECTOR CHACAY </v>
      </c>
      <c r="D436" s="16" t="str">
        <f ca="1">IFERROR(__xludf.DUMMYFUNCTION("""COMPUTED_VALUE""")," 1-C-2024-1105 ")</f>
        <v xml:space="preserve"> 1-C-2024-1105 </v>
      </c>
      <c r="E436" s="16" t="str">
        <f ca="1">IFERROR(__xludf.DUMMYFUNCTION("""COMPUTED_VALUE""")," 100% Girado ")</f>
        <v xml:space="preserve"> 100% Girado </v>
      </c>
      <c r="F436" s="17">
        <f ca="1">IFERROR(__xludf.DUMMYFUNCTION("""COMPUTED_VALUE"""),45464)</f>
        <v>45464</v>
      </c>
      <c r="G436" s="16">
        <f ca="1">IFERROR(__xludf.DUMMYFUNCTION("""COMPUTED_VALUE"""),50400071)</f>
        <v>50400071</v>
      </c>
      <c r="H436" s="16" t="str">
        <f ca="1">IFERROR(__xludf.DUMMYFUNCTION("""COMPUTED_VALUE""")," 100% Girado ")</f>
        <v xml:space="preserve"> 100% Girado </v>
      </c>
      <c r="I436" s="16">
        <f ca="1">IFERROR(__xludf.DUMMYFUNCTION("""COMPUTED_VALUE"""),50400071)</f>
        <v>50400071</v>
      </c>
      <c r="J436" s="83" t="s">
        <v>48</v>
      </c>
      <c r="K436" s="16"/>
      <c r="L436" s="16"/>
      <c r="M436" s="16"/>
      <c r="N436" s="19"/>
      <c r="O436" s="19"/>
      <c r="P436" s="21">
        <f ca="1">IFERROR(__xludf.DUMMYFUNCTION("""COMPUTED_VALUE"""),50400071)</f>
        <v>50400071</v>
      </c>
      <c r="Q436" s="19"/>
      <c r="R436" s="19"/>
      <c r="S436" s="19"/>
      <c r="T436" s="19"/>
      <c r="U436" s="19"/>
      <c r="V436" s="19"/>
      <c r="W436" s="20">
        <f ca="1">IFERROR(__xludf.DUMMYFUNCTION("""COMPUTED_VALUE"""),50400071)</f>
        <v>50400071</v>
      </c>
      <c r="X436" s="20" t="str">
        <f ca="1">IFERROR(__xludf.DUMMYFUNCTION("""COMPUTED_VALUE""")," MUNICIPALIDAD DE SANTA JUANA ")</f>
        <v xml:space="preserve"> MUNICIPALIDAD DE SANTA JUANA </v>
      </c>
    </row>
    <row r="437" spans="1:24" ht="15.75" customHeight="1" x14ac:dyDescent="0.25">
      <c r="A437" s="16" t="str">
        <f ca="1">IFERROR(__xludf.DUMMYFUNCTION("""COMPUTED_VALUE""")," REGIÓN DEL BIOBÍO ")</f>
        <v xml:space="preserve"> REGIÓN DEL BIOBÍO </v>
      </c>
      <c r="B437" s="16" t="str">
        <f t="shared" ca="1" si="1"/>
        <v xml:space="preserve"> NEGRETE </v>
      </c>
      <c r="C437" s="16" t="str">
        <f ca="1">IFERROR(__xludf.DUMMYFUNCTION("""COMPUTED_VALUE""")," CATASTROFE HABILITACION DE ESPAC Y CAMINOS PUBLI LOS SECTORES EL CONSUELO, COIHUE,LAS MARIAS, STA AMELIA, RIHUE, EMERGENCIA, LA CAPILLA Y STA LUISA. ")</f>
        <v xml:space="preserve"> CATASTROFE HABILITACION DE ESPAC Y CAMINOS PUBLI LOS SECTORES EL CONSUELO, COIHUE,LAS MARIAS, STA AMELIA, RIHUE, EMERGENCIA, LA CAPILLA Y STA LUISA. </v>
      </c>
      <c r="D437" s="16" t="str">
        <f ca="1">IFERROR(__xludf.DUMMYFUNCTION("""COMPUTED_VALUE""")," 1-C-2024-1112 ")</f>
        <v xml:space="preserve"> 1-C-2024-1112 </v>
      </c>
      <c r="E437" s="16" t="str">
        <f ca="1">IFERROR(__xludf.DUMMYFUNCTION("""COMPUTED_VALUE""")," 100% Girado ")</f>
        <v xml:space="preserve"> 100% Girado </v>
      </c>
      <c r="F437" s="17">
        <f ca="1">IFERROR(__xludf.DUMMYFUNCTION("""COMPUTED_VALUE"""),45464)</f>
        <v>45464</v>
      </c>
      <c r="G437" s="16">
        <f ca="1">IFERROR(__xludf.DUMMYFUNCTION("""COMPUTED_VALUE"""),48534399)</f>
        <v>48534399</v>
      </c>
      <c r="H437" s="16" t="str">
        <f ca="1">IFERROR(__xludf.DUMMYFUNCTION("""COMPUTED_VALUE""")," 100% Girado ")</f>
        <v xml:space="preserve"> 100% Girado </v>
      </c>
      <c r="I437" s="16">
        <f ca="1">IFERROR(__xludf.DUMMYFUNCTION("""COMPUTED_VALUE"""),48534399)</f>
        <v>48534399</v>
      </c>
      <c r="J437" s="83" t="s">
        <v>48</v>
      </c>
      <c r="K437" s="16"/>
      <c r="L437" s="16"/>
      <c r="M437" s="16"/>
      <c r="N437" s="19"/>
      <c r="O437" s="19"/>
      <c r="P437" s="21">
        <f ca="1">IFERROR(__xludf.DUMMYFUNCTION("""COMPUTED_VALUE"""),48534399)</f>
        <v>48534399</v>
      </c>
      <c r="Q437" s="19"/>
      <c r="R437" s="19"/>
      <c r="S437" s="19"/>
      <c r="T437" s="19"/>
      <c r="U437" s="19"/>
      <c r="V437" s="19"/>
      <c r="W437" s="20">
        <f ca="1">IFERROR(__xludf.DUMMYFUNCTION("""COMPUTED_VALUE"""),48534399)</f>
        <v>48534399</v>
      </c>
      <c r="X437" s="20" t="str">
        <f ca="1">IFERROR(__xludf.DUMMYFUNCTION("""COMPUTED_VALUE""")," MUNICIPALIDAD DE NEGRETE ")</f>
        <v xml:space="preserve"> MUNICIPALIDAD DE NEGRETE </v>
      </c>
    </row>
    <row r="438" spans="1:24" ht="15.75" customHeight="1" x14ac:dyDescent="0.25">
      <c r="A438" s="16" t="str">
        <f ca="1">IFERROR(__xludf.DUMMYFUNCTION("""COMPUTED_VALUE""")," REGIÓN DEL BIOBÍO ")</f>
        <v xml:space="preserve"> REGIÓN DEL BIOBÍO </v>
      </c>
      <c r="B438" s="16" t="str">
        <f t="shared" ca="1" si="1"/>
        <v xml:space="preserve"> NEGRETE </v>
      </c>
      <c r="C438" s="16" t="str">
        <f ca="1">IFERROR(__xludf.DUMMYFUNCTION("""COMPUTED_VALUE""")," CATASTROFE HABILITACION DE ESPACIOS Y CAMINOS PUBL. DE LOS SECTORES EL AGRO, GRANEROS, ESPIGA DE ORO, ESPERANZA CAMP, STA ROSA Y Q-80, NEGRETE ")</f>
        <v xml:space="preserve"> CATASTROFE HABILITACION DE ESPACIOS Y CAMINOS PUBL. DE LOS SECTORES EL AGRO, GRANEROS, ESPIGA DE ORO, ESPERANZA CAMP, STA ROSA Y Q-80, NEGRETE </v>
      </c>
      <c r="D438" s="16" t="str">
        <f ca="1">IFERROR(__xludf.DUMMYFUNCTION("""COMPUTED_VALUE""")," 1-C-2024-1113 ")</f>
        <v xml:space="preserve"> 1-C-2024-1113 </v>
      </c>
      <c r="E438" s="16" t="str">
        <f ca="1">IFERROR(__xludf.DUMMYFUNCTION("""COMPUTED_VALUE""")," 100% Girado ")</f>
        <v xml:space="preserve"> 100% Girado </v>
      </c>
      <c r="F438" s="17">
        <f ca="1">IFERROR(__xludf.DUMMYFUNCTION("""COMPUTED_VALUE"""),45464)</f>
        <v>45464</v>
      </c>
      <c r="G438" s="16">
        <f ca="1">IFERROR(__xludf.DUMMYFUNCTION("""COMPUTED_VALUE"""),51838346)</f>
        <v>51838346</v>
      </c>
      <c r="H438" s="16" t="str">
        <f ca="1">IFERROR(__xludf.DUMMYFUNCTION("""COMPUTED_VALUE""")," 100% Girado ")</f>
        <v xml:space="preserve"> 100% Girado </v>
      </c>
      <c r="I438" s="16">
        <f ca="1">IFERROR(__xludf.DUMMYFUNCTION("""COMPUTED_VALUE"""),51838346)</f>
        <v>51838346</v>
      </c>
      <c r="J438" s="83" t="s">
        <v>48</v>
      </c>
      <c r="K438" s="16"/>
      <c r="L438" s="16"/>
      <c r="M438" s="16"/>
      <c r="N438" s="19"/>
      <c r="O438" s="19"/>
      <c r="P438" s="21">
        <f ca="1">IFERROR(__xludf.DUMMYFUNCTION("""COMPUTED_VALUE"""),51838346)</f>
        <v>51838346</v>
      </c>
      <c r="Q438" s="19"/>
      <c r="R438" s="19"/>
      <c r="S438" s="19"/>
      <c r="T438" s="19"/>
      <c r="U438" s="19"/>
      <c r="V438" s="19"/>
      <c r="W438" s="20">
        <f ca="1">IFERROR(__xludf.DUMMYFUNCTION("""COMPUTED_VALUE"""),51838346)</f>
        <v>51838346</v>
      </c>
      <c r="X438" s="20" t="str">
        <f ca="1">IFERROR(__xludf.DUMMYFUNCTION("""COMPUTED_VALUE""")," MUNICIPALIDAD DE NEGRETE ")</f>
        <v xml:space="preserve"> MUNICIPALIDAD DE NEGRETE </v>
      </c>
    </row>
    <row r="439" spans="1:24" ht="15.75" customHeight="1" x14ac:dyDescent="0.25">
      <c r="A439" s="16" t="str">
        <f ca="1">IFERROR(__xludf.DUMMYFUNCTION("""COMPUTED_VALUE""")," REGIÓN DEL BIOBÍO ")</f>
        <v xml:space="preserve"> REGIÓN DEL BIOBÍO </v>
      </c>
      <c r="B439" s="16" t="str">
        <f t="shared" ca="1" si="1"/>
        <v xml:space="preserve"> SAN ROSENDO </v>
      </c>
      <c r="C439" s="16" t="str">
        <f ca="1">IFERROR(__xludf.DUMMYFUNCTION("""COMPUTED_VALUE""")," CATASTROFE CONSERVACION DE ESPACIOS PUBLICOS, CAMINOS Y SISTEMAS DE DRENAJES DE AGUAS LLUVIAS EN DIFERENTES SECTORES DE SAN ROSENDO ")</f>
        <v xml:space="preserve"> CATASTROFE CONSERVACION DE ESPACIOS PUBLICOS, CAMINOS Y SISTEMAS DE DRENAJES DE AGUAS LLUVIAS EN DIFERENTES SECTORES DE SAN ROSENDO </v>
      </c>
      <c r="D439" s="16" t="str">
        <f ca="1">IFERROR(__xludf.DUMMYFUNCTION("""COMPUTED_VALUE""")," 1-C-2024-1120 ")</f>
        <v xml:space="preserve"> 1-C-2024-1120 </v>
      </c>
      <c r="E439" s="16" t="str">
        <f ca="1">IFERROR(__xludf.DUMMYFUNCTION("""COMPUTED_VALUE""")," 100% Girado ")</f>
        <v xml:space="preserve"> 100% Girado </v>
      </c>
      <c r="F439" s="17">
        <f ca="1">IFERROR(__xludf.DUMMYFUNCTION("""COMPUTED_VALUE"""),45464)</f>
        <v>45464</v>
      </c>
      <c r="G439" s="16">
        <f ca="1">IFERROR(__xludf.DUMMYFUNCTION("""COMPUTED_VALUE"""),42826613)</f>
        <v>42826613</v>
      </c>
      <c r="H439" s="16" t="str">
        <f ca="1">IFERROR(__xludf.DUMMYFUNCTION("""COMPUTED_VALUE""")," 100% Girado ")</f>
        <v xml:space="preserve"> 100% Girado </v>
      </c>
      <c r="I439" s="16">
        <f ca="1">IFERROR(__xludf.DUMMYFUNCTION("""COMPUTED_VALUE"""),42826613)</f>
        <v>42826613</v>
      </c>
      <c r="J439" s="83" t="s">
        <v>48</v>
      </c>
      <c r="K439" s="16"/>
      <c r="L439" s="16"/>
      <c r="M439" s="16"/>
      <c r="N439" s="19"/>
      <c r="O439" s="19"/>
      <c r="P439" s="21">
        <f ca="1">IFERROR(__xludf.DUMMYFUNCTION("""COMPUTED_VALUE"""),42826613)</f>
        <v>42826613</v>
      </c>
      <c r="Q439" s="19"/>
      <c r="R439" s="19"/>
      <c r="S439" s="19"/>
      <c r="T439" s="19"/>
      <c r="U439" s="19"/>
      <c r="V439" s="19"/>
      <c r="W439" s="20">
        <f ca="1">IFERROR(__xludf.DUMMYFUNCTION("""COMPUTED_VALUE"""),42826613)</f>
        <v>42826613</v>
      </c>
      <c r="X439" s="20" t="str">
        <f ca="1">IFERROR(__xludf.DUMMYFUNCTION("""COMPUTED_VALUE""")," MUNICIPALIDAD DE SAN ROSENDO ")</f>
        <v xml:space="preserve"> MUNICIPALIDAD DE SAN ROSENDO </v>
      </c>
    </row>
    <row r="440" spans="1:24" ht="15.75" customHeight="1" x14ac:dyDescent="0.25">
      <c r="A440" s="16" t="str">
        <f ca="1">IFERROR(__xludf.DUMMYFUNCTION("""COMPUTED_VALUE""")," REGIÓN DE LA ARAUCANÍA ")</f>
        <v xml:space="preserve"> REGIÓN DE LA ARAUCANÍA </v>
      </c>
      <c r="B440" s="16" t="str">
        <f t="shared" ca="1" si="1"/>
        <v xml:space="preserve"> PADRE LAS CASAS </v>
      </c>
      <c r="C440" s="16" t="str">
        <f ca="1">IFERROR(__xludf.DUMMYFUNCTION("""COMPUTED_VALUE""")," MEJORAMIENTO SEDE SOCIAL VILLA LOS CACIQUES SECTOR B, PADRE LAS CASAS ")</f>
        <v xml:space="preserve"> MEJORAMIENTO SEDE SOCIAL VILLA LOS CACIQUES SECTOR B, PADRE LAS CASAS </v>
      </c>
      <c r="D440" s="16" t="str">
        <f ca="1">IFERROR(__xludf.DUMMYFUNCTION("""COMPUTED_VALUE""")," 1-C-2023-1648 ")</f>
        <v xml:space="preserve"> 1-C-2023-1648 </v>
      </c>
      <c r="E440" s="16" t="str">
        <f ca="1">IFERROR(__xludf.DUMMYFUNCTION("""COMPUTED_VALUE""")," 100% Girado ")</f>
        <v xml:space="preserve"> 100% Girado </v>
      </c>
      <c r="F440" s="17">
        <f ca="1">IFERROR(__xludf.DUMMYFUNCTION("""COMPUTED_VALUE"""),45464)</f>
        <v>45464</v>
      </c>
      <c r="G440" s="16">
        <f ca="1">IFERROR(__xludf.DUMMYFUNCTION("""COMPUTED_VALUE"""),82018236)</f>
        <v>82018236</v>
      </c>
      <c r="H440" s="16" t="str">
        <f ca="1">IFERROR(__xludf.DUMMYFUNCTION("""COMPUTED_VALUE""")," 100% Girado ")</f>
        <v xml:space="preserve"> 100% Girado </v>
      </c>
      <c r="I440" s="16">
        <f ca="1">IFERROR(__xludf.DUMMYFUNCTION("""COMPUTED_VALUE"""),82018236)</f>
        <v>82018236</v>
      </c>
      <c r="J440" s="83" t="s">
        <v>48</v>
      </c>
      <c r="K440" s="16"/>
      <c r="L440" s="16"/>
      <c r="M440" s="16"/>
      <c r="N440" s="19"/>
      <c r="O440" s="19"/>
      <c r="P440" s="21">
        <f ca="1">IFERROR(__xludf.DUMMYFUNCTION("""COMPUTED_VALUE"""),82018236)</f>
        <v>82018236</v>
      </c>
      <c r="Q440" s="19"/>
      <c r="R440" s="19"/>
      <c r="S440" s="19"/>
      <c r="T440" s="19"/>
      <c r="U440" s="19"/>
      <c r="V440" s="19"/>
      <c r="W440" s="20">
        <f ca="1">IFERROR(__xludf.DUMMYFUNCTION("""COMPUTED_VALUE"""),82018236)</f>
        <v>82018236</v>
      </c>
      <c r="X440" s="20" t="str">
        <f ca="1">IFERROR(__xludf.DUMMYFUNCTION("""COMPUTED_VALUE""")," MUNICIPALIDAD DE PADRE LAS CASAS ")</f>
        <v xml:space="preserve"> MUNICIPALIDAD DE PADRE LAS CASAS </v>
      </c>
    </row>
    <row r="441" spans="1:24" ht="15.75" customHeight="1" x14ac:dyDescent="0.25">
      <c r="A441" s="16" t="str">
        <f ca="1">IFERROR(__xludf.DUMMYFUNCTION("""COMPUTED_VALUE""")," REGIÓN DE LA ARAUCANÍA ")</f>
        <v xml:space="preserve"> REGIÓN DE LA ARAUCANÍA </v>
      </c>
      <c r="B441" s="16" t="str">
        <f t="shared" ca="1" si="1"/>
        <v xml:space="preserve"> GORBEA </v>
      </c>
      <c r="C441" s="16" t="str">
        <f ca="1">IFERROR(__xludf.DUMMYFUNCTION("""COMPUTED_VALUE""")," CONSTRUCCIÓN SEMÁFOROS AVENIDA BERNARDO O’HIGGINS INTERSECCIÓN CALLE ARTURO PRAT, COMUNA DE GORBEA ")</f>
        <v xml:space="preserve"> CONSTRUCCIÓN SEMÁFOROS AVENIDA BERNARDO O’HIGGINS INTERSECCIÓN CALLE ARTURO PRAT, COMUNA DE GORBEA </v>
      </c>
      <c r="D441" s="16" t="str">
        <f ca="1">IFERROR(__xludf.DUMMYFUNCTION("""COMPUTED_VALUE""")," 1-C-2023-3216 ")</f>
        <v xml:space="preserve"> 1-C-2023-3216 </v>
      </c>
      <c r="E441" s="16" t="str">
        <f ca="1">IFERROR(__xludf.DUMMYFUNCTION("""COMPUTED_VALUE""")," 100% Girado ")</f>
        <v xml:space="preserve"> 100% Girado </v>
      </c>
      <c r="F441" s="17">
        <f ca="1">IFERROR(__xludf.DUMMYFUNCTION("""COMPUTED_VALUE"""),45461)</f>
        <v>45461</v>
      </c>
      <c r="G441" s="16">
        <f ca="1">IFERROR(__xludf.DUMMYFUNCTION("""COMPUTED_VALUE"""),112271768)</f>
        <v>112271768</v>
      </c>
      <c r="H441" s="16" t="str">
        <f ca="1">IFERROR(__xludf.DUMMYFUNCTION("""COMPUTED_VALUE""")," 100% Girado ")</f>
        <v xml:space="preserve"> 100% Girado </v>
      </c>
      <c r="I441" s="16">
        <f ca="1">IFERROR(__xludf.DUMMYFUNCTION("""COMPUTED_VALUE"""),112271768)</f>
        <v>112271768</v>
      </c>
      <c r="J441" s="83" t="s">
        <v>48</v>
      </c>
      <c r="K441" s="16"/>
      <c r="L441" s="16"/>
      <c r="M441" s="16"/>
      <c r="N441" s="19"/>
      <c r="O441" s="19"/>
      <c r="P441" s="21">
        <f ca="1">IFERROR(__xludf.DUMMYFUNCTION("""COMPUTED_VALUE"""),112271768)</f>
        <v>112271768</v>
      </c>
      <c r="Q441" s="19"/>
      <c r="R441" s="19"/>
      <c r="S441" s="19"/>
      <c r="T441" s="19"/>
      <c r="U441" s="19"/>
      <c r="V441" s="19"/>
      <c r="W441" s="20">
        <f ca="1">IFERROR(__xludf.DUMMYFUNCTION("""COMPUTED_VALUE"""),112271768)</f>
        <v>112271768</v>
      </c>
      <c r="X441" s="20" t="str">
        <f ca="1">IFERROR(__xludf.DUMMYFUNCTION("""COMPUTED_VALUE""")," MUNICIPALIDAD DE GORBEA ")</f>
        <v xml:space="preserve"> MUNICIPALIDAD DE GORBEA </v>
      </c>
    </row>
    <row r="442" spans="1:24" ht="15.75" customHeight="1" x14ac:dyDescent="0.25">
      <c r="A442" s="16" t="str">
        <f ca="1">IFERROR(__xludf.DUMMYFUNCTION("""COMPUTED_VALUE""")," REGIÓN DE LOS LAGOS ")</f>
        <v xml:space="preserve"> REGIÓN DE LOS LAGOS </v>
      </c>
      <c r="B442" s="16" t="str">
        <f t="shared" ca="1" si="1"/>
        <v xml:space="preserve"> OSORNO </v>
      </c>
      <c r="C442" s="16" t="str">
        <f ca="1">IFERROR(__xludf.DUMMYFUNCTION("""COMPUTED_VALUE""")," RESTAURACIÓN PASARELA PEATONAL COLGANTE PARQUE BELLAVISTA ")</f>
        <v xml:space="preserve"> RESTAURACIÓN PASARELA PEATONAL COLGANTE PARQUE BELLAVISTA </v>
      </c>
      <c r="D442" s="16" t="str">
        <f ca="1">IFERROR(__xludf.DUMMYFUNCTION("""COMPUTED_VALUE""")," 1-C-2023-1798 ")</f>
        <v xml:space="preserve"> 1-C-2023-1798 </v>
      </c>
      <c r="E442" s="16" t="str">
        <f ca="1">IFERROR(__xludf.DUMMYFUNCTION("""COMPUTED_VALUE""")," 100% Girado ")</f>
        <v xml:space="preserve"> 100% Girado </v>
      </c>
      <c r="F442" s="17">
        <f ca="1">IFERROR(__xludf.DUMMYFUNCTION("""COMPUTED_VALUE"""),45464)</f>
        <v>45464</v>
      </c>
      <c r="G442" s="16">
        <f ca="1">IFERROR(__xludf.DUMMYFUNCTION("""COMPUTED_VALUE"""),60538385)</f>
        <v>60538385</v>
      </c>
      <c r="H442" s="16" t="str">
        <f ca="1">IFERROR(__xludf.DUMMYFUNCTION("""COMPUTED_VALUE""")," 100% Girado ")</f>
        <v xml:space="preserve"> 100% Girado </v>
      </c>
      <c r="I442" s="16">
        <f ca="1">IFERROR(__xludf.DUMMYFUNCTION("""COMPUTED_VALUE"""),60538385)</f>
        <v>60538385</v>
      </c>
      <c r="J442" s="83" t="s">
        <v>48</v>
      </c>
      <c r="K442" s="16"/>
      <c r="L442" s="16"/>
      <c r="M442" s="16"/>
      <c r="N442" s="19"/>
      <c r="O442" s="19"/>
      <c r="P442" s="21">
        <f ca="1">IFERROR(__xludf.DUMMYFUNCTION("""COMPUTED_VALUE"""),60538385)</f>
        <v>60538385</v>
      </c>
      <c r="Q442" s="19"/>
      <c r="R442" s="19"/>
      <c r="S442" s="19"/>
      <c r="T442" s="19"/>
      <c r="U442" s="19"/>
      <c r="V442" s="19"/>
      <c r="W442" s="20">
        <f ca="1">IFERROR(__xludf.DUMMYFUNCTION("""COMPUTED_VALUE"""),60538385)</f>
        <v>60538385</v>
      </c>
      <c r="X442" s="20" t="str">
        <f ca="1">IFERROR(__xludf.DUMMYFUNCTION("""COMPUTED_VALUE""")," MUNICIPALIDAD DE OSORNO ")</f>
        <v xml:space="preserve"> MUNICIPALIDAD DE OSORNO </v>
      </c>
    </row>
    <row r="443" spans="1:24" ht="15.75" customHeight="1" x14ac:dyDescent="0.25">
      <c r="A443" s="16" t="str">
        <f ca="1">IFERROR(__xludf.DUMMYFUNCTION("""COMPUTED_VALUE""")," REGIÓN DE LOS LAGOS ")</f>
        <v xml:space="preserve"> REGIÓN DE LOS LAGOS </v>
      </c>
      <c r="B443" s="16" t="str">
        <f t="shared" ca="1" si="1"/>
        <v xml:space="preserve"> OSORNO </v>
      </c>
      <c r="C443" s="16" t="str">
        <f ca="1">IFERROR(__xludf.DUMMYFUNCTION("""COMPUTED_VALUE""")," MEJORAMIENTO DIVERSOS SECTORES DE FERIA RAHUE ")</f>
        <v xml:space="preserve"> MEJORAMIENTO DIVERSOS SECTORES DE FERIA RAHUE </v>
      </c>
      <c r="D443" s="16" t="str">
        <f ca="1">IFERROR(__xludf.DUMMYFUNCTION("""COMPUTED_VALUE""")," 1-C-2023-1821 ")</f>
        <v xml:space="preserve"> 1-C-2023-1821 </v>
      </c>
      <c r="E443" s="16" t="str">
        <f ca="1">IFERROR(__xludf.DUMMYFUNCTION("""COMPUTED_VALUE""")," 100% Girado ")</f>
        <v xml:space="preserve"> 100% Girado </v>
      </c>
      <c r="F443" s="17">
        <f ca="1">IFERROR(__xludf.DUMMYFUNCTION("""COMPUTED_VALUE"""),45464)</f>
        <v>45464</v>
      </c>
      <c r="G443" s="16">
        <f ca="1">IFERROR(__xludf.DUMMYFUNCTION("""COMPUTED_VALUE"""),135727602)</f>
        <v>135727602</v>
      </c>
      <c r="H443" s="16" t="str">
        <f ca="1">IFERROR(__xludf.DUMMYFUNCTION("""COMPUTED_VALUE""")," 100% Girado ")</f>
        <v xml:space="preserve"> 100% Girado </v>
      </c>
      <c r="I443" s="16">
        <f ca="1">IFERROR(__xludf.DUMMYFUNCTION("""COMPUTED_VALUE"""),135727602)</f>
        <v>135727602</v>
      </c>
      <c r="J443" s="83" t="s">
        <v>48</v>
      </c>
      <c r="K443" s="16"/>
      <c r="L443" s="16"/>
      <c r="M443" s="16"/>
      <c r="N443" s="19"/>
      <c r="O443" s="19"/>
      <c r="P443" s="21">
        <f ca="1">IFERROR(__xludf.DUMMYFUNCTION("""COMPUTED_VALUE"""),135727602)</f>
        <v>135727602</v>
      </c>
      <c r="Q443" s="19"/>
      <c r="R443" s="19"/>
      <c r="S443" s="19"/>
      <c r="T443" s="19"/>
      <c r="U443" s="19"/>
      <c r="V443" s="19"/>
      <c r="W443" s="20">
        <f ca="1">IFERROR(__xludf.DUMMYFUNCTION("""COMPUTED_VALUE"""),135727602)</f>
        <v>135727602</v>
      </c>
      <c r="X443" s="20" t="str">
        <f ca="1">IFERROR(__xludf.DUMMYFUNCTION("""COMPUTED_VALUE""")," MUNICIPALIDAD DE OSORNO ")</f>
        <v xml:space="preserve"> MUNICIPALIDAD DE OSORNO </v>
      </c>
    </row>
    <row r="444" spans="1:24" ht="15.75" customHeight="1" x14ac:dyDescent="0.25">
      <c r="A444" s="16" t="str">
        <f ca="1">IFERROR(__xludf.DUMMYFUNCTION("""COMPUTED_VALUE""")," REGIÓN DE LOS LAGOS ")</f>
        <v xml:space="preserve"> REGIÓN DE LOS LAGOS </v>
      </c>
      <c r="B444" s="16" t="str">
        <f t="shared" ca="1" si="1"/>
        <v xml:space="preserve"> OSORNO </v>
      </c>
      <c r="C444" s="16" t="str">
        <f ca="1">IFERROR(__xludf.DUMMYFUNCTION("""COMPUTED_VALUE""")," MEJORAMIENTOS FERIA DE LA ESPERANZA POR UN FUTURO MEJOR, OSORNO ")</f>
        <v xml:space="preserve"> MEJORAMIENTOS FERIA DE LA ESPERANZA POR UN FUTURO MEJOR, OSORNO </v>
      </c>
      <c r="D444" s="16" t="str">
        <f ca="1">IFERROR(__xludf.DUMMYFUNCTION("""COMPUTED_VALUE""")," 1-C-2023-1857 ")</f>
        <v xml:space="preserve"> 1-C-2023-1857 </v>
      </c>
      <c r="E444" s="16" t="str">
        <f ca="1">IFERROR(__xludf.DUMMYFUNCTION("""COMPUTED_VALUE""")," 100% Girado ")</f>
        <v xml:space="preserve"> 100% Girado </v>
      </c>
      <c r="F444" s="17">
        <f ca="1">IFERROR(__xludf.DUMMYFUNCTION("""COMPUTED_VALUE"""),45464)</f>
        <v>45464</v>
      </c>
      <c r="G444" s="16">
        <f ca="1">IFERROR(__xludf.DUMMYFUNCTION("""COMPUTED_VALUE"""),21862383)</f>
        <v>21862383</v>
      </c>
      <c r="H444" s="16" t="str">
        <f ca="1">IFERROR(__xludf.DUMMYFUNCTION("""COMPUTED_VALUE""")," 100% Girado ")</f>
        <v xml:space="preserve"> 100% Girado </v>
      </c>
      <c r="I444" s="16">
        <f ca="1">IFERROR(__xludf.DUMMYFUNCTION("""COMPUTED_VALUE"""),21862383)</f>
        <v>21862383</v>
      </c>
      <c r="J444" s="83" t="s">
        <v>48</v>
      </c>
      <c r="K444" s="16"/>
      <c r="L444" s="16"/>
      <c r="M444" s="16"/>
      <c r="N444" s="19"/>
      <c r="O444" s="19"/>
      <c r="P444" s="21">
        <f ca="1">IFERROR(__xludf.DUMMYFUNCTION("""COMPUTED_VALUE"""),21862383)</f>
        <v>21862383</v>
      </c>
      <c r="Q444" s="19"/>
      <c r="R444" s="19"/>
      <c r="S444" s="19"/>
      <c r="T444" s="19"/>
      <c r="U444" s="19"/>
      <c r="V444" s="19"/>
      <c r="W444" s="20">
        <f ca="1">IFERROR(__xludf.DUMMYFUNCTION("""COMPUTED_VALUE"""),21862383)</f>
        <v>21862383</v>
      </c>
      <c r="X444" s="20" t="str">
        <f ca="1">IFERROR(__xludf.DUMMYFUNCTION("""COMPUTED_VALUE""")," MUNICIPALIDAD DE OSORNO ")</f>
        <v xml:space="preserve"> MUNICIPALIDAD DE OSORNO </v>
      </c>
    </row>
    <row r="445" spans="1:24" ht="15.75" customHeight="1" x14ac:dyDescent="0.25">
      <c r="A445" s="16" t="str">
        <f ca="1">IFERROR(__xludf.DUMMYFUNCTION("""COMPUTED_VALUE""")," REGIÓN DE LOS LAGOS ")</f>
        <v xml:space="preserve"> REGIÓN DE LOS LAGOS </v>
      </c>
      <c r="B445" s="16" t="str">
        <f t="shared" ca="1" si="1"/>
        <v xml:space="preserve"> PUERTO OCTAY </v>
      </c>
      <c r="C445" s="16" t="str">
        <f ca="1">IFERROR(__xludf.DUMMYFUNCTION("""COMPUTED_VALUE""")," REPOSICIÓN DE ILUMINACIÓN ESTADIO VILLA OCTAY ALTO, COMUNA DE PUERTO OCTAY ")</f>
        <v xml:space="preserve"> REPOSICIÓN DE ILUMINACIÓN ESTADIO VILLA OCTAY ALTO, COMUNA DE PUERTO OCTAY </v>
      </c>
      <c r="D445" s="16" t="str">
        <f ca="1">IFERROR(__xludf.DUMMYFUNCTION("""COMPUTED_VALUE""")," 1-C-2023-2815 ")</f>
        <v xml:space="preserve"> 1-C-2023-2815 </v>
      </c>
      <c r="E445" s="16" t="str">
        <f ca="1">IFERROR(__xludf.DUMMYFUNCTION("""COMPUTED_VALUE""")," 100% Girado ")</f>
        <v xml:space="preserve"> 100% Girado </v>
      </c>
      <c r="F445" s="17">
        <f ca="1">IFERROR(__xludf.DUMMYFUNCTION("""COMPUTED_VALUE"""),45448)</f>
        <v>45448</v>
      </c>
      <c r="G445" s="16">
        <f ca="1">IFERROR(__xludf.DUMMYFUNCTION("""COMPUTED_VALUE"""),153999239)</f>
        <v>153999239</v>
      </c>
      <c r="H445" s="16" t="str">
        <f ca="1">IFERROR(__xludf.DUMMYFUNCTION("""COMPUTED_VALUE""")," 100% Girado ")</f>
        <v xml:space="preserve"> 100% Girado </v>
      </c>
      <c r="I445" s="16">
        <f ca="1">IFERROR(__xludf.DUMMYFUNCTION("""COMPUTED_VALUE"""),153999239)</f>
        <v>153999239</v>
      </c>
      <c r="J445" s="83" t="s">
        <v>48</v>
      </c>
      <c r="K445" s="16"/>
      <c r="L445" s="16"/>
      <c r="M445" s="16"/>
      <c r="N445" s="19"/>
      <c r="O445" s="19"/>
      <c r="P445" s="21">
        <f ca="1">IFERROR(__xludf.DUMMYFUNCTION("""COMPUTED_VALUE"""),153999239)</f>
        <v>153999239</v>
      </c>
      <c r="Q445" s="19"/>
      <c r="R445" s="19"/>
      <c r="S445" s="19"/>
      <c r="T445" s="19"/>
      <c r="U445" s="19"/>
      <c r="V445" s="19"/>
      <c r="W445" s="20">
        <f ca="1">IFERROR(__xludf.DUMMYFUNCTION("""COMPUTED_VALUE"""),153999239)</f>
        <v>153999239</v>
      </c>
      <c r="X445" s="20" t="str">
        <f ca="1">IFERROR(__xludf.DUMMYFUNCTION("""COMPUTED_VALUE""")," MUNICIPALIDAD DE PUERTO OCTAY ")</f>
        <v xml:space="preserve"> MUNICIPALIDAD DE PUERTO OCTAY </v>
      </c>
    </row>
    <row r="446" spans="1:24" ht="15.75" customHeight="1" x14ac:dyDescent="0.25">
      <c r="A446" s="16" t="str">
        <f ca="1">IFERROR(__xludf.DUMMYFUNCTION("""COMPUTED_VALUE""")," REGIÓN DE LOS LAGOS ")</f>
        <v xml:space="preserve"> REGIÓN DE LOS LAGOS </v>
      </c>
      <c r="B446" s="16" t="str">
        <f t="shared" ca="1" si="1"/>
        <v xml:space="preserve"> LLANQUIHUE </v>
      </c>
      <c r="C446" s="16" t="str">
        <f ca="1">IFERROR(__xludf.DUMMYFUNCTION("""COMPUTED_VALUE""")," REPARACION POR BACHEO DIVERSAS CALLES, COMUNA DE LLANQUIHUE ")</f>
        <v xml:space="preserve"> REPARACION POR BACHEO DIVERSAS CALLES, COMUNA DE LLANQUIHUE </v>
      </c>
      <c r="D446" s="16" t="str">
        <f ca="1">IFERROR(__xludf.DUMMYFUNCTION("""COMPUTED_VALUE""")," 1-C-2023-3437 ")</f>
        <v xml:space="preserve"> 1-C-2023-3437 </v>
      </c>
      <c r="E446" s="16" t="str">
        <f ca="1">IFERROR(__xludf.DUMMYFUNCTION("""COMPUTED_VALUE""")," 100% Girado ")</f>
        <v xml:space="preserve"> 100% Girado </v>
      </c>
      <c r="F446" s="17">
        <f ca="1">IFERROR(__xludf.DUMMYFUNCTION("""COMPUTED_VALUE"""),45461)</f>
        <v>45461</v>
      </c>
      <c r="G446" s="16">
        <f ca="1">IFERROR(__xludf.DUMMYFUNCTION("""COMPUTED_VALUE"""),78331401)</f>
        <v>78331401</v>
      </c>
      <c r="H446" s="16" t="str">
        <f ca="1">IFERROR(__xludf.DUMMYFUNCTION("""COMPUTED_VALUE""")," 100% Girado ")</f>
        <v xml:space="preserve"> 100% Girado </v>
      </c>
      <c r="I446" s="16">
        <f ca="1">IFERROR(__xludf.DUMMYFUNCTION("""COMPUTED_VALUE"""),78331401)</f>
        <v>78331401</v>
      </c>
      <c r="J446" s="83" t="s">
        <v>48</v>
      </c>
      <c r="K446" s="16"/>
      <c r="L446" s="16"/>
      <c r="M446" s="16"/>
      <c r="N446" s="19"/>
      <c r="O446" s="19"/>
      <c r="P446" s="21">
        <f ca="1">IFERROR(__xludf.DUMMYFUNCTION("""COMPUTED_VALUE"""),78331401)</f>
        <v>78331401</v>
      </c>
      <c r="Q446" s="19"/>
      <c r="R446" s="19"/>
      <c r="S446" s="19"/>
      <c r="T446" s="19"/>
      <c r="U446" s="19"/>
      <c r="V446" s="19"/>
      <c r="W446" s="20">
        <f ca="1">IFERROR(__xludf.DUMMYFUNCTION("""COMPUTED_VALUE"""),78331401)</f>
        <v>78331401</v>
      </c>
      <c r="X446" s="20" t="str">
        <f ca="1">IFERROR(__xludf.DUMMYFUNCTION("""COMPUTED_VALUE""")," MUNICIPALIDAD DE LLANQUIHUE ")</f>
        <v xml:space="preserve"> MUNICIPALIDAD DE LLANQUIHUE </v>
      </c>
    </row>
    <row r="447" spans="1:24" ht="15.75" customHeight="1" x14ac:dyDescent="0.25">
      <c r="A447" s="16" t="str">
        <f ca="1">IFERROR(__xludf.DUMMYFUNCTION("""COMPUTED_VALUE""")," REGIÓN DE LOS LAGOS ")</f>
        <v xml:space="preserve"> REGIÓN DE LOS LAGOS </v>
      </c>
      <c r="B447" s="16" t="str">
        <f t="shared" ca="1" si="1"/>
        <v xml:space="preserve"> PUERTO VARAS </v>
      </c>
      <c r="C447" s="16" t="str">
        <f ca="1">IFERROR(__xludf.DUMMYFUNCTION("""COMPUTED_VALUE""")," CONSTRUCCION SISTEMA INFILTRACION, MIRADOR DE PUERTO VARAS, COMUNA DE PUERTO VARAS ")</f>
        <v xml:space="preserve"> CONSTRUCCION SISTEMA INFILTRACION, MIRADOR DE PUERTO VARAS, COMUNA DE PUERTO VARAS </v>
      </c>
      <c r="D447" s="16" t="str">
        <f ca="1">IFERROR(__xludf.DUMMYFUNCTION("""COMPUTED_VALUE""")," 1-C-2024-153 ")</f>
        <v xml:space="preserve"> 1-C-2024-153 </v>
      </c>
      <c r="E447" s="16" t="str">
        <f ca="1">IFERROR(__xludf.DUMMYFUNCTION("""COMPUTED_VALUE""")," 100% Girado ")</f>
        <v xml:space="preserve"> 100% Girado </v>
      </c>
      <c r="F447" s="17">
        <f ca="1">IFERROR(__xludf.DUMMYFUNCTION("""COMPUTED_VALUE"""),45464)</f>
        <v>45464</v>
      </c>
      <c r="G447" s="16">
        <f ca="1">IFERROR(__xludf.DUMMYFUNCTION("""COMPUTED_VALUE"""),64680415)</f>
        <v>64680415</v>
      </c>
      <c r="H447" s="16" t="str">
        <f ca="1">IFERROR(__xludf.DUMMYFUNCTION("""COMPUTED_VALUE""")," 100% Girado ")</f>
        <v xml:space="preserve"> 100% Girado </v>
      </c>
      <c r="I447" s="16">
        <f ca="1">IFERROR(__xludf.DUMMYFUNCTION("""COMPUTED_VALUE"""),64680415)</f>
        <v>64680415</v>
      </c>
      <c r="J447" s="83" t="s">
        <v>48</v>
      </c>
      <c r="K447" s="16"/>
      <c r="L447" s="16"/>
      <c r="M447" s="16"/>
      <c r="N447" s="19"/>
      <c r="O447" s="19"/>
      <c r="P447" s="21">
        <f ca="1">IFERROR(__xludf.DUMMYFUNCTION("""COMPUTED_VALUE"""),64680415)</f>
        <v>64680415</v>
      </c>
      <c r="Q447" s="19"/>
      <c r="R447" s="19"/>
      <c r="S447" s="19"/>
      <c r="T447" s="19"/>
      <c r="U447" s="19"/>
      <c r="V447" s="19"/>
      <c r="W447" s="20">
        <f ca="1">IFERROR(__xludf.DUMMYFUNCTION("""COMPUTED_VALUE"""),64680415)</f>
        <v>64680415</v>
      </c>
      <c r="X447" s="20" t="str">
        <f ca="1">IFERROR(__xludf.DUMMYFUNCTION("""COMPUTED_VALUE""")," MUNICIPALIDAD DE PUERTO VARAS ")</f>
        <v xml:space="preserve"> MUNICIPALIDAD DE PUERTO VARAS </v>
      </c>
    </row>
    <row r="448" spans="1:24" ht="15.75" customHeight="1" x14ac:dyDescent="0.25">
      <c r="A448" s="16" t="str">
        <f ca="1">IFERROR(__xludf.DUMMYFUNCTION("""COMPUTED_VALUE""")," REGIÓN METROPOLITANA ")</f>
        <v xml:space="preserve"> REGIÓN METROPOLITANA </v>
      </c>
      <c r="B448" s="16" t="str">
        <f t="shared" ca="1" si="1"/>
        <v xml:space="preserve"> INDEPENDENCIA </v>
      </c>
      <c r="C448" s="16" t="str">
        <f ca="1">IFERROR(__xludf.DUMMYFUNCTION("""COMPUTED_VALUE""")," HABILITACIÓN DE EQUIPOS DE CLIMATIZACIÓN BIBLIOTECA PÚBLICA COMUNAL PABLO NERUDA, COMUNA DE INDEPENDENCIA ")</f>
        <v xml:space="preserve"> HABILITACIÓN DE EQUIPOS DE CLIMATIZACIÓN BIBLIOTECA PÚBLICA COMUNAL PABLO NERUDA, COMUNA DE INDEPENDENCIA </v>
      </c>
      <c r="D448" s="16" t="str">
        <f ca="1">IFERROR(__xludf.DUMMYFUNCTION("""COMPUTED_VALUE""")," 1-C-2022-2051 ")</f>
        <v xml:space="preserve"> 1-C-2022-2051 </v>
      </c>
      <c r="E448" s="16" t="str">
        <f ca="1">IFERROR(__xludf.DUMMYFUNCTION("""COMPUTED_VALUE""")," 100% Girado ")</f>
        <v xml:space="preserve"> 100% Girado </v>
      </c>
      <c r="F448" s="17">
        <f ca="1">IFERROR(__xludf.DUMMYFUNCTION("""COMPUTED_VALUE"""),45448)</f>
        <v>45448</v>
      </c>
      <c r="G448" s="16">
        <f ca="1">IFERROR(__xludf.DUMMYFUNCTION("""COMPUTED_VALUE"""),106643780)</f>
        <v>106643780</v>
      </c>
      <c r="H448" s="16" t="str">
        <f ca="1">IFERROR(__xludf.DUMMYFUNCTION("""COMPUTED_VALUE""")," 100% Girado ")</f>
        <v xml:space="preserve"> 100% Girado </v>
      </c>
      <c r="I448" s="16">
        <f ca="1">IFERROR(__xludf.DUMMYFUNCTION("""COMPUTED_VALUE"""),106643780)</f>
        <v>106643780</v>
      </c>
      <c r="J448" s="83" t="s">
        <v>48</v>
      </c>
      <c r="K448" s="16"/>
      <c r="L448" s="16"/>
      <c r="M448" s="16"/>
      <c r="N448" s="19"/>
      <c r="O448" s="19"/>
      <c r="P448" s="21">
        <f ca="1">IFERROR(__xludf.DUMMYFUNCTION("""COMPUTED_VALUE"""),106643780)</f>
        <v>106643780</v>
      </c>
      <c r="Q448" s="19"/>
      <c r="R448" s="19"/>
      <c r="S448" s="19"/>
      <c r="T448" s="19"/>
      <c r="U448" s="19"/>
      <c r="V448" s="19"/>
      <c r="W448" s="20">
        <f ca="1">IFERROR(__xludf.DUMMYFUNCTION("""COMPUTED_VALUE"""),106643780)</f>
        <v>106643780</v>
      </c>
      <c r="X448" s="20" t="str">
        <f ca="1">IFERROR(__xludf.DUMMYFUNCTION("""COMPUTED_VALUE""")," MUNICIPALIDAD DE INDEPENDENCIA ")</f>
        <v xml:space="preserve"> MUNICIPALIDAD DE INDEPENDENCIA </v>
      </c>
    </row>
    <row r="449" spans="1:24" ht="15.75" customHeight="1" x14ac:dyDescent="0.25">
      <c r="A449" s="16" t="str">
        <f ca="1">IFERROR(__xludf.DUMMYFUNCTION("""COMPUTED_VALUE""")," REGIÓN METROPOLITANA ")</f>
        <v xml:space="preserve"> REGIÓN METROPOLITANA </v>
      </c>
      <c r="B449" s="16" t="str">
        <f t="shared" ca="1" si="1"/>
        <v xml:space="preserve"> MAIPÚ </v>
      </c>
      <c r="C449" s="16" t="str">
        <f ca="1">IFERROR(__xludf.DUMMYFUNCTION("""COMPUTED_VALUE""")," AMPLIACIÓN CENTRO DE CREACIÓN JUVENIL RINCONADA, MAIPÚ ")</f>
        <v xml:space="preserve"> AMPLIACIÓN CENTRO DE CREACIÓN JUVENIL RINCONADA, MAIPÚ </v>
      </c>
      <c r="D449" s="16" t="str">
        <f ca="1">IFERROR(__xludf.DUMMYFUNCTION("""COMPUTED_VALUE""")," 1-C-2023-1761 ")</f>
        <v xml:space="preserve"> 1-C-2023-1761 </v>
      </c>
      <c r="E449" s="16" t="str">
        <f ca="1">IFERROR(__xludf.DUMMYFUNCTION("""COMPUTED_VALUE""")," 100% Girado ")</f>
        <v xml:space="preserve"> 100% Girado </v>
      </c>
      <c r="F449" s="17">
        <f ca="1">IFERROR(__xludf.DUMMYFUNCTION("""COMPUTED_VALUE"""),45464)</f>
        <v>45464</v>
      </c>
      <c r="G449" s="16">
        <f ca="1">IFERROR(__xludf.DUMMYFUNCTION("""COMPUTED_VALUE"""),154348235)</f>
        <v>154348235</v>
      </c>
      <c r="H449" s="16" t="str">
        <f ca="1">IFERROR(__xludf.DUMMYFUNCTION("""COMPUTED_VALUE""")," 100% Girado ")</f>
        <v xml:space="preserve"> 100% Girado </v>
      </c>
      <c r="I449" s="16">
        <f ca="1">IFERROR(__xludf.DUMMYFUNCTION("""COMPUTED_VALUE"""),154348235)</f>
        <v>154348235</v>
      </c>
      <c r="J449" s="83" t="s">
        <v>48</v>
      </c>
      <c r="K449" s="16"/>
      <c r="L449" s="16"/>
      <c r="M449" s="16"/>
      <c r="N449" s="19"/>
      <c r="O449" s="19"/>
      <c r="P449" s="21">
        <f ca="1">IFERROR(__xludf.DUMMYFUNCTION("""COMPUTED_VALUE"""),154348235)</f>
        <v>154348235</v>
      </c>
      <c r="Q449" s="19"/>
      <c r="R449" s="19"/>
      <c r="S449" s="19"/>
      <c r="T449" s="19"/>
      <c r="U449" s="19"/>
      <c r="V449" s="19"/>
      <c r="W449" s="20">
        <f ca="1">IFERROR(__xludf.DUMMYFUNCTION("""COMPUTED_VALUE"""),154348235)</f>
        <v>154348235</v>
      </c>
      <c r="X449" s="20" t="str">
        <f ca="1">IFERROR(__xludf.DUMMYFUNCTION("""COMPUTED_VALUE""")," MUNICIPALIDAD DE MAIPÚ ")</f>
        <v xml:space="preserve"> MUNICIPALIDAD DE MAIPÚ </v>
      </c>
    </row>
    <row r="450" spans="1:24" ht="15.75" customHeight="1" x14ac:dyDescent="0.25">
      <c r="A450" s="16" t="str">
        <f ca="1">IFERROR(__xludf.DUMMYFUNCTION("""COMPUTED_VALUE""")," REGIÓN METROPOLITANA ")</f>
        <v xml:space="preserve"> REGIÓN METROPOLITANA </v>
      </c>
      <c r="B450" s="16" t="str">
        <f t="shared" ca="1" si="1"/>
        <v xml:space="preserve"> PEDRO AGUIRRE CERDA </v>
      </c>
      <c r="C450" s="16" t="str">
        <f ca="1">IFERROR(__xludf.DUMMYFUNCTION("""COMPUTED_VALUE""")," INSTALACIÓN MONOPOSTES DE ILUMINACIÓN DIVERSOS SECTORES DE LA COMUNA DE PEDRO AGUIIRE CERDA. ")</f>
        <v xml:space="preserve"> INSTALACIÓN MONOPOSTES DE ILUMINACIÓN DIVERSOS SECTORES DE LA COMUNA DE PEDRO AGUIIRE CERDA. </v>
      </c>
      <c r="D450" s="16" t="str">
        <f ca="1">IFERROR(__xludf.DUMMYFUNCTION("""COMPUTED_VALUE""")," 1-C-2024-208 ")</f>
        <v xml:space="preserve"> 1-C-2024-208 </v>
      </c>
      <c r="E450" s="16" t="str">
        <f ca="1">IFERROR(__xludf.DUMMYFUNCTION("""COMPUTED_VALUE""")," 100% Girado ")</f>
        <v xml:space="preserve"> 100% Girado </v>
      </c>
      <c r="F450" s="17">
        <f ca="1">IFERROR(__xludf.DUMMYFUNCTION("""COMPUTED_VALUE"""),45448)</f>
        <v>45448</v>
      </c>
      <c r="G450" s="16">
        <f ca="1">IFERROR(__xludf.DUMMYFUNCTION("""COMPUTED_VALUE"""),83179012)</f>
        <v>83179012</v>
      </c>
      <c r="H450" s="16" t="str">
        <f ca="1">IFERROR(__xludf.DUMMYFUNCTION("""COMPUTED_VALUE""")," 100% Girado ")</f>
        <v xml:space="preserve"> 100% Girado </v>
      </c>
      <c r="I450" s="16">
        <f ca="1">IFERROR(__xludf.DUMMYFUNCTION("""COMPUTED_VALUE"""),83179012)</f>
        <v>83179012</v>
      </c>
      <c r="J450" s="83" t="s">
        <v>48</v>
      </c>
      <c r="K450" s="16"/>
      <c r="L450" s="16"/>
      <c r="M450" s="16"/>
      <c r="N450" s="19"/>
      <c r="O450" s="19"/>
      <c r="P450" s="21">
        <f ca="1">IFERROR(__xludf.DUMMYFUNCTION("""COMPUTED_VALUE"""),83179012)</f>
        <v>83179012</v>
      </c>
      <c r="Q450" s="19"/>
      <c r="R450" s="19"/>
      <c r="S450" s="19"/>
      <c r="T450" s="19"/>
      <c r="U450" s="19"/>
      <c r="V450" s="19"/>
      <c r="W450" s="20">
        <f ca="1">IFERROR(__xludf.DUMMYFUNCTION("""COMPUTED_VALUE"""),83179012)</f>
        <v>83179012</v>
      </c>
      <c r="X450" s="20" t="str">
        <f ca="1">IFERROR(__xludf.DUMMYFUNCTION("""COMPUTED_VALUE""")," MUNICIPALIDAD DE PEDRO AGUIRRE CERDA ")</f>
        <v xml:space="preserve"> MUNICIPALIDAD DE PEDRO AGUIRRE CERDA </v>
      </c>
    </row>
    <row r="451" spans="1:24" ht="15.75" customHeight="1" x14ac:dyDescent="0.25">
      <c r="A451" s="16" t="str">
        <f ca="1">IFERROR(__xludf.DUMMYFUNCTION("""COMPUTED_VALUE""")," REGIÓN METROPOLITANA ")</f>
        <v xml:space="preserve"> REGIÓN METROPOLITANA </v>
      </c>
      <c r="B451" s="16" t="str">
        <f t="shared" ca="1" si="1"/>
        <v xml:space="preserve"> ISLA DE MAIPO </v>
      </c>
      <c r="C451" s="16" t="str">
        <f ca="1">IFERROR(__xludf.DUMMYFUNCTION("""COMPUTED_VALUE""")," MEJORAMIENTO MULTICANCHAS ORIENTE Y PONIENTE CALLE ALCADE RAMON JIMENEZ, VILLA BICENTENARIO, COMUNA DE ISLA DE MAIPO. ")</f>
        <v xml:space="preserve"> MEJORAMIENTO MULTICANCHAS ORIENTE Y PONIENTE CALLE ALCADE RAMON JIMENEZ, VILLA BICENTENARIO, COMUNA DE ISLA DE MAIPO. </v>
      </c>
      <c r="D451" s="16" t="str">
        <f ca="1">IFERROR(__xludf.DUMMYFUNCTION("""COMPUTED_VALUE""")," 1-B-2024-100 ")</f>
        <v xml:space="preserve"> 1-B-2024-100 </v>
      </c>
      <c r="E451" s="16" t="str">
        <f ca="1">IFERROR(__xludf.DUMMYFUNCTION("""COMPUTED_VALUE""")," 100% Girado ")</f>
        <v xml:space="preserve"> 100% Girado </v>
      </c>
      <c r="F451" s="17">
        <f ca="1">IFERROR(__xludf.DUMMYFUNCTION("""COMPUTED_VALUE"""),45464)</f>
        <v>45464</v>
      </c>
      <c r="G451" s="16">
        <f ca="1">IFERROR(__xludf.DUMMYFUNCTION("""COMPUTED_VALUE"""),130000000)</f>
        <v>130000000</v>
      </c>
      <c r="H451" s="16" t="str">
        <f ca="1">IFERROR(__xludf.DUMMYFUNCTION("""COMPUTED_VALUE""")," 100% Girado ")</f>
        <v xml:space="preserve"> 100% Girado </v>
      </c>
      <c r="I451" s="16">
        <f ca="1">IFERROR(__xludf.DUMMYFUNCTION("""COMPUTED_VALUE"""),130000000)</f>
        <v>130000000</v>
      </c>
      <c r="J451" s="83" t="s">
        <v>48</v>
      </c>
      <c r="K451" s="16"/>
      <c r="L451" s="16"/>
      <c r="M451" s="16"/>
      <c r="N451" s="19"/>
      <c r="O451" s="19"/>
      <c r="P451" s="21">
        <f ca="1">IFERROR(__xludf.DUMMYFUNCTION("""COMPUTED_VALUE"""),130000000)</f>
        <v>130000000</v>
      </c>
      <c r="Q451" s="19"/>
      <c r="R451" s="19"/>
      <c r="S451" s="19"/>
      <c r="T451" s="19"/>
      <c r="U451" s="19"/>
      <c r="V451" s="19"/>
      <c r="W451" s="20">
        <f ca="1">IFERROR(__xludf.DUMMYFUNCTION("""COMPUTED_VALUE"""),130000000)</f>
        <v>130000000</v>
      </c>
      <c r="X451" s="20" t="str">
        <f ca="1">IFERROR(__xludf.DUMMYFUNCTION("""COMPUTED_VALUE""")," MUNICIPALIDAD DE ISLA DE MAIPO ")</f>
        <v xml:space="preserve"> MUNICIPALIDAD DE ISLA DE MAIPO </v>
      </c>
    </row>
    <row r="452" spans="1:24" ht="15.75" customHeight="1" x14ac:dyDescent="0.25">
      <c r="A452" s="16" t="str">
        <f ca="1">IFERROR(__xludf.DUMMYFUNCTION("""COMPUTED_VALUE""")," REGIÓN DE LOS RÍOS ")</f>
        <v xml:space="preserve"> REGIÓN DE LOS RÍOS </v>
      </c>
      <c r="B452" s="16" t="str">
        <f t="shared" ca="1" si="1"/>
        <v xml:space="preserve"> VALDIVIA </v>
      </c>
      <c r="C452" s="16" t="str">
        <f ca="1">IFERROR(__xludf.DUMMYFUNCTION("""COMPUTED_VALUE""")," [SATE] CONSTRUCCION SEDE SOCIAL JJVV10 HUACHOCOPIHUE, VALDIVIA ")</f>
        <v xml:space="preserve"> [SATE] CONSTRUCCION SEDE SOCIAL JJVV10 HUACHOCOPIHUE, VALDIVIA </v>
      </c>
      <c r="D452" s="16" t="str">
        <f ca="1">IFERROR(__xludf.DUMMYFUNCTION("""COMPUTED_VALUE""")," 1-C-2023-2015 ")</f>
        <v xml:space="preserve"> 1-C-2023-2015 </v>
      </c>
      <c r="E452" s="16" t="str">
        <f ca="1">IFERROR(__xludf.DUMMYFUNCTION("""COMPUTED_VALUE""")," 100% Girado ")</f>
        <v xml:space="preserve"> 100% Girado </v>
      </c>
      <c r="F452" s="17">
        <f ca="1">IFERROR(__xludf.DUMMYFUNCTION("""COMPUTED_VALUE"""),45463)</f>
        <v>45463</v>
      </c>
      <c r="G452" s="16">
        <f ca="1">IFERROR(__xludf.DUMMYFUNCTION("""COMPUTED_VALUE"""),101804832)</f>
        <v>101804832</v>
      </c>
      <c r="H452" s="16" t="str">
        <f ca="1">IFERROR(__xludf.DUMMYFUNCTION("""COMPUTED_VALUE""")," 100% Girado ")</f>
        <v xml:space="preserve"> 100% Girado </v>
      </c>
      <c r="I452" s="16">
        <f ca="1">IFERROR(__xludf.DUMMYFUNCTION("""COMPUTED_VALUE"""),101804832)</f>
        <v>101804832</v>
      </c>
      <c r="J452" s="83" t="s">
        <v>48</v>
      </c>
      <c r="K452" s="16"/>
      <c r="L452" s="16"/>
      <c r="M452" s="16"/>
      <c r="N452" s="19"/>
      <c r="O452" s="19"/>
      <c r="P452" s="21">
        <f ca="1">IFERROR(__xludf.DUMMYFUNCTION("""COMPUTED_VALUE"""),101804832)</f>
        <v>101804832</v>
      </c>
      <c r="Q452" s="19"/>
      <c r="R452" s="19"/>
      <c r="S452" s="19"/>
      <c r="T452" s="19"/>
      <c r="U452" s="19"/>
      <c r="V452" s="19"/>
      <c r="W452" s="20">
        <f ca="1">IFERROR(__xludf.DUMMYFUNCTION("""COMPUTED_VALUE"""),101804832)</f>
        <v>101804832</v>
      </c>
      <c r="X452" s="20" t="str">
        <f ca="1">IFERROR(__xludf.DUMMYFUNCTION("""COMPUTED_VALUE""")," MUNICIPALIDAD DE VALDIVIA ")</f>
        <v xml:space="preserve"> MUNICIPALIDAD DE VALDIVIA </v>
      </c>
    </row>
    <row r="453" spans="1:24" ht="15.75" customHeight="1" x14ac:dyDescent="0.25">
      <c r="A453" s="16" t="str">
        <f ca="1">IFERROR(__xludf.DUMMYFUNCTION("""COMPUTED_VALUE""")," REGIÓN DE ÑUBLE ")</f>
        <v xml:space="preserve"> REGIÓN DE ÑUBLE </v>
      </c>
      <c r="B453" s="16" t="str">
        <f t="shared" ca="1" si="1"/>
        <v xml:space="preserve"> SAN NICOLÁS </v>
      </c>
      <c r="C453" s="16" t="str">
        <f ca="1">IFERROR(__xludf.DUMMYFUNCTION("""COMPUTED_VALUE""")," CONSTRUCCIÓN CENTRO COMUNITARIO PUENTE ÑUBLE, SAN NICOLÁS ")</f>
        <v xml:space="preserve"> CONSTRUCCIÓN CENTRO COMUNITARIO PUENTE ÑUBLE, SAN NICOLÁS </v>
      </c>
      <c r="D453" s="16" t="str">
        <f ca="1">IFERROR(__xludf.DUMMYFUNCTION("""COMPUTED_VALUE""")," 1-C-2023-2449 ")</f>
        <v xml:space="preserve"> 1-C-2023-2449 </v>
      </c>
      <c r="E453" s="16" t="str">
        <f ca="1">IFERROR(__xludf.DUMMYFUNCTION("""COMPUTED_VALUE""")," 100% Girado ")</f>
        <v xml:space="preserve"> 100% Girado </v>
      </c>
      <c r="F453" s="17">
        <f ca="1">IFERROR(__xludf.DUMMYFUNCTION("""COMPUTED_VALUE"""),45464)</f>
        <v>45464</v>
      </c>
      <c r="G453" s="16">
        <f ca="1">IFERROR(__xludf.DUMMYFUNCTION("""COMPUTED_VALUE"""),161114221)</f>
        <v>161114221</v>
      </c>
      <c r="H453" s="16" t="str">
        <f ca="1">IFERROR(__xludf.DUMMYFUNCTION("""COMPUTED_VALUE""")," 100% Girado ")</f>
        <v xml:space="preserve"> 100% Girado </v>
      </c>
      <c r="I453" s="16">
        <f ca="1">IFERROR(__xludf.DUMMYFUNCTION("""COMPUTED_VALUE"""),161114221)</f>
        <v>161114221</v>
      </c>
      <c r="J453" s="83" t="s">
        <v>48</v>
      </c>
      <c r="K453" s="16"/>
      <c r="L453" s="16"/>
      <c r="M453" s="16"/>
      <c r="N453" s="19"/>
      <c r="O453" s="19"/>
      <c r="P453" s="21">
        <f ca="1">IFERROR(__xludf.DUMMYFUNCTION("""COMPUTED_VALUE"""),161114221)</f>
        <v>161114221</v>
      </c>
      <c r="Q453" s="19"/>
      <c r="R453" s="19"/>
      <c r="S453" s="19"/>
      <c r="T453" s="19"/>
      <c r="U453" s="19"/>
      <c r="V453" s="19"/>
      <c r="W453" s="20">
        <f ca="1">IFERROR(__xludf.DUMMYFUNCTION("""COMPUTED_VALUE"""),161114221)</f>
        <v>161114221</v>
      </c>
      <c r="X453" s="20" t="str">
        <f ca="1">IFERROR(__xludf.DUMMYFUNCTION("""COMPUTED_VALUE""")," MUNICIPALIDAD DE SAN NICOLÁS ")</f>
        <v xml:space="preserve"> MUNICIPALIDAD DE SAN NICOLÁS </v>
      </c>
    </row>
    <row r="454" spans="1:24" ht="15.75" customHeight="1" x14ac:dyDescent="0.25">
      <c r="A454" s="16" t="str">
        <f ca="1">IFERROR(__xludf.DUMMYFUNCTION("""COMPUTED_VALUE""")," REGIÓN DE TARAPACÁ ")</f>
        <v xml:space="preserve"> REGIÓN DE TARAPACÁ </v>
      </c>
      <c r="B454" s="16" t="str">
        <f t="shared" ca="1" si="1"/>
        <v xml:space="preserve"> PICA </v>
      </c>
      <c r="C454" s="16" t="str">
        <f ca="1">IFERROR(__xludf.DUMMYFUNCTION("""COMPUTED_VALUE""")," [SATE] AMPLIACIÓN ALUMBRADO PÚBLICO SUYANA ")</f>
        <v xml:space="preserve"> [SATE] AMPLIACIÓN ALUMBRADO PÚBLICO SUYANA </v>
      </c>
      <c r="D454" s="16" t="str">
        <f ca="1">IFERROR(__xludf.DUMMYFUNCTION("""COMPUTED_VALUE""")," 1-C-2023-1080 ")</f>
        <v xml:space="preserve"> 1-C-2023-1080 </v>
      </c>
      <c r="E454" s="16" t="str">
        <f ca="1">IFERROR(__xludf.DUMMYFUNCTION("""COMPUTED_VALUE""")," 100% Girado ")</f>
        <v xml:space="preserve"> 100% Girado </v>
      </c>
      <c r="F454" s="17">
        <f ca="1">IFERROR(__xludf.DUMMYFUNCTION("""COMPUTED_VALUE"""),45497)</f>
        <v>45497</v>
      </c>
      <c r="G454" s="16">
        <f ca="1">IFERROR(__xludf.DUMMYFUNCTION("""COMPUTED_VALUE"""),104489345)</f>
        <v>104489345</v>
      </c>
      <c r="H454" s="16" t="str">
        <f ca="1">IFERROR(__xludf.DUMMYFUNCTION("""COMPUTED_VALUE""")," 100% Girado ")</f>
        <v xml:space="preserve"> 100% Girado </v>
      </c>
      <c r="I454" s="16">
        <f ca="1">IFERROR(__xludf.DUMMYFUNCTION("""COMPUTED_VALUE"""),104489345)</f>
        <v>104489345</v>
      </c>
      <c r="J454" s="83" t="s">
        <v>48</v>
      </c>
      <c r="K454" s="16"/>
      <c r="L454" s="16"/>
      <c r="M454" s="16"/>
      <c r="N454" s="19"/>
      <c r="O454" s="19"/>
      <c r="P454" s="19"/>
      <c r="Q454" s="21">
        <f ca="1">IFERROR(__xludf.DUMMYFUNCTION("""COMPUTED_VALUE"""),104489345)</f>
        <v>104489345</v>
      </c>
      <c r="R454" s="19"/>
      <c r="S454" s="19"/>
      <c r="T454" s="19"/>
      <c r="U454" s="19"/>
      <c r="V454" s="19"/>
      <c r="W454" s="20">
        <f ca="1">IFERROR(__xludf.DUMMYFUNCTION("""COMPUTED_VALUE"""),104489345)</f>
        <v>104489345</v>
      </c>
      <c r="X454" s="20" t="str">
        <f ca="1">IFERROR(__xludf.DUMMYFUNCTION("""COMPUTED_VALUE""")," MUNICIPALIDAD DE PICA ")</f>
        <v xml:space="preserve"> MUNICIPALIDAD DE PICA </v>
      </c>
    </row>
    <row r="455" spans="1:24" ht="15.75" customHeight="1" x14ac:dyDescent="0.25">
      <c r="A455" s="16" t="str">
        <f ca="1">IFERROR(__xludf.DUMMYFUNCTION("""COMPUTED_VALUE""")," REGIÓN DE TARAPACÁ ")</f>
        <v xml:space="preserve"> REGIÓN DE TARAPACÁ </v>
      </c>
      <c r="B455" s="16" t="str">
        <f t="shared" ca="1" si="1"/>
        <v xml:space="preserve"> POZO ALMONTE </v>
      </c>
      <c r="C455" s="16" t="str">
        <f ca="1">IFERROR(__xludf.DUMMYFUNCTION("""COMPUTED_VALUE""")," MEJORAMIENTO PLAZA LOS ALGARROBOS I, POZO ALMONTE ")</f>
        <v xml:space="preserve"> MEJORAMIENTO PLAZA LOS ALGARROBOS I, POZO ALMONTE </v>
      </c>
      <c r="D455" s="16" t="str">
        <f ca="1">IFERROR(__xludf.DUMMYFUNCTION("""COMPUTED_VALUE""")," 1-C-2023-1163 ")</f>
        <v xml:space="preserve"> 1-C-2023-1163 </v>
      </c>
      <c r="E455" s="16" t="str">
        <f ca="1">IFERROR(__xludf.DUMMYFUNCTION("""COMPUTED_VALUE""")," 100% Girado ")</f>
        <v xml:space="preserve"> 100% Girado </v>
      </c>
      <c r="F455" s="17">
        <f ca="1">IFERROR(__xludf.DUMMYFUNCTION("""COMPUTED_VALUE"""),45495)</f>
        <v>45495</v>
      </c>
      <c r="G455" s="16">
        <f ca="1">IFERROR(__xludf.DUMMYFUNCTION("""COMPUTED_VALUE"""),154432256)</f>
        <v>154432256</v>
      </c>
      <c r="H455" s="16" t="str">
        <f ca="1">IFERROR(__xludf.DUMMYFUNCTION("""COMPUTED_VALUE""")," 100% Girado ")</f>
        <v xml:space="preserve"> 100% Girado </v>
      </c>
      <c r="I455" s="16">
        <f ca="1">IFERROR(__xludf.DUMMYFUNCTION("""COMPUTED_VALUE"""),154432256)</f>
        <v>154432256</v>
      </c>
      <c r="J455" s="83" t="s">
        <v>48</v>
      </c>
      <c r="K455" s="16"/>
      <c r="L455" s="16"/>
      <c r="M455" s="16"/>
      <c r="N455" s="19"/>
      <c r="O455" s="19"/>
      <c r="P455" s="19"/>
      <c r="Q455" s="21">
        <f ca="1">IFERROR(__xludf.DUMMYFUNCTION("""COMPUTED_VALUE"""),154432256)</f>
        <v>154432256</v>
      </c>
      <c r="R455" s="19"/>
      <c r="S455" s="19"/>
      <c r="T455" s="19"/>
      <c r="U455" s="19"/>
      <c r="V455" s="19"/>
      <c r="W455" s="20">
        <f ca="1">IFERROR(__xludf.DUMMYFUNCTION("""COMPUTED_VALUE"""),154432256)</f>
        <v>154432256</v>
      </c>
      <c r="X455" s="20" t="str">
        <f ca="1">IFERROR(__xludf.DUMMYFUNCTION("""COMPUTED_VALUE""")," MUNICIPALIDAD DE POZO ALMONTE ")</f>
        <v xml:space="preserve"> MUNICIPALIDAD DE POZO ALMONTE </v>
      </c>
    </row>
    <row r="456" spans="1:24" ht="15.75" customHeight="1" x14ac:dyDescent="0.25">
      <c r="A456" s="16" t="str">
        <f ca="1">IFERROR(__xludf.DUMMYFUNCTION("""COMPUTED_VALUE""")," REGIÓN DE TARAPACÁ ")</f>
        <v xml:space="preserve"> REGIÓN DE TARAPACÁ </v>
      </c>
      <c r="B456" s="16" t="str">
        <f t="shared" ca="1" si="1"/>
        <v xml:space="preserve"> POZO ALMONTE </v>
      </c>
      <c r="C456" s="16" t="str">
        <f ca="1">IFERROR(__xludf.DUMMYFUNCTION("""COMPUTED_VALUE""")," AMPLIACION SEDE LOS TAMARUGOS, POZO ALMONTE ")</f>
        <v xml:space="preserve"> AMPLIACION SEDE LOS TAMARUGOS, POZO ALMONTE </v>
      </c>
      <c r="D456" s="16" t="str">
        <f ca="1">IFERROR(__xludf.DUMMYFUNCTION("""COMPUTED_VALUE""")," 1-C-2023-1583 ")</f>
        <v xml:space="preserve"> 1-C-2023-1583 </v>
      </c>
      <c r="E456" s="16" t="str">
        <f ca="1">IFERROR(__xludf.DUMMYFUNCTION("""COMPUTED_VALUE""")," 100% Girado ")</f>
        <v xml:space="preserve"> 100% Girado </v>
      </c>
      <c r="F456" s="17">
        <f ca="1">IFERROR(__xludf.DUMMYFUNCTION("""COMPUTED_VALUE"""),45495)</f>
        <v>45495</v>
      </c>
      <c r="G456" s="16">
        <f ca="1">IFERROR(__xludf.DUMMYFUNCTION("""COMPUTED_VALUE"""),41257901)</f>
        <v>41257901</v>
      </c>
      <c r="H456" s="16" t="str">
        <f ca="1">IFERROR(__xludf.DUMMYFUNCTION("""COMPUTED_VALUE""")," 100% Girado ")</f>
        <v xml:space="preserve"> 100% Girado </v>
      </c>
      <c r="I456" s="16">
        <f ca="1">IFERROR(__xludf.DUMMYFUNCTION("""COMPUTED_VALUE"""),41257901)</f>
        <v>41257901</v>
      </c>
      <c r="J456" s="83" t="s">
        <v>48</v>
      </c>
      <c r="K456" s="16"/>
      <c r="L456" s="16"/>
      <c r="M456" s="16"/>
      <c r="N456" s="19"/>
      <c r="O456" s="19"/>
      <c r="P456" s="19"/>
      <c r="Q456" s="21">
        <f ca="1">IFERROR(__xludf.DUMMYFUNCTION("""COMPUTED_VALUE"""),41257901)</f>
        <v>41257901</v>
      </c>
      <c r="R456" s="19"/>
      <c r="S456" s="19"/>
      <c r="T456" s="19"/>
      <c r="U456" s="19"/>
      <c r="V456" s="19"/>
      <c r="W456" s="20">
        <f ca="1">IFERROR(__xludf.DUMMYFUNCTION("""COMPUTED_VALUE"""),41257901)</f>
        <v>41257901</v>
      </c>
      <c r="X456" s="20" t="str">
        <f ca="1">IFERROR(__xludf.DUMMYFUNCTION("""COMPUTED_VALUE""")," MUNICIPALIDAD DE POZO ALMONTE ")</f>
        <v xml:space="preserve"> MUNICIPALIDAD DE POZO ALMONTE </v>
      </c>
    </row>
    <row r="457" spans="1:24" ht="15.75" customHeight="1" x14ac:dyDescent="0.25">
      <c r="A457" s="16" t="str">
        <f ca="1">IFERROR(__xludf.DUMMYFUNCTION("""COMPUTED_VALUE""")," REGIÓN DE TARAPACÁ ")</f>
        <v xml:space="preserve"> REGIÓN DE TARAPACÁ </v>
      </c>
      <c r="B457" s="16" t="str">
        <f t="shared" ca="1" si="1"/>
        <v xml:space="preserve"> POZO ALMONTE </v>
      </c>
      <c r="C457" s="16" t="str">
        <f ca="1">IFERROR(__xludf.DUMMYFUNCTION("""COMPUTED_VALUE""")," CONSTRUCCION PLAZA SOL NACIENTE II, POZO ALMONTE ")</f>
        <v xml:space="preserve"> CONSTRUCCION PLAZA SOL NACIENTE II, POZO ALMONTE </v>
      </c>
      <c r="D457" s="16" t="str">
        <f ca="1">IFERROR(__xludf.DUMMYFUNCTION("""COMPUTED_VALUE""")," 1-C-2023-2128 ")</f>
        <v xml:space="preserve"> 1-C-2023-2128 </v>
      </c>
      <c r="E457" s="16" t="str">
        <f ca="1">IFERROR(__xludf.DUMMYFUNCTION("""COMPUTED_VALUE""")," 100% Girado ")</f>
        <v xml:space="preserve"> 100% Girado </v>
      </c>
      <c r="F457" s="17">
        <f ca="1">IFERROR(__xludf.DUMMYFUNCTION("""COMPUTED_VALUE"""),45495)</f>
        <v>45495</v>
      </c>
      <c r="G457" s="16">
        <f ca="1">IFERROR(__xludf.DUMMYFUNCTION("""COMPUTED_VALUE"""),154412676)</f>
        <v>154412676</v>
      </c>
      <c r="H457" s="16" t="str">
        <f ca="1">IFERROR(__xludf.DUMMYFUNCTION("""COMPUTED_VALUE""")," 100% Girado ")</f>
        <v xml:space="preserve"> 100% Girado </v>
      </c>
      <c r="I457" s="16">
        <f ca="1">IFERROR(__xludf.DUMMYFUNCTION("""COMPUTED_VALUE"""),154412676)</f>
        <v>154412676</v>
      </c>
      <c r="J457" s="83" t="s">
        <v>48</v>
      </c>
      <c r="K457" s="16"/>
      <c r="L457" s="16"/>
      <c r="M457" s="16"/>
      <c r="N457" s="19"/>
      <c r="O457" s="19"/>
      <c r="P457" s="19"/>
      <c r="Q457" s="21">
        <f ca="1">IFERROR(__xludf.DUMMYFUNCTION("""COMPUTED_VALUE"""),154412676)</f>
        <v>154412676</v>
      </c>
      <c r="R457" s="19"/>
      <c r="S457" s="19"/>
      <c r="T457" s="19"/>
      <c r="U457" s="19"/>
      <c r="V457" s="19"/>
      <c r="W457" s="20">
        <f ca="1">IFERROR(__xludf.DUMMYFUNCTION("""COMPUTED_VALUE"""),154412676)</f>
        <v>154412676</v>
      </c>
      <c r="X457" s="20" t="str">
        <f ca="1">IFERROR(__xludf.DUMMYFUNCTION("""COMPUTED_VALUE""")," MUNICIPALIDAD DE POZO ALMONTE ")</f>
        <v xml:space="preserve"> MUNICIPALIDAD DE POZO ALMONTE </v>
      </c>
    </row>
    <row r="458" spans="1:24" ht="15.75" customHeight="1" x14ac:dyDescent="0.25">
      <c r="A458" s="16" t="str">
        <f ca="1">IFERROR(__xludf.DUMMYFUNCTION("""COMPUTED_VALUE""")," REGIÓN DE TARAPACÁ ")</f>
        <v xml:space="preserve"> REGIÓN DE TARAPACÁ </v>
      </c>
      <c r="B458" s="16" t="str">
        <f t="shared" ca="1" si="1"/>
        <v xml:space="preserve"> POZO ALMONTE </v>
      </c>
      <c r="C458" s="16" t="str">
        <f ca="1">IFERROR(__xludf.DUMMYFUNCTION("""COMPUTED_VALUE""")," MEJORAMIENTO SEDE SOCIAL J.V. N° 11 LAS QUINTAS, POZO ALMONTE. ")</f>
        <v xml:space="preserve"> MEJORAMIENTO SEDE SOCIAL J.V. N° 11 LAS QUINTAS, POZO ALMONTE. </v>
      </c>
      <c r="D458" s="16" t="str">
        <f ca="1">IFERROR(__xludf.DUMMYFUNCTION("""COMPUTED_VALUE""")," 1-C-2024-68 ")</f>
        <v xml:space="preserve"> 1-C-2024-68 </v>
      </c>
      <c r="E458" s="16" t="str">
        <f ca="1">IFERROR(__xludf.DUMMYFUNCTION("""COMPUTED_VALUE""")," 100% Girado ")</f>
        <v xml:space="preserve"> 100% Girado </v>
      </c>
      <c r="F458" s="17">
        <f ca="1">IFERROR(__xludf.DUMMYFUNCTION("""COMPUTED_VALUE"""),45495)</f>
        <v>45495</v>
      </c>
      <c r="G458" s="16">
        <f ca="1">IFERROR(__xludf.DUMMYFUNCTION("""COMPUTED_VALUE"""),156829772)</f>
        <v>156829772</v>
      </c>
      <c r="H458" s="16" t="str">
        <f ca="1">IFERROR(__xludf.DUMMYFUNCTION("""COMPUTED_VALUE""")," 100% Girado ")</f>
        <v xml:space="preserve"> 100% Girado </v>
      </c>
      <c r="I458" s="16">
        <f ca="1">IFERROR(__xludf.DUMMYFUNCTION("""COMPUTED_VALUE"""),156829772)</f>
        <v>156829772</v>
      </c>
      <c r="J458" s="83" t="s">
        <v>48</v>
      </c>
      <c r="K458" s="16"/>
      <c r="L458" s="16"/>
      <c r="M458" s="16"/>
      <c r="N458" s="19"/>
      <c r="O458" s="19"/>
      <c r="P458" s="19"/>
      <c r="Q458" s="21">
        <f ca="1">IFERROR(__xludf.DUMMYFUNCTION("""COMPUTED_VALUE"""),156829772)</f>
        <v>156829772</v>
      </c>
      <c r="R458" s="19"/>
      <c r="S458" s="19"/>
      <c r="T458" s="19"/>
      <c r="U458" s="19"/>
      <c r="V458" s="19"/>
      <c r="W458" s="20">
        <f ca="1">IFERROR(__xludf.DUMMYFUNCTION("""COMPUTED_VALUE"""),156829772)</f>
        <v>156829772</v>
      </c>
      <c r="X458" s="20" t="str">
        <f ca="1">IFERROR(__xludf.DUMMYFUNCTION("""COMPUTED_VALUE""")," MUNICIPALIDAD DE POZO ALMONTE ")</f>
        <v xml:space="preserve"> MUNICIPALIDAD DE POZO ALMONTE </v>
      </c>
    </row>
    <row r="459" spans="1:24" ht="15.75" customHeight="1" x14ac:dyDescent="0.25">
      <c r="A459" s="16" t="str">
        <f ca="1">IFERROR(__xludf.DUMMYFUNCTION("""COMPUTED_VALUE""")," REGIÓN DE TARAPACÁ ")</f>
        <v xml:space="preserve"> REGIÓN DE TARAPACÁ </v>
      </c>
      <c r="B459" s="16" t="str">
        <f t="shared" ca="1" si="1"/>
        <v xml:space="preserve"> POZO ALMONTE </v>
      </c>
      <c r="C459" s="16" t="str">
        <f ca="1">IFERROR(__xludf.DUMMYFUNCTION("""COMPUTED_VALUE""")," MEJORAMIENTO SEDE SOCIAL JJ.VV. N° 12 LAS DUNAS, POZO ALMONTE.. ")</f>
        <v xml:space="preserve"> MEJORAMIENTO SEDE SOCIAL JJ.VV. N° 12 LAS DUNAS, POZO ALMONTE.. </v>
      </c>
      <c r="D459" s="16" t="str">
        <f ca="1">IFERROR(__xludf.DUMMYFUNCTION("""COMPUTED_VALUE""")," 1-C-2024-148 ")</f>
        <v xml:space="preserve"> 1-C-2024-148 </v>
      </c>
      <c r="E459" s="16" t="str">
        <f ca="1">IFERROR(__xludf.DUMMYFUNCTION("""COMPUTED_VALUE""")," 100% Girado ")</f>
        <v xml:space="preserve"> 100% Girado </v>
      </c>
      <c r="F459" s="17">
        <f ca="1">IFERROR(__xludf.DUMMYFUNCTION("""COMPUTED_VALUE"""),45495)</f>
        <v>45495</v>
      </c>
      <c r="G459" s="16">
        <f ca="1">IFERROR(__xludf.DUMMYFUNCTION("""COMPUTED_VALUE"""),146195398)</f>
        <v>146195398</v>
      </c>
      <c r="H459" s="16" t="str">
        <f ca="1">IFERROR(__xludf.DUMMYFUNCTION("""COMPUTED_VALUE""")," 100% Girado ")</f>
        <v xml:space="preserve"> 100% Girado </v>
      </c>
      <c r="I459" s="16">
        <f ca="1">IFERROR(__xludf.DUMMYFUNCTION("""COMPUTED_VALUE"""),146195398)</f>
        <v>146195398</v>
      </c>
      <c r="J459" s="83" t="s">
        <v>48</v>
      </c>
      <c r="K459" s="16"/>
      <c r="L459" s="16"/>
      <c r="M459" s="16"/>
      <c r="N459" s="19"/>
      <c r="O459" s="19"/>
      <c r="P459" s="19"/>
      <c r="Q459" s="21">
        <f ca="1">IFERROR(__xludf.DUMMYFUNCTION("""COMPUTED_VALUE"""),146195398)</f>
        <v>146195398</v>
      </c>
      <c r="R459" s="19"/>
      <c r="S459" s="19"/>
      <c r="T459" s="19"/>
      <c r="U459" s="19"/>
      <c r="V459" s="19"/>
      <c r="W459" s="20">
        <f ca="1">IFERROR(__xludf.DUMMYFUNCTION("""COMPUTED_VALUE"""),146195398)</f>
        <v>146195398</v>
      </c>
      <c r="X459" s="20" t="str">
        <f ca="1">IFERROR(__xludf.DUMMYFUNCTION("""COMPUTED_VALUE""")," MUNICIPALIDAD DE POZO ALMONTE ")</f>
        <v xml:space="preserve"> MUNICIPALIDAD DE POZO ALMONTE </v>
      </c>
    </row>
    <row r="460" spans="1:24" ht="15.75" customHeight="1" x14ac:dyDescent="0.25">
      <c r="A460" s="16" t="str">
        <f ca="1">IFERROR(__xludf.DUMMYFUNCTION("""COMPUTED_VALUE""")," REGIÓN DE ATACAMA ")</f>
        <v xml:space="preserve"> REGIÓN DE ATACAMA </v>
      </c>
      <c r="B460" s="16" t="str">
        <f t="shared" ca="1" si="1"/>
        <v xml:space="preserve"> DIEGO DE ALMAGRO </v>
      </c>
      <c r="C460" s="16" t="str">
        <f ca="1">IFERROR(__xludf.DUMMYFUNCTION("""COMPUTED_VALUE""")," REPOSICION VEREDAS AVDA. JUAN MARTINEZ ENTRE CALLE A. PRAT Y CALLE CHAÑARAL, DIEGO DE ALMAGRO ")</f>
        <v xml:space="preserve"> REPOSICION VEREDAS AVDA. JUAN MARTINEZ ENTRE CALLE A. PRAT Y CALLE CHAÑARAL, DIEGO DE ALMAGRO </v>
      </c>
      <c r="D460" s="16" t="str">
        <f ca="1">IFERROR(__xludf.DUMMYFUNCTION("""COMPUTED_VALUE""")," 1-C-2023-1023 ")</f>
        <v xml:space="preserve"> 1-C-2023-1023 </v>
      </c>
      <c r="E460" s="16" t="str">
        <f ca="1">IFERROR(__xludf.DUMMYFUNCTION("""COMPUTED_VALUE""")," 100% Girado ")</f>
        <v xml:space="preserve"> 100% Girado </v>
      </c>
      <c r="F460" s="17">
        <f ca="1">IFERROR(__xludf.DUMMYFUNCTION("""COMPUTED_VALUE"""),45478)</f>
        <v>45478</v>
      </c>
      <c r="G460" s="16">
        <f ca="1">IFERROR(__xludf.DUMMYFUNCTION("""COMPUTED_VALUE"""),99678671)</f>
        <v>99678671</v>
      </c>
      <c r="H460" s="16" t="str">
        <f ca="1">IFERROR(__xludf.DUMMYFUNCTION("""COMPUTED_VALUE""")," 100% Girado ")</f>
        <v xml:space="preserve"> 100% Girado </v>
      </c>
      <c r="I460" s="16">
        <f ca="1">IFERROR(__xludf.DUMMYFUNCTION("""COMPUTED_VALUE"""),99678671)</f>
        <v>99678671</v>
      </c>
      <c r="J460" s="83" t="s">
        <v>48</v>
      </c>
      <c r="K460" s="16"/>
      <c r="L460" s="16"/>
      <c r="M460" s="16"/>
      <c r="N460" s="19"/>
      <c r="O460" s="19"/>
      <c r="P460" s="19"/>
      <c r="Q460" s="21">
        <f ca="1">IFERROR(__xludf.DUMMYFUNCTION("""COMPUTED_VALUE"""),99678671)</f>
        <v>99678671</v>
      </c>
      <c r="R460" s="19"/>
      <c r="S460" s="19"/>
      <c r="T460" s="19"/>
      <c r="U460" s="19"/>
      <c r="V460" s="19"/>
      <c r="W460" s="20">
        <f ca="1">IFERROR(__xludf.DUMMYFUNCTION("""COMPUTED_VALUE"""),99678671)</f>
        <v>99678671</v>
      </c>
      <c r="X460" s="20" t="str">
        <f ca="1">IFERROR(__xludf.DUMMYFUNCTION("""COMPUTED_VALUE""")," MUNICIPALIDAD DE DIEGO DE ALMAGRO ")</f>
        <v xml:space="preserve"> MUNICIPALIDAD DE DIEGO DE ALMAGRO </v>
      </c>
    </row>
    <row r="461" spans="1:24" ht="15.75" customHeight="1" x14ac:dyDescent="0.25">
      <c r="A461" s="16" t="str">
        <f ca="1">IFERROR(__xludf.DUMMYFUNCTION("""COMPUTED_VALUE""")," REGIÓN DE COQUIMBO ")</f>
        <v xml:space="preserve"> REGIÓN DE COQUIMBO </v>
      </c>
      <c r="B461" s="16" t="str">
        <f t="shared" ca="1" si="1"/>
        <v xml:space="preserve"> MONTE PATRIA </v>
      </c>
      <c r="C461" s="16" t="str">
        <f ca="1">IFERROR(__xludf.DUMMYFUNCTION("""COMPUTED_VALUE""")," HABILITACION CEMENTERIO MUNICIPAL MONTE PATRIA ")</f>
        <v xml:space="preserve"> HABILITACION CEMENTERIO MUNICIPAL MONTE PATRIA </v>
      </c>
      <c r="D461" s="16" t="str">
        <f ca="1">IFERROR(__xludf.DUMMYFUNCTION("""COMPUTED_VALUE""")," 1-C-2023-3015 ")</f>
        <v xml:space="preserve"> 1-C-2023-3015 </v>
      </c>
      <c r="E461" s="16" t="str">
        <f ca="1">IFERROR(__xludf.DUMMYFUNCTION("""COMPUTED_VALUE""")," Con Giro por Anticipo ")</f>
        <v xml:space="preserve"> Con Giro por Anticipo </v>
      </c>
      <c r="F461" s="17">
        <f ca="1">IFERROR(__xludf.DUMMYFUNCTION("""COMPUTED_VALUE"""),45491)</f>
        <v>45491</v>
      </c>
      <c r="G461" s="16">
        <f ca="1">IFERROR(__xludf.DUMMYFUNCTION("""COMPUTED_VALUE"""),626955644)</f>
        <v>626955644</v>
      </c>
      <c r="H461" s="16" t="str">
        <f ca="1">IFERROR(__xludf.DUMMYFUNCTION("""COMPUTED_VALUE""")," Con Giro por Anticipo ")</f>
        <v xml:space="preserve"> Con Giro por Anticipo </v>
      </c>
      <c r="I461" s="16">
        <f ca="1">IFERROR(__xludf.DUMMYFUNCTION("""COMPUTED_VALUE"""),62695564)</f>
        <v>62695564</v>
      </c>
      <c r="J461" s="83" t="s">
        <v>48</v>
      </c>
      <c r="K461" s="16"/>
      <c r="L461" s="16"/>
      <c r="M461" s="16"/>
      <c r="N461" s="19"/>
      <c r="O461" s="19"/>
      <c r="P461" s="19"/>
      <c r="Q461" s="21">
        <f ca="1">IFERROR(__xludf.DUMMYFUNCTION("""COMPUTED_VALUE"""),62695564)</f>
        <v>62695564</v>
      </c>
      <c r="R461" s="19"/>
      <c r="S461" s="19"/>
      <c r="T461" s="19"/>
      <c r="U461" s="19"/>
      <c r="V461" s="19"/>
      <c r="W461" s="20">
        <f ca="1">IFERROR(__xludf.DUMMYFUNCTION("""COMPUTED_VALUE"""),62695564)</f>
        <v>62695564</v>
      </c>
      <c r="X461" s="20" t="str">
        <f ca="1">IFERROR(__xludf.DUMMYFUNCTION("""COMPUTED_VALUE""")," MUNICIPALIDAD DE MONTE PATRIA ")</f>
        <v xml:space="preserve"> MUNICIPALIDAD DE MONTE PATRIA </v>
      </c>
    </row>
    <row r="462" spans="1:24" ht="15.75" customHeight="1" x14ac:dyDescent="0.25">
      <c r="A462" s="16" t="str">
        <f ca="1">IFERROR(__xludf.DUMMYFUNCTION("""COMPUTED_VALUE""")," REGIÓN DE VALPARAÍSO ")</f>
        <v xml:space="preserve"> REGIÓN DE VALPARAÍSO </v>
      </c>
      <c r="B462" s="16" t="str">
        <f t="shared" ca="1" si="1"/>
        <v xml:space="preserve"> CASABLANCA </v>
      </c>
      <c r="C462" s="16" t="str">
        <f ca="1">IFERROR(__xludf.DUMMYFUNCTION("""COMPUTED_VALUE""")," MEJORAMIENTO ACCESIBILIDAD UNIVERSAL CENTRO CULTURAL CASABLANCA ")</f>
        <v xml:space="preserve"> MEJORAMIENTO ACCESIBILIDAD UNIVERSAL CENTRO CULTURAL CASABLANCA </v>
      </c>
      <c r="D462" s="16" t="str">
        <f ca="1">IFERROR(__xludf.DUMMYFUNCTION("""COMPUTED_VALUE""")," 1-C-2022-2387 ")</f>
        <v xml:space="preserve"> 1-C-2022-2387 </v>
      </c>
      <c r="E462" s="16" t="str">
        <f ca="1">IFERROR(__xludf.DUMMYFUNCTION("""COMPUTED_VALUE""")," 100% Girado ")</f>
        <v xml:space="preserve"> 100% Girado </v>
      </c>
      <c r="F462" s="17">
        <f ca="1">IFERROR(__xludf.DUMMYFUNCTION("""COMPUTED_VALUE"""),45497)</f>
        <v>45497</v>
      </c>
      <c r="G462" s="16">
        <f ca="1">IFERROR(__xludf.DUMMYFUNCTION("""COMPUTED_VALUE"""),80175288)</f>
        <v>80175288</v>
      </c>
      <c r="H462" s="16" t="str">
        <f ca="1">IFERROR(__xludf.DUMMYFUNCTION("""COMPUTED_VALUE""")," 100% Girado ")</f>
        <v xml:space="preserve"> 100% Girado </v>
      </c>
      <c r="I462" s="16">
        <f ca="1">IFERROR(__xludf.DUMMYFUNCTION("""COMPUTED_VALUE"""),80175288)</f>
        <v>80175288</v>
      </c>
      <c r="J462" s="83" t="s">
        <v>48</v>
      </c>
      <c r="K462" s="16"/>
      <c r="L462" s="16"/>
      <c r="M462" s="16"/>
      <c r="N462" s="19"/>
      <c r="O462" s="19"/>
      <c r="P462" s="19"/>
      <c r="Q462" s="21">
        <f ca="1">IFERROR(__xludf.DUMMYFUNCTION("""COMPUTED_VALUE"""),80175288)</f>
        <v>80175288</v>
      </c>
      <c r="R462" s="19"/>
      <c r="S462" s="19"/>
      <c r="T462" s="19"/>
      <c r="U462" s="19"/>
      <c r="V462" s="19"/>
      <c r="W462" s="20">
        <f ca="1">IFERROR(__xludf.DUMMYFUNCTION("""COMPUTED_VALUE"""),80175288)</f>
        <v>80175288</v>
      </c>
      <c r="X462" s="20" t="str">
        <f ca="1">IFERROR(__xludf.DUMMYFUNCTION("""COMPUTED_VALUE""")," MUNICIPALIDAD DE CASABLANCA ")</f>
        <v xml:space="preserve"> MUNICIPALIDAD DE CASABLANCA </v>
      </c>
    </row>
    <row r="463" spans="1:24" ht="15.75" customHeight="1" x14ac:dyDescent="0.25">
      <c r="A463" s="16" t="str">
        <f ca="1">IFERROR(__xludf.DUMMYFUNCTION("""COMPUTED_VALUE""")," REGIÓN DE VALPARAÍSO ")</f>
        <v xml:space="preserve"> REGIÓN DE VALPARAÍSO </v>
      </c>
      <c r="B463" s="16" t="str">
        <f t="shared" ca="1" si="1"/>
        <v xml:space="preserve"> VALPARAÍSO </v>
      </c>
      <c r="C463" s="16" t="str">
        <f ca="1">IFERROR(__xludf.DUMMYFUNCTION("""COMPUTED_VALUE""")," CSV REPOSICIÓN SISTEMA DE ILUMINACIÓN AUDITORIO OSMAN PEREZ FREIRE ")</f>
        <v xml:space="preserve"> CSV REPOSICIÓN SISTEMA DE ILUMINACIÓN AUDITORIO OSMAN PEREZ FREIRE </v>
      </c>
      <c r="D463" s="16" t="str">
        <f ca="1">IFERROR(__xludf.DUMMYFUNCTION("""COMPUTED_VALUE""")," 1-C-2023-2306 ")</f>
        <v xml:space="preserve"> 1-C-2023-2306 </v>
      </c>
      <c r="E463" s="16" t="str">
        <f ca="1">IFERROR(__xludf.DUMMYFUNCTION("""COMPUTED_VALUE""")," 100% Girado ")</f>
        <v xml:space="preserve"> 100% Girado </v>
      </c>
      <c r="F463" s="17">
        <f ca="1">IFERROR(__xludf.DUMMYFUNCTION("""COMPUTED_VALUE"""),45491)</f>
        <v>45491</v>
      </c>
      <c r="G463" s="16">
        <f ca="1">IFERROR(__xludf.DUMMYFUNCTION("""COMPUTED_VALUE"""),150099707)</f>
        <v>150099707</v>
      </c>
      <c r="H463" s="16" t="str">
        <f ca="1">IFERROR(__xludf.DUMMYFUNCTION("""COMPUTED_VALUE""")," 100% Girado ")</f>
        <v xml:space="preserve"> 100% Girado </v>
      </c>
      <c r="I463" s="16">
        <f ca="1">IFERROR(__xludf.DUMMYFUNCTION("""COMPUTED_VALUE"""),150099707)</f>
        <v>150099707</v>
      </c>
      <c r="J463" s="83" t="s">
        <v>48</v>
      </c>
      <c r="K463" s="16"/>
      <c r="L463" s="16"/>
      <c r="M463" s="16"/>
      <c r="N463" s="19"/>
      <c r="O463" s="19"/>
      <c r="P463" s="19"/>
      <c r="Q463" s="21">
        <f ca="1">IFERROR(__xludf.DUMMYFUNCTION("""COMPUTED_VALUE"""),150099707)</f>
        <v>150099707</v>
      </c>
      <c r="R463" s="19"/>
      <c r="S463" s="19"/>
      <c r="T463" s="19"/>
      <c r="U463" s="19"/>
      <c r="V463" s="19"/>
      <c r="W463" s="20">
        <f ca="1">IFERROR(__xludf.DUMMYFUNCTION("""COMPUTED_VALUE"""),150099707)</f>
        <v>150099707</v>
      </c>
      <c r="X463" s="20" t="str">
        <f ca="1">IFERROR(__xludf.DUMMYFUNCTION("""COMPUTED_VALUE""")," MUNICIPALIDAD DE VALPARAÍSO ")</f>
        <v xml:space="preserve"> MUNICIPALIDAD DE VALPARAÍSO </v>
      </c>
    </row>
    <row r="464" spans="1:24" ht="15.75" customHeight="1" x14ac:dyDescent="0.25">
      <c r="A464" s="16" t="str">
        <f ca="1">IFERROR(__xludf.DUMMYFUNCTION("""COMPUTED_VALUE""")," REGIÓN DEL LIBERTADOR GENERAL BERNARDO O’HIGGINS ")</f>
        <v xml:space="preserve"> REGIÓN DEL LIBERTADOR GENERAL BERNARDO O’HIGGINS </v>
      </c>
      <c r="B464" s="16" t="str">
        <f t="shared" ca="1" si="1"/>
        <v xml:space="preserve"> MARCHIHUE </v>
      </c>
      <c r="C464" s="16" t="str">
        <f ca="1">IFERROR(__xludf.DUMMYFUNCTION("""COMPUTED_VALUE""")," MEJORAMIENTO ESPACIO PUBLICO RINCONADA DE ALCONES, MARCHIGUE ")</f>
        <v xml:space="preserve"> MEJORAMIENTO ESPACIO PUBLICO RINCONADA DE ALCONES, MARCHIGUE </v>
      </c>
      <c r="D464" s="16" t="str">
        <f ca="1">IFERROR(__xludf.DUMMYFUNCTION("""COMPUTED_VALUE""")," 1-C-2021-486 ")</f>
        <v xml:space="preserve"> 1-C-2021-486 </v>
      </c>
      <c r="E464" s="16" t="str">
        <f ca="1">IFERROR(__xludf.DUMMYFUNCTION("""COMPUTED_VALUE""")," En Ejecución ")</f>
        <v xml:space="preserve"> En Ejecución </v>
      </c>
      <c r="F464" s="17">
        <f ca="1">IFERROR(__xludf.DUMMYFUNCTION("""COMPUTED_VALUE"""),44560)</f>
        <v>44560</v>
      </c>
      <c r="G464" s="16">
        <f ca="1">IFERROR(__xludf.DUMMYFUNCTION("""COMPUTED_VALUE"""),74999999)</f>
        <v>74999999</v>
      </c>
      <c r="H464" s="16" t="str">
        <f ca="1">IFERROR(__xludf.DUMMYFUNCTION("""COMPUTED_VALUE""")," En Ejecución ")</f>
        <v xml:space="preserve"> En Ejecución </v>
      </c>
      <c r="I464" s="16">
        <f ca="1">IFERROR(__xludf.DUMMYFUNCTION("""COMPUTED_VALUE"""),14996577)</f>
        <v>14996577</v>
      </c>
      <c r="J464" s="83" t="s">
        <v>48</v>
      </c>
      <c r="K464" s="16"/>
      <c r="L464" s="16"/>
      <c r="M464" s="16"/>
      <c r="N464" s="19"/>
      <c r="O464" s="19"/>
      <c r="P464" s="19"/>
      <c r="Q464" s="21">
        <f ca="1">IFERROR(__xludf.DUMMYFUNCTION("""COMPUTED_VALUE"""),14996577)</f>
        <v>14996577</v>
      </c>
      <c r="R464" s="19"/>
      <c r="S464" s="19"/>
      <c r="T464" s="19"/>
      <c r="U464" s="19"/>
      <c r="V464" s="19"/>
      <c r="W464" s="20">
        <f ca="1">IFERROR(__xludf.DUMMYFUNCTION("""COMPUTED_VALUE"""),14996577)</f>
        <v>14996577</v>
      </c>
      <c r="X464" s="20" t="str">
        <f ca="1">IFERROR(__xludf.DUMMYFUNCTION("""COMPUTED_VALUE""")," MUNICIPALIDAD DE MARCHIHUE ")</f>
        <v xml:space="preserve"> MUNICIPALIDAD DE MARCHIHUE </v>
      </c>
    </row>
    <row r="465" spans="1:24" ht="15.75" customHeight="1" x14ac:dyDescent="0.25">
      <c r="A465" s="16" t="str">
        <f ca="1">IFERROR(__xludf.DUMMYFUNCTION("""COMPUTED_VALUE""")," REGIÓN DEL LIBERTADOR GENERAL BERNARDO O’HIGGINS ")</f>
        <v xml:space="preserve"> REGIÓN DEL LIBERTADOR GENERAL BERNARDO O’HIGGINS </v>
      </c>
      <c r="B465" s="16" t="str">
        <f t="shared" ca="1" si="1"/>
        <v xml:space="preserve"> PAREDONES </v>
      </c>
      <c r="C465" s="16" t="str">
        <f ca="1">IFERROR(__xludf.DUMMYFUNCTION("""COMPUTED_VALUE""")," CATASTROFE, REPOSICION DE EMERGENCIA , PAVIMENTO CALLES SECTOR SAN PEDRO ALCANTARA, COMUNA DE PAREDONES ")</f>
        <v xml:space="preserve"> CATASTROFE, REPOSICION DE EMERGENCIA , PAVIMENTO CALLES SECTOR SAN PEDRO ALCANTARA, COMUNA DE PAREDONES </v>
      </c>
      <c r="D465" s="16" t="str">
        <f ca="1">IFERROR(__xludf.DUMMYFUNCTION("""COMPUTED_VALUE""")," 1-C-2023-2636 ")</f>
        <v xml:space="preserve"> 1-C-2023-2636 </v>
      </c>
      <c r="E465" s="16" t="str">
        <f ca="1">IFERROR(__xludf.DUMMYFUNCTION("""COMPUTED_VALUE""")," 100% Girado ")</f>
        <v xml:space="preserve"> 100% Girado </v>
      </c>
      <c r="F465" s="17">
        <f ca="1">IFERROR(__xludf.DUMMYFUNCTION("""COMPUTED_VALUE"""),45478)</f>
        <v>45478</v>
      </c>
      <c r="G465" s="16">
        <f ca="1">IFERROR(__xludf.DUMMYFUNCTION("""COMPUTED_VALUE"""),148000000)</f>
        <v>148000000</v>
      </c>
      <c r="H465" s="16" t="str">
        <f ca="1">IFERROR(__xludf.DUMMYFUNCTION("""COMPUTED_VALUE""")," 100% Girado ")</f>
        <v xml:space="preserve"> 100% Girado </v>
      </c>
      <c r="I465" s="16">
        <f ca="1">IFERROR(__xludf.DUMMYFUNCTION("""COMPUTED_VALUE"""),148000000)</f>
        <v>148000000</v>
      </c>
      <c r="J465" s="83" t="s">
        <v>48</v>
      </c>
      <c r="K465" s="16"/>
      <c r="L465" s="16"/>
      <c r="M465" s="16"/>
      <c r="N465" s="19"/>
      <c r="O465" s="19"/>
      <c r="P465" s="19"/>
      <c r="Q465" s="21">
        <f ca="1">IFERROR(__xludf.DUMMYFUNCTION("""COMPUTED_VALUE"""),148000000)</f>
        <v>148000000</v>
      </c>
      <c r="R465" s="19"/>
      <c r="S465" s="19"/>
      <c r="T465" s="19"/>
      <c r="U465" s="19"/>
      <c r="V465" s="19"/>
      <c r="W465" s="20">
        <f ca="1">IFERROR(__xludf.DUMMYFUNCTION("""COMPUTED_VALUE"""),148000000)</f>
        <v>148000000</v>
      </c>
      <c r="X465" s="20" t="str">
        <f ca="1">IFERROR(__xludf.DUMMYFUNCTION("""COMPUTED_VALUE""")," MUNICIPALIDAD DE PAREDONES ")</f>
        <v xml:space="preserve"> MUNICIPALIDAD DE PAREDONES </v>
      </c>
    </row>
    <row r="466" spans="1:24" ht="15.75" customHeight="1" x14ac:dyDescent="0.25">
      <c r="A466" s="16" t="str">
        <f ca="1">IFERROR(__xludf.DUMMYFUNCTION("""COMPUTED_VALUE""")," REGIÓN DEL MAULE ")</f>
        <v xml:space="preserve"> REGIÓN DEL MAULE </v>
      </c>
      <c r="B466" s="16" t="str">
        <f t="shared" ca="1" si="1"/>
        <v xml:space="preserve"> SAN CLEMENTE </v>
      </c>
      <c r="C466" s="16" t="str">
        <f ca="1">IFERROR(__xludf.DUMMYFUNCTION("""COMPUTED_VALUE""")," MEJORAMIENTO MULTICANCHA VILLA MAULE 1, SAN CLEMENTE ")</f>
        <v xml:space="preserve"> MEJORAMIENTO MULTICANCHA VILLA MAULE 1, SAN CLEMENTE </v>
      </c>
      <c r="D466" s="16" t="str">
        <f ca="1">IFERROR(__xludf.DUMMYFUNCTION("""COMPUTED_VALUE""")," 1-C-2020-396 [FET] ")</f>
        <v xml:space="preserve"> 1-C-2020-396 [FET] </v>
      </c>
      <c r="E466" s="16" t="str">
        <f ca="1">IFERROR(__xludf.DUMMYFUNCTION("""COMPUTED_VALUE""")," En Ejecución ")</f>
        <v xml:space="preserve"> En Ejecución </v>
      </c>
      <c r="F466" s="17">
        <f ca="1">IFERROR(__xludf.DUMMYFUNCTION("""COMPUTED_VALUE"""),44329)</f>
        <v>44329</v>
      </c>
      <c r="G466" s="16">
        <f ca="1">IFERROR(__xludf.DUMMYFUNCTION("""COMPUTED_VALUE"""),74994127)</f>
        <v>74994127</v>
      </c>
      <c r="H466" s="16" t="str">
        <f ca="1">IFERROR(__xludf.DUMMYFUNCTION("""COMPUTED_VALUE""")," En Ejecución ")</f>
        <v xml:space="preserve"> En Ejecución </v>
      </c>
      <c r="I466" s="16">
        <f ca="1">IFERROR(__xludf.DUMMYFUNCTION("""COMPUTED_VALUE"""),3163014)</f>
        <v>3163014</v>
      </c>
      <c r="J466" s="83" t="s">
        <v>48</v>
      </c>
      <c r="K466" s="16"/>
      <c r="L466" s="16"/>
      <c r="M466" s="16"/>
      <c r="N466" s="19"/>
      <c r="O466" s="19"/>
      <c r="P466" s="19"/>
      <c r="Q466" s="21">
        <f ca="1">IFERROR(__xludf.DUMMYFUNCTION("""COMPUTED_VALUE"""),3163014)</f>
        <v>3163014</v>
      </c>
      <c r="R466" s="19"/>
      <c r="S466" s="19"/>
      <c r="T466" s="19"/>
      <c r="U466" s="19"/>
      <c r="V466" s="19"/>
      <c r="W466" s="20">
        <f ca="1">IFERROR(__xludf.DUMMYFUNCTION("""COMPUTED_VALUE"""),3163014)</f>
        <v>3163014</v>
      </c>
      <c r="X466" s="20" t="str">
        <f ca="1">IFERROR(__xludf.DUMMYFUNCTION("""COMPUTED_VALUE""")," MUNICIPALIDAD DE SAN CLEMENTE ")</f>
        <v xml:space="preserve"> MUNICIPALIDAD DE SAN CLEMENTE </v>
      </c>
    </row>
    <row r="467" spans="1:24" ht="15.75" customHeight="1" x14ac:dyDescent="0.25">
      <c r="A467" s="16" t="str">
        <f ca="1">IFERROR(__xludf.DUMMYFUNCTION("""COMPUTED_VALUE""")," REGIÓN DEL MAULE ")</f>
        <v xml:space="preserve"> REGIÓN DEL MAULE </v>
      </c>
      <c r="B467" s="16" t="str">
        <f t="shared" ca="1" si="1"/>
        <v xml:space="preserve"> PENCAHUE </v>
      </c>
      <c r="C467" s="16" t="str">
        <f ca="1">IFERROR(__xludf.DUMMYFUNCTION("""COMPUTED_VALUE""")," [SATE] CONSTRUCCIÓN TORRES DE ILUMINACIÓN Y MEJORAMIENTO CIERRE CLUB DEPORTIVO PENCAHUE ")</f>
        <v xml:space="preserve"> [SATE] CONSTRUCCIÓN TORRES DE ILUMINACIÓN Y MEJORAMIENTO CIERRE CLUB DEPORTIVO PENCAHUE </v>
      </c>
      <c r="D467" s="16" t="str">
        <f ca="1">IFERROR(__xludf.DUMMYFUNCTION("""COMPUTED_VALUE""")," 1-C-2023-1031 ")</f>
        <v xml:space="preserve"> 1-C-2023-1031 </v>
      </c>
      <c r="E467" s="16" t="str">
        <f ca="1">IFERROR(__xludf.DUMMYFUNCTION("""COMPUTED_VALUE""")," 100% Girado ")</f>
        <v xml:space="preserve"> 100% Girado </v>
      </c>
      <c r="F467" s="17">
        <f ca="1">IFERROR(__xludf.DUMMYFUNCTION("""COMPUTED_VALUE"""),45441)</f>
        <v>45441</v>
      </c>
      <c r="G467" s="16">
        <f ca="1">IFERROR(__xludf.DUMMYFUNCTION("""COMPUTED_VALUE"""),150893665)</f>
        <v>150893665</v>
      </c>
      <c r="H467" s="16" t="str">
        <f ca="1">IFERROR(__xludf.DUMMYFUNCTION("""COMPUTED_VALUE""")," 100% Girado ")</f>
        <v xml:space="preserve"> 100% Girado </v>
      </c>
      <c r="I467" s="16">
        <f ca="1">IFERROR(__xludf.DUMMYFUNCTION("""COMPUTED_VALUE"""),150893665)</f>
        <v>150893665</v>
      </c>
      <c r="J467" s="83" t="s">
        <v>48</v>
      </c>
      <c r="K467" s="16"/>
      <c r="L467" s="16"/>
      <c r="M467" s="16"/>
      <c r="N467" s="19"/>
      <c r="O467" s="19"/>
      <c r="P467" s="19"/>
      <c r="Q467" s="21">
        <f ca="1">IFERROR(__xludf.DUMMYFUNCTION("""COMPUTED_VALUE"""),150893665)</f>
        <v>150893665</v>
      </c>
      <c r="R467" s="19"/>
      <c r="S467" s="19"/>
      <c r="T467" s="19"/>
      <c r="U467" s="19"/>
      <c r="V467" s="19"/>
      <c r="W467" s="20">
        <f ca="1">IFERROR(__xludf.DUMMYFUNCTION("""COMPUTED_VALUE"""),150893665)</f>
        <v>150893665</v>
      </c>
      <c r="X467" s="20" t="str">
        <f ca="1">IFERROR(__xludf.DUMMYFUNCTION("""COMPUTED_VALUE""")," MUNICIPALIDAD DE PENCAHUE ")</f>
        <v xml:space="preserve"> MUNICIPALIDAD DE PENCAHUE </v>
      </c>
    </row>
    <row r="468" spans="1:24" ht="15.75" customHeight="1" x14ac:dyDescent="0.25">
      <c r="A468" s="16" t="str">
        <f ca="1">IFERROR(__xludf.DUMMYFUNCTION("""COMPUTED_VALUE""")," REGIÓN DEL MAULE ")</f>
        <v xml:space="preserve"> REGIÓN DEL MAULE </v>
      </c>
      <c r="B468" s="16" t="str">
        <f t="shared" ca="1" si="1"/>
        <v xml:space="preserve"> CAUQUENES </v>
      </c>
      <c r="C468" s="16" t="str">
        <f ca="1">IFERROR(__xludf.DUMMYFUNCTION("""COMPUTED_VALUE""")," CONSTRUCCIÓN SERVICIOS HIGIÉNICOS, CAMARINES Y OFICINA DE TURISMO PLAZA DE ARMAS CAUQUENES ")</f>
        <v xml:space="preserve"> CONSTRUCCIÓN SERVICIOS HIGIÉNICOS, CAMARINES Y OFICINA DE TURISMO PLAZA DE ARMAS CAUQUENES </v>
      </c>
      <c r="D468" s="16" t="str">
        <f ca="1">IFERROR(__xludf.DUMMYFUNCTION("""COMPUTED_VALUE""")," 1-C-2023-1905 ")</f>
        <v xml:space="preserve"> 1-C-2023-1905 </v>
      </c>
      <c r="E468" s="16" t="str">
        <f ca="1">IFERROR(__xludf.DUMMYFUNCTION("""COMPUTED_VALUE""")," 100% Girado ")</f>
        <v xml:space="preserve"> 100% Girado </v>
      </c>
      <c r="F468" s="17">
        <f ca="1">IFERROR(__xludf.DUMMYFUNCTION("""COMPUTED_VALUE"""),45428)</f>
        <v>45428</v>
      </c>
      <c r="G468" s="16">
        <f ca="1">IFERROR(__xludf.DUMMYFUNCTION("""COMPUTED_VALUE"""),149998141)</f>
        <v>149998141</v>
      </c>
      <c r="H468" s="16" t="str">
        <f ca="1">IFERROR(__xludf.DUMMYFUNCTION("""COMPUTED_VALUE""")," 100% Girado ")</f>
        <v xml:space="preserve"> 100% Girado </v>
      </c>
      <c r="I468" s="16">
        <f ca="1">IFERROR(__xludf.DUMMYFUNCTION("""COMPUTED_VALUE"""),149998141)</f>
        <v>149998141</v>
      </c>
      <c r="J468" s="83" t="s">
        <v>48</v>
      </c>
      <c r="K468" s="16"/>
      <c r="L468" s="16"/>
      <c r="M468" s="16"/>
      <c r="N468" s="19"/>
      <c r="O468" s="19"/>
      <c r="P468" s="19"/>
      <c r="Q468" s="21">
        <f ca="1">IFERROR(__xludf.DUMMYFUNCTION("""COMPUTED_VALUE"""),149998141)</f>
        <v>149998141</v>
      </c>
      <c r="R468" s="19"/>
      <c r="S468" s="19"/>
      <c r="T468" s="19"/>
      <c r="U468" s="19"/>
      <c r="V468" s="19"/>
      <c r="W468" s="20">
        <f ca="1">IFERROR(__xludf.DUMMYFUNCTION("""COMPUTED_VALUE"""),149998141)</f>
        <v>149998141</v>
      </c>
      <c r="X468" s="20" t="str">
        <f ca="1">IFERROR(__xludf.DUMMYFUNCTION("""COMPUTED_VALUE""")," MUNICIPALIDAD DE CAUQUENES ")</f>
        <v xml:space="preserve"> MUNICIPALIDAD DE CAUQUENES </v>
      </c>
    </row>
    <row r="469" spans="1:24" ht="15.75" customHeight="1" x14ac:dyDescent="0.25">
      <c r="A469" s="16" t="str">
        <f ca="1">IFERROR(__xludf.DUMMYFUNCTION("""COMPUTED_VALUE""")," REGIÓN DEL MAULE ")</f>
        <v xml:space="preserve"> REGIÓN DEL MAULE </v>
      </c>
      <c r="B469" s="16" t="str">
        <f t="shared" ca="1" si="1"/>
        <v xml:space="preserve"> MAULE </v>
      </c>
      <c r="C469" s="16" t="str">
        <f ca="1">IFERROR(__xludf.DUMMYFUNCTION("""COMPUTED_VALUE""")," CONSTRUCCION CIERRE PERIMETRAL Y GRADERIAS CUB DEPORTIVO LINARES DE PERALES, COMUNA DE MAULE ")</f>
        <v xml:space="preserve"> CONSTRUCCION CIERRE PERIMETRAL Y GRADERIAS CUB DEPORTIVO LINARES DE PERALES, COMUNA DE MAULE </v>
      </c>
      <c r="D469" s="16" t="str">
        <f ca="1">IFERROR(__xludf.DUMMYFUNCTION("""COMPUTED_VALUE""")," 1-C-2023-2771 ")</f>
        <v xml:space="preserve"> 1-C-2023-2771 </v>
      </c>
      <c r="E469" s="16" t="str">
        <f ca="1">IFERROR(__xludf.DUMMYFUNCTION("""COMPUTED_VALUE""")," 100% Girado ")</f>
        <v xml:space="preserve"> 100% Girado </v>
      </c>
      <c r="F469" s="17">
        <f ca="1">IFERROR(__xludf.DUMMYFUNCTION("""COMPUTED_VALUE"""),45464)</f>
        <v>45464</v>
      </c>
      <c r="G469" s="16">
        <f ca="1">IFERROR(__xludf.DUMMYFUNCTION("""COMPUTED_VALUE"""),153787969)</f>
        <v>153787969</v>
      </c>
      <c r="H469" s="16" t="str">
        <f ca="1">IFERROR(__xludf.DUMMYFUNCTION("""COMPUTED_VALUE""")," 100% Girado ")</f>
        <v xml:space="preserve"> 100% Girado </v>
      </c>
      <c r="I469" s="16">
        <f ca="1">IFERROR(__xludf.DUMMYFUNCTION("""COMPUTED_VALUE"""),153787969)</f>
        <v>153787969</v>
      </c>
      <c r="J469" s="83" t="s">
        <v>48</v>
      </c>
      <c r="K469" s="16"/>
      <c r="L469" s="16"/>
      <c r="M469" s="16"/>
      <c r="N469" s="19"/>
      <c r="O469" s="19"/>
      <c r="P469" s="19"/>
      <c r="Q469" s="21">
        <f ca="1">IFERROR(__xludf.DUMMYFUNCTION("""COMPUTED_VALUE"""),153787969)</f>
        <v>153787969</v>
      </c>
      <c r="R469" s="19"/>
      <c r="S469" s="19"/>
      <c r="T469" s="19"/>
      <c r="U469" s="19"/>
      <c r="V469" s="19"/>
      <c r="W469" s="20">
        <f ca="1">IFERROR(__xludf.DUMMYFUNCTION("""COMPUTED_VALUE"""),153787969)</f>
        <v>153787969</v>
      </c>
      <c r="X469" s="20" t="str">
        <f ca="1">IFERROR(__xludf.DUMMYFUNCTION("""COMPUTED_VALUE""")," MUNICIPALIDAD DE MAULE ")</f>
        <v xml:space="preserve"> MUNICIPALIDAD DE MAULE </v>
      </c>
    </row>
    <row r="470" spans="1:24" ht="15.75" customHeight="1" x14ac:dyDescent="0.25">
      <c r="A470" s="16" t="str">
        <f ca="1">IFERROR(__xludf.DUMMYFUNCTION("""COMPUTED_VALUE""")," REGIÓN DEL MAULE ")</f>
        <v xml:space="preserve"> REGIÓN DEL MAULE </v>
      </c>
      <c r="B470" s="16" t="str">
        <f t="shared" ca="1" si="1"/>
        <v xml:space="preserve"> SAN CLEMENTE </v>
      </c>
      <c r="C470" s="16" t="str">
        <f ca="1">IFERROR(__xludf.DUMMYFUNCTION("""COMPUTED_VALUE""")," [CATÁSTROFE] HABILITACIÓN ESPACIO PÚBLICO CANAL LA FLOR SECTOR URBANO, SAN CLEMENTE ")</f>
        <v xml:space="preserve"> [CATÁSTROFE] HABILITACIÓN ESPACIO PÚBLICO CANAL LA FLOR SECTOR URBANO, SAN CLEMENTE </v>
      </c>
      <c r="D470" s="16" t="str">
        <f ca="1">IFERROR(__xludf.DUMMYFUNCTION("""COMPUTED_VALUE""")," 1-C-2023-2960 ")</f>
        <v xml:space="preserve"> 1-C-2023-2960 </v>
      </c>
      <c r="E470" s="16" t="str">
        <f ca="1">IFERROR(__xludf.DUMMYFUNCTION("""COMPUTED_VALUE""")," 100% Girado ")</f>
        <v xml:space="preserve"> 100% Girado </v>
      </c>
      <c r="F470" s="17">
        <f ca="1">IFERROR(__xludf.DUMMYFUNCTION("""COMPUTED_VALUE"""),45464)</f>
        <v>45464</v>
      </c>
      <c r="G470" s="16">
        <f ca="1">IFERROR(__xludf.DUMMYFUNCTION("""COMPUTED_VALUE"""),26886504)</f>
        <v>26886504</v>
      </c>
      <c r="H470" s="16" t="str">
        <f ca="1">IFERROR(__xludf.DUMMYFUNCTION("""COMPUTED_VALUE""")," 100% Girado ")</f>
        <v xml:space="preserve"> 100% Girado </v>
      </c>
      <c r="I470" s="16">
        <f ca="1">IFERROR(__xludf.DUMMYFUNCTION("""COMPUTED_VALUE"""),26886504)</f>
        <v>26886504</v>
      </c>
      <c r="J470" s="83" t="s">
        <v>48</v>
      </c>
      <c r="K470" s="16"/>
      <c r="L470" s="16"/>
      <c r="M470" s="16"/>
      <c r="N470" s="19"/>
      <c r="O470" s="19"/>
      <c r="P470" s="19"/>
      <c r="Q470" s="21">
        <f ca="1">IFERROR(__xludf.DUMMYFUNCTION("""COMPUTED_VALUE"""),26886504)</f>
        <v>26886504</v>
      </c>
      <c r="R470" s="19"/>
      <c r="S470" s="19"/>
      <c r="T470" s="19"/>
      <c r="U470" s="19"/>
      <c r="V470" s="19"/>
      <c r="W470" s="20">
        <f ca="1">IFERROR(__xludf.DUMMYFUNCTION("""COMPUTED_VALUE"""),26886504)</f>
        <v>26886504</v>
      </c>
      <c r="X470" s="20" t="str">
        <f ca="1">IFERROR(__xludf.DUMMYFUNCTION("""COMPUTED_VALUE""")," MUNICIPALIDAD DE SAN CLEMENTE ")</f>
        <v xml:space="preserve"> MUNICIPALIDAD DE SAN CLEMENTE </v>
      </c>
    </row>
    <row r="471" spans="1:24" ht="15.75" customHeight="1" x14ac:dyDescent="0.25">
      <c r="A471" s="16" t="str">
        <f ca="1">IFERROR(__xludf.DUMMYFUNCTION("""COMPUTED_VALUE""")," REGIÓN DEL MAULE ")</f>
        <v xml:space="preserve"> REGIÓN DEL MAULE </v>
      </c>
      <c r="B471" s="16" t="str">
        <f t="shared" ca="1" si="1"/>
        <v xml:space="preserve"> LINARES </v>
      </c>
      <c r="C471" s="16" t="str">
        <f ca="1">IFERROR(__xludf.DUMMYFUNCTION("""COMPUTED_VALUE""")," REPOSICION DE VEREDAS CALLES COVADONGA Y O´HIGGINS, LINARES ")</f>
        <v xml:space="preserve"> REPOSICION DE VEREDAS CALLES COVADONGA Y O´HIGGINS, LINARES </v>
      </c>
      <c r="D471" s="16" t="str">
        <f ca="1">IFERROR(__xludf.DUMMYFUNCTION("""COMPUTED_VALUE""")," 1-B-2024-140 ")</f>
        <v xml:space="preserve"> 1-B-2024-140 </v>
      </c>
      <c r="E471" s="16" t="str">
        <f ca="1">IFERROR(__xludf.DUMMYFUNCTION("""COMPUTED_VALUE""")," 100% Girado ")</f>
        <v xml:space="preserve"> 100% Girado </v>
      </c>
      <c r="F471" s="17">
        <f ca="1">IFERROR(__xludf.DUMMYFUNCTION("""COMPUTED_VALUE"""),45478)</f>
        <v>45478</v>
      </c>
      <c r="G471" s="16">
        <f ca="1">IFERROR(__xludf.DUMMYFUNCTION("""COMPUTED_VALUE"""),97212597)</f>
        <v>97212597</v>
      </c>
      <c r="H471" s="16" t="str">
        <f ca="1">IFERROR(__xludf.DUMMYFUNCTION("""COMPUTED_VALUE""")," 100% Girado ")</f>
        <v xml:space="preserve"> 100% Girado </v>
      </c>
      <c r="I471" s="16">
        <f ca="1">IFERROR(__xludf.DUMMYFUNCTION("""COMPUTED_VALUE"""),97212597)</f>
        <v>97212597</v>
      </c>
      <c r="J471" s="83" t="s">
        <v>48</v>
      </c>
      <c r="K471" s="16"/>
      <c r="L471" s="16"/>
      <c r="M471" s="16"/>
      <c r="N471" s="19"/>
      <c r="O471" s="19"/>
      <c r="P471" s="19"/>
      <c r="Q471" s="21">
        <f ca="1">IFERROR(__xludf.DUMMYFUNCTION("""COMPUTED_VALUE"""),97212597)</f>
        <v>97212597</v>
      </c>
      <c r="R471" s="19"/>
      <c r="S471" s="19"/>
      <c r="T471" s="19"/>
      <c r="U471" s="19"/>
      <c r="V471" s="19"/>
      <c r="W471" s="20">
        <f ca="1">IFERROR(__xludf.DUMMYFUNCTION("""COMPUTED_VALUE"""),97212597)</f>
        <v>97212597</v>
      </c>
      <c r="X471" s="20" t="str">
        <f ca="1">IFERROR(__xludf.DUMMYFUNCTION("""COMPUTED_VALUE""")," MUNICIPALIDAD DE LINARES ")</f>
        <v xml:space="preserve"> MUNICIPALIDAD DE LINARES </v>
      </c>
    </row>
    <row r="472" spans="1:24" ht="15.75" customHeight="1" x14ac:dyDescent="0.25">
      <c r="A472" s="16" t="str">
        <f ca="1">IFERROR(__xludf.DUMMYFUNCTION("""COMPUTED_VALUE""")," REGIÓN DEL MAULE ")</f>
        <v xml:space="preserve"> REGIÓN DEL MAULE </v>
      </c>
      <c r="B472" s="16" t="str">
        <f t="shared" ca="1" si="1"/>
        <v xml:space="preserve"> VILLA ALEGRE </v>
      </c>
      <c r="C472" s="16" t="str">
        <f ca="1">IFERROR(__xludf.DUMMYFUNCTION("""COMPUTED_VALUE""")," REPOSICIÓN DE VEREDAS Y MEJORAMIENTO DE ENTORNO DE LA LOCALIDAD DE PUTAGÁN, COMUNA DE VILLA ALEGRE ")</f>
        <v xml:space="preserve"> REPOSICIÓN DE VEREDAS Y MEJORAMIENTO DE ENTORNO DE LA LOCALIDAD DE PUTAGÁN, COMUNA DE VILLA ALEGRE </v>
      </c>
      <c r="D472" s="16" t="str">
        <f ca="1">IFERROR(__xludf.DUMMYFUNCTION("""COMPUTED_VALUE""")," 1-B-2024-146 ")</f>
        <v xml:space="preserve"> 1-B-2024-146 </v>
      </c>
      <c r="E472" s="16" t="str">
        <f ca="1">IFERROR(__xludf.DUMMYFUNCTION("""COMPUTED_VALUE""")," 100% Girado ")</f>
        <v xml:space="preserve"> 100% Girado </v>
      </c>
      <c r="F472" s="17">
        <f ca="1">IFERROR(__xludf.DUMMYFUNCTION("""COMPUTED_VALUE"""),45478)</f>
        <v>45478</v>
      </c>
      <c r="G472" s="16">
        <f ca="1">IFERROR(__xludf.DUMMYFUNCTION("""COMPUTED_VALUE"""),99345690)</f>
        <v>99345690</v>
      </c>
      <c r="H472" s="16" t="str">
        <f ca="1">IFERROR(__xludf.DUMMYFUNCTION("""COMPUTED_VALUE""")," 100% Girado ")</f>
        <v xml:space="preserve"> 100% Girado </v>
      </c>
      <c r="I472" s="16">
        <f ca="1">IFERROR(__xludf.DUMMYFUNCTION("""COMPUTED_VALUE"""),99345690)</f>
        <v>99345690</v>
      </c>
      <c r="J472" s="83" t="s">
        <v>48</v>
      </c>
      <c r="K472" s="16"/>
      <c r="L472" s="16"/>
      <c r="M472" s="16"/>
      <c r="N472" s="19"/>
      <c r="O472" s="19"/>
      <c r="P472" s="19"/>
      <c r="Q472" s="21">
        <f ca="1">IFERROR(__xludf.DUMMYFUNCTION("""COMPUTED_VALUE"""),99345690)</f>
        <v>99345690</v>
      </c>
      <c r="R472" s="19"/>
      <c r="S472" s="19"/>
      <c r="T472" s="19"/>
      <c r="U472" s="19"/>
      <c r="V472" s="19"/>
      <c r="W472" s="20">
        <f ca="1">IFERROR(__xludf.DUMMYFUNCTION("""COMPUTED_VALUE"""),99345690)</f>
        <v>99345690</v>
      </c>
      <c r="X472" s="20" t="str">
        <f ca="1">IFERROR(__xludf.DUMMYFUNCTION("""COMPUTED_VALUE""")," MUNICIPALIDAD DE VILLA ALEGRE ")</f>
        <v xml:space="preserve"> MUNICIPALIDAD DE VILLA ALEGRE </v>
      </c>
    </row>
    <row r="473" spans="1:24" ht="15.75" customHeight="1" x14ac:dyDescent="0.25">
      <c r="A473" s="16" t="str">
        <f ca="1">IFERROR(__xludf.DUMMYFUNCTION("""COMPUTED_VALUE""")," REGIÓN DEL BIOBÍO ")</f>
        <v xml:space="preserve"> REGIÓN DEL BIOBÍO </v>
      </c>
      <c r="B473" s="16" t="str">
        <f t="shared" ca="1" si="1"/>
        <v xml:space="preserve"> CAÑETE </v>
      </c>
      <c r="C473" s="16" t="str">
        <f ca="1">IFERROR(__xludf.DUMMYFUNCTION("""COMPUTED_VALUE""")," REPOSICIÓN SEDE SOCIAL JUVENTUD UNIDA, CAÑETE ")</f>
        <v xml:space="preserve"> REPOSICIÓN SEDE SOCIAL JUVENTUD UNIDA, CAÑETE </v>
      </c>
      <c r="D473" s="16" t="str">
        <f ca="1">IFERROR(__xludf.DUMMYFUNCTION("""COMPUTED_VALUE""")," 1-C-2018-1198 ")</f>
        <v xml:space="preserve"> 1-C-2018-1198 </v>
      </c>
      <c r="E473" s="16" t="str">
        <f ca="1">IFERROR(__xludf.DUMMYFUNCTION("""COMPUTED_VALUE""")," 100% Girado ")</f>
        <v xml:space="preserve"> 100% Girado </v>
      </c>
      <c r="F473" s="17">
        <f ca="1">IFERROR(__xludf.DUMMYFUNCTION("""COMPUTED_VALUE"""),44181)</f>
        <v>44181</v>
      </c>
      <c r="G473" s="16">
        <f ca="1">IFERROR(__xludf.DUMMYFUNCTION("""COMPUTED_VALUE"""),69009373)</f>
        <v>69009373</v>
      </c>
      <c r="H473" s="16" t="str">
        <f ca="1">IFERROR(__xludf.DUMMYFUNCTION("""COMPUTED_VALUE""")," 100% Girado ")</f>
        <v xml:space="preserve"> 100% Girado </v>
      </c>
      <c r="I473" s="16">
        <f ca="1">IFERROR(__xludf.DUMMYFUNCTION("""COMPUTED_VALUE"""),27009374)</f>
        <v>27009374</v>
      </c>
      <c r="J473" s="83" t="s">
        <v>48</v>
      </c>
      <c r="K473" s="16"/>
      <c r="L473" s="16"/>
      <c r="M473" s="16"/>
      <c r="N473" s="19"/>
      <c r="O473" s="19"/>
      <c r="P473" s="19"/>
      <c r="Q473" s="21">
        <f ca="1">IFERROR(__xludf.DUMMYFUNCTION("""COMPUTED_VALUE"""),27009374)</f>
        <v>27009374</v>
      </c>
      <c r="R473" s="19"/>
      <c r="S473" s="19"/>
      <c r="T473" s="19"/>
      <c r="U473" s="19"/>
      <c r="V473" s="19"/>
      <c r="W473" s="20">
        <f ca="1">IFERROR(__xludf.DUMMYFUNCTION("""COMPUTED_VALUE"""),27009374)</f>
        <v>27009374</v>
      </c>
      <c r="X473" s="20" t="str">
        <f ca="1">IFERROR(__xludf.DUMMYFUNCTION("""COMPUTED_VALUE""")," MUNICIPALIDAD DE CAÑETE ")</f>
        <v xml:space="preserve"> MUNICIPALIDAD DE CAÑETE </v>
      </c>
    </row>
    <row r="474" spans="1:24" ht="15.75" customHeight="1" x14ac:dyDescent="0.25">
      <c r="A474" s="16" t="str">
        <f ca="1">IFERROR(__xludf.DUMMYFUNCTION("""COMPUTED_VALUE""")," REGIÓN DEL BIOBÍO ")</f>
        <v xml:space="preserve"> REGIÓN DEL BIOBÍO </v>
      </c>
      <c r="B474" s="16" t="str">
        <f t="shared" ca="1" si="1"/>
        <v xml:space="preserve"> CURANILAHUE </v>
      </c>
      <c r="C474" s="16" t="str">
        <f ca="1">IFERROR(__xludf.DUMMYFUNCTION("""COMPUTED_VALUE""")," REPOSICIÓN VEREDAS CALLE LA CONCEPCIÓN Y PASAJES BAQUEDANO Y 5 DE ABRIL ")</f>
        <v xml:space="preserve"> REPOSICIÓN VEREDAS CALLE LA CONCEPCIÓN Y PASAJES BAQUEDANO Y 5 DE ABRIL </v>
      </c>
      <c r="D474" s="16" t="str">
        <f ca="1">IFERROR(__xludf.DUMMYFUNCTION("""COMPUTED_VALUE""")," 1-B-2024-194 ")</f>
        <v xml:space="preserve"> 1-B-2024-194 </v>
      </c>
      <c r="E474" s="16" t="str">
        <f ca="1">IFERROR(__xludf.DUMMYFUNCTION("""COMPUTED_VALUE""")," 100% Girado ")</f>
        <v xml:space="preserve"> 100% Girado </v>
      </c>
      <c r="F474" s="17">
        <f ca="1">IFERROR(__xludf.DUMMYFUNCTION("""COMPUTED_VALUE"""),45504)</f>
        <v>45504</v>
      </c>
      <c r="G474" s="16">
        <f ca="1">IFERROR(__xludf.DUMMYFUNCTION("""COMPUTED_VALUE"""),157456264)</f>
        <v>157456264</v>
      </c>
      <c r="H474" s="16" t="str">
        <f ca="1">IFERROR(__xludf.DUMMYFUNCTION("""COMPUTED_VALUE""")," 100% Girado ")</f>
        <v xml:space="preserve"> 100% Girado </v>
      </c>
      <c r="I474" s="16">
        <f ca="1">IFERROR(__xludf.DUMMYFUNCTION("""COMPUTED_VALUE"""),157456264)</f>
        <v>157456264</v>
      </c>
      <c r="J474" s="83" t="s">
        <v>48</v>
      </c>
      <c r="K474" s="16"/>
      <c r="L474" s="16"/>
      <c r="M474" s="16"/>
      <c r="N474" s="19"/>
      <c r="O474" s="19"/>
      <c r="P474" s="19"/>
      <c r="Q474" s="21">
        <f ca="1">IFERROR(__xludf.DUMMYFUNCTION("""COMPUTED_VALUE"""),157456264)</f>
        <v>157456264</v>
      </c>
      <c r="R474" s="19"/>
      <c r="S474" s="19"/>
      <c r="T474" s="19"/>
      <c r="U474" s="19"/>
      <c r="V474" s="19"/>
      <c r="W474" s="20">
        <f ca="1">IFERROR(__xludf.DUMMYFUNCTION("""COMPUTED_VALUE"""),157456264)</f>
        <v>157456264</v>
      </c>
      <c r="X474" s="20" t="str">
        <f ca="1">IFERROR(__xludf.DUMMYFUNCTION("""COMPUTED_VALUE""")," MUNICIPALIDAD DE CURANILAHUE ")</f>
        <v xml:space="preserve"> MUNICIPALIDAD DE CURANILAHUE </v>
      </c>
    </row>
    <row r="475" spans="1:24" ht="15.75" customHeight="1" x14ac:dyDescent="0.25">
      <c r="A475" s="16" t="str">
        <f ca="1">IFERROR(__xludf.DUMMYFUNCTION("""COMPUTED_VALUE""")," REGIÓN DEL BIOBÍO ")</f>
        <v xml:space="preserve"> REGIÓN DEL BIOBÍO </v>
      </c>
      <c r="B475" s="16" t="str">
        <f t="shared" ca="1" si="1"/>
        <v xml:space="preserve"> CURANILAHUE </v>
      </c>
      <c r="C475" s="16" t="str">
        <f ca="1">IFERROR(__xludf.DUMMYFUNCTION("""COMPUTED_VALUE""")," REPOSICION VEREDAS PASAJE ONGOLMO DESDE BAQUEDANO A RÍO RANAS ")</f>
        <v xml:space="preserve"> REPOSICION VEREDAS PASAJE ONGOLMO DESDE BAQUEDANO A RÍO RANAS </v>
      </c>
      <c r="D475" s="16" t="str">
        <f ca="1">IFERROR(__xludf.DUMMYFUNCTION("""COMPUTED_VALUE""")," 1-B-2024-195 ")</f>
        <v xml:space="preserve"> 1-B-2024-195 </v>
      </c>
      <c r="E475" s="16" t="str">
        <f ca="1">IFERROR(__xludf.DUMMYFUNCTION("""COMPUTED_VALUE""")," 100% Girado ")</f>
        <v xml:space="preserve"> 100% Girado </v>
      </c>
      <c r="F475" s="17">
        <f ca="1">IFERROR(__xludf.DUMMYFUNCTION("""COMPUTED_VALUE"""),45504)</f>
        <v>45504</v>
      </c>
      <c r="G475" s="16">
        <f ca="1">IFERROR(__xludf.DUMMYFUNCTION("""COMPUTED_VALUE"""),156982264)</f>
        <v>156982264</v>
      </c>
      <c r="H475" s="16" t="str">
        <f ca="1">IFERROR(__xludf.DUMMYFUNCTION("""COMPUTED_VALUE""")," 100% Girado ")</f>
        <v xml:space="preserve"> 100% Girado </v>
      </c>
      <c r="I475" s="16">
        <f ca="1">IFERROR(__xludf.DUMMYFUNCTION("""COMPUTED_VALUE"""),156982264)</f>
        <v>156982264</v>
      </c>
      <c r="J475" s="83" t="s">
        <v>48</v>
      </c>
      <c r="K475" s="16"/>
      <c r="L475" s="16"/>
      <c r="M475" s="16"/>
      <c r="N475" s="19"/>
      <c r="O475" s="19"/>
      <c r="P475" s="19"/>
      <c r="Q475" s="21">
        <f ca="1">IFERROR(__xludf.DUMMYFUNCTION("""COMPUTED_VALUE"""),156982264)</f>
        <v>156982264</v>
      </c>
      <c r="R475" s="19"/>
      <c r="S475" s="19"/>
      <c r="T475" s="19"/>
      <c r="U475" s="19"/>
      <c r="V475" s="19"/>
      <c r="W475" s="20">
        <f ca="1">IFERROR(__xludf.DUMMYFUNCTION("""COMPUTED_VALUE"""),156982264)</f>
        <v>156982264</v>
      </c>
      <c r="X475" s="20" t="str">
        <f ca="1">IFERROR(__xludf.DUMMYFUNCTION("""COMPUTED_VALUE""")," MUNICIPALIDAD DE CURANILAHUE ")</f>
        <v xml:space="preserve"> MUNICIPALIDAD DE CURANILAHUE </v>
      </c>
    </row>
    <row r="476" spans="1:24" ht="15.75" customHeight="1" x14ac:dyDescent="0.25">
      <c r="A476" s="16" t="str">
        <f ca="1">IFERROR(__xludf.DUMMYFUNCTION("""COMPUTED_VALUE""")," REGIÓN DEL BIOBÍO ")</f>
        <v xml:space="preserve"> REGIÓN DEL BIOBÍO </v>
      </c>
      <c r="B476" s="16" t="str">
        <f t="shared" ca="1" si="1"/>
        <v xml:space="preserve"> CURANILAHUE </v>
      </c>
      <c r="C476" s="16" t="str">
        <f ca="1">IFERROR(__xludf.DUMMYFUNCTION("""COMPUTED_VALUE""")," REPOSICIÓN VEREDAS PASAJES LOS CASTAÑOS Y LOS AROMOS CHILLANCITO ")</f>
        <v xml:space="preserve"> REPOSICIÓN VEREDAS PASAJES LOS CASTAÑOS Y LOS AROMOS CHILLANCITO </v>
      </c>
      <c r="D476" s="16" t="str">
        <f ca="1">IFERROR(__xludf.DUMMYFUNCTION("""COMPUTED_VALUE""")," 1-B-2024-196 ")</f>
        <v xml:space="preserve"> 1-B-2024-196 </v>
      </c>
      <c r="E476" s="16" t="str">
        <f ca="1">IFERROR(__xludf.DUMMYFUNCTION("""COMPUTED_VALUE""")," 100% Girado ")</f>
        <v xml:space="preserve"> 100% Girado </v>
      </c>
      <c r="F476" s="17">
        <f ca="1">IFERROR(__xludf.DUMMYFUNCTION("""COMPUTED_VALUE"""),45504)</f>
        <v>45504</v>
      </c>
      <c r="G476" s="16">
        <f ca="1">IFERROR(__xludf.DUMMYFUNCTION("""COMPUTED_VALUE"""),156842264)</f>
        <v>156842264</v>
      </c>
      <c r="H476" s="16" t="str">
        <f ca="1">IFERROR(__xludf.DUMMYFUNCTION("""COMPUTED_VALUE""")," 100% Girado ")</f>
        <v xml:space="preserve"> 100% Girado </v>
      </c>
      <c r="I476" s="16">
        <f ca="1">IFERROR(__xludf.DUMMYFUNCTION("""COMPUTED_VALUE"""),156842264)</f>
        <v>156842264</v>
      </c>
      <c r="J476" s="83" t="s">
        <v>48</v>
      </c>
      <c r="K476" s="16"/>
      <c r="L476" s="16"/>
      <c r="M476" s="16"/>
      <c r="N476" s="19"/>
      <c r="O476" s="19"/>
      <c r="P476" s="19"/>
      <c r="Q476" s="21">
        <f ca="1">IFERROR(__xludf.DUMMYFUNCTION("""COMPUTED_VALUE"""),156842264)</f>
        <v>156842264</v>
      </c>
      <c r="R476" s="19"/>
      <c r="S476" s="19"/>
      <c r="T476" s="19"/>
      <c r="U476" s="19"/>
      <c r="V476" s="19"/>
      <c r="W476" s="20">
        <f ca="1">IFERROR(__xludf.DUMMYFUNCTION("""COMPUTED_VALUE"""),156842264)</f>
        <v>156842264</v>
      </c>
      <c r="X476" s="20" t="str">
        <f ca="1">IFERROR(__xludf.DUMMYFUNCTION("""COMPUTED_VALUE""")," MUNICIPALIDAD DE CURANILAHUE ")</f>
        <v xml:space="preserve"> MUNICIPALIDAD DE CURANILAHUE </v>
      </c>
    </row>
    <row r="477" spans="1:24" ht="15.75" customHeight="1" x14ac:dyDescent="0.25">
      <c r="A477" s="16" t="str">
        <f ca="1">IFERROR(__xludf.DUMMYFUNCTION("""COMPUTED_VALUE""")," REGIÓN DEL BIOBÍO ")</f>
        <v xml:space="preserve"> REGIÓN DEL BIOBÍO </v>
      </c>
      <c r="B477" s="16" t="str">
        <f t="shared" ca="1" si="1"/>
        <v xml:space="preserve"> CURANILAHUE </v>
      </c>
      <c r="C477" s="16" t="str">
        <f ca="1">IFERROR(__xludf.DUMMYFUNCTION("""COMPUTED_VALUE""")," REPOSICIÓN VEREDAS CALLE GENERAL BONILLA Y PASAJE 5 DE ABRIL ")</f>
        <v xml:space="preserve"> REPOSICIÓN VEREDAS CALLE GENERAL BONILLA Y PASAJE 5 DE ABRIL </v>
      </c>
      <c r="D477" s="16" t="str">
        <f ca="1">IFERROR(__xludf.DUMMYFUNCTION("""COMPUTED_VALUE""")," 1-B-2024-197 ")</f>
        <v xml:space="preserve"> 1-B-2024-197 </v>
      </c>
      <c r="E477" s="16" t="str">
        <f ca="1">IFERROR(__xludf.DUMMYFUNCTION("""COMPUTED_VALUE""")," 100% Girado ")</f>
        <v xml:space="preserve"> 100% Girado </v>
      </c>
      <c r="F477" s="17">
        <f ca="1">IFERROR(__xludf.DUMMYFUNCTION("""COMPUTED_VALUE"""),45504)</f>
        <v>45504</v>
      </c>
      <c r="G477" s="16">
        <f ca="1">IFERROR(__xludf.DUMMYFUNCTION("""COMPUTED_VALUE"""),153567760)</f>
        <v>153567760</v>
      </c>
      <c r="H477" s="16" t="str">
        <f ca="1">IFERROR(__xludf.DUMMYFUNCTION("""COMPUTED_VALUE""")," 100% Girado ")</f>
        <v xml:space="preserve"> 100% Girado </v>
      </c>
      <c r="I477" s="16">
        <f ca="1">IFERROR(__xludf.DUMMYFUNCTION("""COMPUTED_VALUE"""),153567760)</f>
        <v>153567760</v>
      </c>
      <c r="J477" s="83" t="s">
        <v>48</v>
      </c>
      <c r="K477" s="16"/>
      <c r="L477" s="16"/>
      <c r="M477" s="16"/>
      <c r="N477" s="19"/>
      <c r="O477" s="19"/>
      <c r="P477" s="19"/>
      <c r="Q477" s="21">
        <f ca="1">IFERROR(__xludf.DUMMYFUNCTION("""COMPUTED_VALUE"""),153567760)</f>
        <v>153567760</v>
      </c>
      <c r="R477" s="19"/>
      <c r="S477" s="19"/>
      <c r="T477" s="19"/>
      <c r="U477" s="19"/>
      <c r="V477" s="19"/>
      <c r="W477" s="20">
        <f ca="1">IFERROR(__xludf.DUMMYFUNCTION("""COMPUTED_VALUE"""),153567760)</f>
        <v>153567760</v>
      </c>
      <c r="X477" s="20" t="str">
        <f ca="1">IFERROR(__xludf.DUMMYFUNCTION("""COMPUTED_VALUE""")," MUNICIPALIDAD DE CURANILAHUE ")</f>
        <v xml:space="preserve"> MUNICIPALIDAD DE CURANILAHUE </v>
      </c>
    </row>
    <row r="478" spans="1:24" ht="15.75" customHeight="1" x14ac:dyDescent="0.25">
      <c r="A478" s="16" t="str">
        <f ca="1">IFERROR(__xludf.DUMMYFUNCTION("""COMPUTED_VALUE""")," REGIÓN DEL BIOBÍO ")</f>
        <v xml:space="preserve"> REGIÓN DEL BIOBÍO </v>
      </c>
      <c r="B478" s="16" t="str">
        <f t="shared" ca="1" si="1"/>
        <v xml:space="preserve"> CURANILAHUE </v>
      </c>
      <c r="C478" s="16" t="str">
        <f ca="1">IFERROR(__xludf.DUMMYFUNCTION("""COMPUTED_VALUE""")," REPOSICIÓN VEREDAS Y BARANDAS Y CONSTRUCCIÓN MUROS DE CONTENCIÓN PASAJE ARAUCO ALTO ")</f>
        <v xml:space="preserve"> REPOSICIÓN VEREDAS Y BARANDAS Y CONSTRUCCIÓN MUROS DE CONTENCIÓN PASAJE ARAUCO ALTO </v>
      </c>
      <c r="D478" s="16" t="str">
        <f ca="1">IFERROR(__xludf.DUMMYFUNCTION("""COMPUTED_VALUE""")," 1-B-2024-198 ")</f>
        <v xml:space="preserve"> 1-B-2024-198 </v>
      </c>
      <c r="E478" s="16" t="str">
        <f ca="1">IFERROR(__xludf.DUMMYFUNCTION("""COMPUTED_VALUE""")," 100% Girado ")</f>
        <v xml:space="preserve"> 100% Girado </v>
      </c>
      <c r="F478" s="17">
        <f ca="1">IFERROR(__xludf.DUMMYFUNCTION("""COMPUTED_VALUE"""),45504)</f>
        <v>45504</v>
      </c>
      <c r="G478" s="16">
        <f ca="1">IFERROR(__xludf.DUMMYFUNCTION("""COMPUTED_VALUE"""),151554260)</f>
        <v>151554260</v>
      </c>
      <c r="H478" s="16" t="str">
        <f ca="1">IFERROR(__xludf.DUMMYFUNCTION("""COMPUTED_VALUE""")," 100% Girado ")</f>
        <v xml:space="preserve"> 100% Girado </v>
      </c>
      <c r="I478" s="16">
        <f ca="1">IFERROR(__xludf.DUMMYFUNCTION("""COMPUTED_VALUE"""),151554260)</f>
        <v>151554260</v>
      </c>
      <c r="J478" s="83" t="s">
        <v>48</v>
      </c>
      <c r="K478" s="16"/>
      <c r="L478" s="16"/>
      <c r="M478" s="16"/>
      <c r="N478" s="19"/>
      <c r="O478" s="19"/>
      <c r="P478" s="19"/>
      <c r="Q478" s="21">
        <f ca="1">IFERROR(__xludf.DUMMYFUNCTION("""COMPUTED_VALUE"""),151554260)</f>
        <v>151554260</v>
      </c>
      <c r="R478" s="19"/>
      <c r="S478" s="19"/>
      <c r="T478" s="19"/>
      <c r="U478" s="19"/>
      <c r="V478" s="19"/>
      <c r="W478" s="20">
        <f ca="1">IFERROR(__xludf.DUMMYFUNCTION("""COMPUTED_VALUE"""),151554260)</f>
        <v>151554260</v>
      </c>
      <c r="X478" s="20" t="str">
        <f ca="1">IFERROR(__xludf.DUMMYFUNCTION("""COMPUTED_VALUE""")," MUNICIPALIDAD DE CURANILAHUE ")</f>
        <v xml:space="preserve"> MUNICIPALIDAD DE CURANILAHUE </v>
      </c>
    </row>
    <row r="479" spans="1:24" ht="15.75" customHeight="1" x14ac:dyDescent="0.25">
      <c r="A479" s="16" t="str">
        <f ca="1">IFERROR(__xludf.DUMMYFUNCTION("""COMPUTED_VALUE""")," REGIÓN DEL BIOBÍO ")</f>
        <v xml:space="preserve"> REGIÓN DEL BIOBÍO </v>
      </c>
      <c r="B479" s="16" t="str">
        <f t="shared" ca="1" si="1"/>
        <v xml:space="preserve"> CURANILAHUE </v>
      </c>
      <c r="C479" s="16" t="str">
        <f ca="1">IFERROR(__xludf.DUMMYFUNCTION("""COMPUTED_VALUE""")," CONSTRUCCIÓN Y REPOSICIÓN FOSOS DE HORMIGÓN TUCAPEL, PASAJE COSTANERA LOS AMARILLOS Y VEREDAS PASAJE 2 CERRO VERDE ")</f>
        <v xml:space="preserve"> CONSTRUCCIÓN Y REPOSICIÓN FOSOS DE HORMIGÓN TUCAPEL, PASAJE COSTANERA LOS AMARILLOS Y VEREDAS PASAJE 2 CERRO VERDE </v>
      </c>
      <c r="D479" s="16" t="str">
        <f ca="1">IFERROR(__xludf.DUMMYFUNCTION("""COMPUTED_VALUE""")," 1-B-2024-199 ")</f>
        <v xml:space="preserve"> 1-B-2024-199 </v>
      </c>
      <c r="E479" s="16" t="str">
        <f ca="1">IFERROR(__xludf.DUMMYFUNCTION("""COMPUTED_VALUE""")," 100% Girado ")</f>
        <v xml:space="preserve"> 100% Girado </v>
      </c>
      <c r="F479" s="17">
        <f ca="1">IFERROR(__xludf.DUMMYFUNCTION("""COMPUTED_VALUE"""),45504)</f>
        <v>45504</v>
      </c>
      <c r="G479" s="16">
        <f ca="1">IFERROR(__xludf.DUMMYFUNCTION("""COMPUTED_VALUE"""),151144760)</f>
        <v>151144760</v>
      </c>
      <c r="H479" s="16" t="str">
        <f ca="1">IFERROR(__xludf.DUMMYFUNCTION("""COMPUTED_VALUE""")," 100% Girado ")</f>
        <v xml:space="preserve"> 100% Girado </v>
      </c>
      <c r="I479" s="16">
        <f ca="1">IFERROR(__xludf.DUMMYFUNCTION("""COMPUTED_VALUE"""),151144760)</f>
        <v>151144760</v>
      </c>
      <c r="J479" s="83" t="s">
        <v>48</v>
      </c>
      <c r="K479" s="16"/>
      <c r="L479" s="16"/>
      <c r="M479" s="16"/>
      <c r="N479" s="19"/>
      <c r="O479" s="19"/>
      <c r="P479" s="19"/>
      <c r="Q479" s="21">
        <f ca="1">IFERROR(__xludf.DUMMYFUNCTION("""COMPUTED_VALUE"""),151144760)</f>
        <v>151144760</v>
      </c>
      <c r="R479" s="19"/>
      <c r="S479" s="19"/>
      <c r="T479" s="19"/>
      <c r="U479" s="19"/>
      <c r="V479" s="19"/>
      <c r="W479" s="20">
        <f ca="1">IFERROR(__xludf.DUMMYFUNCTION("""COMPUTED_VALUE"""),151144760)</f>
        <v>151144760</v>
      </c>
      <c r="X479" s="20" t="str">
        <f ca="1">IFERROR(__xludf.DUMMYFUNCTION("""COMPUTED_VALUE""")," MUNICIPALIDAD DE CURANILAHUE ")</f>
        <v xml:space="preserve"> MUNICIPALIDAD DE CURANILAHUE </v>
      </c>
    </row>
    <row r="480" spans="1:24" ht="15.75" customHeight="1" x14ac:dyDescent="0.25">
      <c r="A480" s="16" t="str">
        <f ca="1">IFERROR(__xludf.DUMMYFUNCTION("""COMPUTED_VALUE""")," REGIÓN DEL BIOBÍO ")</f>
        <v xml:space="preserve"> REGIÓN DEL BIOBÍO </v>
      </c>
      <c r="B480" s="16" t="str">
        <f t="shared" ca="1" si="1"/>
        <v xml:space="preserve"> CURANILAHUE </v>
      </c>
      <c r="C480" s="16" t="str">
        <f ca="1">IFERROR(__xludf.DUMMYFUNCTION("""COMPUTED_VALUE""")," BACHEOS DE CALLES Y PASAJES; CERRO LA PERDIZ, 21 DE MAYO, E. RIQUELME Y LA QUILA, E INSTALACIÓN DE BARANDA PEATONAL EN AV. BERNARDO O""HIGGINS ")</f>
        <v xml:space="preserve"> BACHEOS DE CALLES Y PASAJES; CERRO LA PERDIZ, 21 DE MAYO, E. RIQUELME Y LA QUILA, E INSTALACIÓN DE BARANDA PEATONAL EN AV. BERNARDO O"HIGGINS </v>
      </c>
      <c r="D480" s="16" t="str">
        <f ca="1">IFERROR(__xludf.DUMMYFUNCTION("""COMPUTED_VALUE""")," 1-B-2024-200 ")</f>
        <v xml:space="preserve"> 1-B-2024-200 </v>
      </c>
      <c r="E480" s="16" t="str">
        <f ca="1">IFERROR(__xludf.DUMMYFUNCTION("""COMPUTED_VALUE""")," 100% Girado ")</f>
        <v xml:space="preserve"> 100% Girado </v>
      </c>
      <c r="F480" s="17">
        <f ca="1">IFERROR(__xludf.DUMMYFUNCTION("""COMPUTED_VALUE"""),45504)</f>
        <v>45504</v>
      </c>
      <c r="G480" s="16">
        <f ca="1">IFERROR(__xludf.DUMMYFUNCTION("""COMPUTED_VALUE"""),152004278)</f>
        <v>152004278</v>
      </c>
      <c r="H480" s="16" t="str">
        <f ca="1">IFERROR(__xludf.DUMMYFUNCTION("""COMPUTED_VALUE""")," 100% Girado ")</f>
        <v xml:space="preserve"> 100% Girado </v>
      </c>
      <c r="I480" s="16">
        <f ca="1">IFERROR(__xludf.DUMMYFUNCTION("""COMPUTED_VALUE"""),152004278)</f>
        <v>152004278</v>
      </c>
      <c r="J480" s="83" t="s">
        <v>48</v>
      </c>
      <c r="K480" s="16"/>
      <c r="L480" s="16"/>
      <c r="M480" s="16"/>
      <c r="N480" s="19"/>
      <c r="O480" s="19"/>
      <c r="P480" s="19"/>
      <c r="Q480" s="21">
        <f ca="1">IFERROR(__xludf.DUMMYFUNCTION("""COMPUTED_VALUE"""),152004278)</f>
        <v>152004278</v>
      </c>
      <c r="R480" s="19"/>
      <c r="S480" s="19"/>
      <c r="T480" s="19"/>
      <c r="U480" s="19"/>
      <c r="V480" s="19"/>
      <c r="W480" s="20">
        <f ca="1">IFERROR(__xludf.DUMMYFUNCTION("""COMPUTED_VALUE"""),152004278)</f>
        <v>152004278</v>
      </c>
      <c r="X480" s="20" t="str">
        <f ca="1">IFERROR(__xludf.DUMMYFUNCTION("""COMPUTED_VALUE""")," MUNICIPALIDAD DE CURANILAHUE ")</f>
        <v xml:space="preserve"> MUNICIPALIDAD DE CURANILAHUE </v>
      </c>
    </row>
    <row r="481" spans="1:24" ht="15.75" customHeight="1" x14ac:dyDescent="0.25">
      <c r="A481" s="16" t="str">
        <f ca="1">IFERROR(__xludf.DUMMYFUNCTION("""COMPUTED_VALUE""")," REGIÓN DEL BIOBÍO ")</f>
        <v xml:space="preserve"> REGIÓN DEL BIOBÍO </v>
      </c>
      <c r="B481" s="16" t="str">
        <f t="shared" ca="1" si="1"/>
        <v xml:space="preserve"> CURANILAHUE </v>
      </c>
      <c r="C481" s="16" t="str">
        <f ca="1">IFERROR(__xludf.DUMMYFUNCTION("""COMPUTED_VALUE""")," DEMARCACIÓN VIAL E INSTALACIÓN REDUCTORES DE VELOCIDAD CALLE ALAMEDA Y BACHEO EN CALLE GALVARINO ")</f>
        <v xml:space="preserve"> DEMARCACIÓN VIAL E INSTALACIÓN REDUCTORES DE VELOCIDAD CALLE ALAMEDA Y BACHEO EN CALLE GALVARINO </v>
      </c>
      <c r="D481" s="16" t="str">
        <f ca="1">IFERROR(__xludf.DUMMYFUNCTION("""COMPUTED_VALUE""")," 1-B-2024-201 ")</f>
        <v xml:space="preserve"> 1-B-2024-201 </v>
      </c>
      <c r="E481" s="16" t="str">
        <f ca="1">IFERROR(__xludf.DUMMYFUNCTION("""COMPUTED_VALUE""")," 100% Girado ")</f>
        <v xml:space="preserve"> 100% Girado </v>
      </c>
      <c r="F481" s="17">
        <f ca="1">IFERROR(__xludf.DUMMYFUNCTION("""COMPUTED_VALUE"""),45504)</f>
        <v>45504</v>
      </c>
      <c r="G481" s="16">
        <f ca="1">IFERROR(__xludf.DUMMYFUNCTION("""COMPUTED_VALUE"""),151984360)</f>
        <v>151984360</v>
      </c>
      <c r="H481" s="16" t="str">
        <f ca="1">IFERROR(__xludf.DUMMYFUNCTION("""COMPUTED_VALUE""")," 100% Girado ")</f>
        <v xml:space="preserve"> 100% Girado </v>
      </c>
      <c r="I481" s="16">
        <f ca="1">IFERROR(__xludf.DUMMYFUNCTION("""COMPUTED_VALUE"""),151984360)</f>
        <v>151984360</v>
      </c>
      <c r="J481" s="83" t="s">
        <v>48</v>
      </c>
      <c r="K481" s="16"/>
      <c r="L481" s="16"/>
      <c r="M481" s="16"/>
      <c r="N481" s="19"/>
      <c r="O481" s="19"/>
      <c r="P481" s="19"/>
      <c r="Q481" s="21">
        <f ca="1">IFERROR(__xludf.DUMMYFUNCTION("""COMPUTED_VALUE"""),151984360)</f>
        <v>151984360</v>
      </c>
      <c r="R481" s="19"/>
      <c r="S481" s="19"/>
      <c r="T481" s="19"/>
      <c r="U481" s="19"/>
      <c r="V481" s="19"/>
      <c r="W481" s="20">
        <f ca="1">IFERROR(__xludf.DUMMYFUNCTION("""COMPUTED_VALUE"""),151984360)</f>
        <v>151984360</v>
      </c>
      <c r="X481" s="20" t="str">
        <f ca="1">IFERROR(__xludf.DUMMYFUNCTION("""COMPUTED_VALUE""")," MUNICIPALIDAD DE CURANILAHUE ")</f>
        <v xml:space="preserve"> MUNICIPALIDAD DE CURANILAHUE </v>
      </c>
    </row>
    <row r="482" spans="1:24" ht="15.75" customHeight="1" x14ac:dyDescent="0.25">
      <c r="A482" s="16" t="str">
        <f ca="1">IFERROR(__xludf.DUMMYFUNCTION("""COMPUTED_VALUE""")," REGIÓN DEL BIOBÍO ")</f>
        <v xml:space="preserve"> REGIÓN DEL BIOBÍO </v>
      </c>
      <c r="B482" s="16" t="str">
        <f t="shared" ca="1" si="1"/>
        <v xml:space="preserve"> CURANILAHUE </v>
      </c>
      <c r="C482" s="16" t="str">
        <f ca="1">IFERROR(__xludf.DUMMYFUNCTION("""COMPUTED_VALUE""")," MEJORAMIENTO PLAZOLETA CALLE 3 DE MAYO LADO NORTE, ENTRE FUNDO EL DESCABEZADO Y FUNDO QUILLAY ")</f>
        <v xml:space="preserve"> MEJORAMIENTO PLAZOLETA CALLE 3 DE MAYO LADO NORTE, ENTRE FUNDO EL DESCABEZADO Y FUNDO QUILLAY </v>
      </c>
      <c r="D482" s="16" t="str">
        <f ca="1">IFERROR(__xludf.DUMMYFUNCTION("""COMPUTED_VALUE""")," 1-B-2024-204 ")</f>
        <v xml:space="preserve"> 1-B-2024-204 </v>
      </c>
      <c r="E482" s="16" t="str">
        <f ca="1">IFERROR(__xludf.DUMMYFUNCTION("""COMPUTED_VALUE""")," 100% Girado ")</f>
        <v xml:space="preserve"> 100% Girado </v>
      </c>
      <c r="F482" s="17">
        <f ca="1">IFERROR(__xludf.DUMMYFUNCTION("""COMPUTED_VALUE"""),45504)</f>
        <v>45504</v>
      </c>
      <c r="G482" s="16">
        <f ca="1">IFERROR(__xludf.DUMMYFUNCTION("""COMPUTED_VALUE"""),151983760)</f>
        <v>151983760</v>
      </c>
      <c r="H482" s="16" t="str">
        <f ca="1">IFERROR(__xludf.DUMMYFUNCTION("""COMPUTED_VALUE""")," 100% Girado ")</f>
        <v xml:space="preserve"> 100% Girado </v>
      </c>
      <c r="I482" s="16">
        <f ca="1">IFERROR(__xludf.DUMMYFUNCTION("""COMPUTED_VALUE"""),151983760)</f>
        <v>151983760</v>
      </c>
      <c r="J482" s="83" t="s">
        <v>48</v>
      </c>
      <c r="K482" s="16"/>
      <c r="L482" s="16"/>
      <c r="M482" s="16"/>
      <c r="N482" s="19"/>
      <c r="O482" s="19"/>
      <c r="P482" s="19"/>
      <c r="Q482" s="21">
        <f ca="1">IFERROR(__xludf.DUMMYFUNCTION("""COMPUTED_VALUE"""),151983760)</f>
        <v>151983760</v>
      </c>
      <c r="R482" s="19"/>
      <c r="S482" s="19"/>
      <c r="T482" s="19"/>
      <c r="U482" s="19"/>
      <c r="V482" s="19"/>
      <c r="W482" s="20">
        <f ca="1">IFERROR(__xludf.DUMMYFUNCTION("""COMPUTED_VALUE"""),151983760)</f>
        <v>151983760</v>
      </c>
      <c r="X482" s="20" t="str">
        <f ca="1">IFERROR(__xludf.DUMMYFUNCTION("""COMPUTED_VALUE""")," MUNICIPALIDAD DE CURANILAHUE ")</f>
        <v xml:space="preserve"> MUNICIPALIDAD DE CURANILAHUE </v>
      </c>
    </row>
    <row r="483" spans="1:24" ht="15.75" customHeight="1" x14ac:dyDescent="0.25">
      <c r="A483" s="16" t="str">
        <f ca="1">IFERROR(__xludf.DUMMYFUNCTION("""COMPUTED_VALUE""")," REGIÓN DEL BIOBÍO ")</f>
        <v xml:space="preserve"> REGIÓN DEL BIOBÍO </v>
      </c>
      <c r="B483" s="16" t="str">
        <f t="shared" ca="1" si="1"/>
        <v xml:space="preserve"> CURANILAHUE </v>
      </c>
      <c r="C483" s="16" t="str">
        <f ca="1">IFERROR(__xludf.DUMMYFUNCTION("""COMPUTED_VALUE""")," CONSTRUCCIÓN MURO DE CONTENCIÓN AVENIDA B. O""HIGGINS FRENTE AL N°1.540 ")</f>
        <v xml:space="preserve"> CONSTRUCCIÓN MURO DE CONTENCIÓN AVENIDA B. O"HIGGINS FRENTE AL N°1.540 </v>
      </c>
      <c r="D483" s="16" t="str">
        <f ca="1">IFERROR(__xludf.DUMMYFUNCTION("""COMPUTED_VALUE""")," 1-B-2024-205 ")</f>
        <v xml:space="preserve"> 1-B-2024-205 </v>
      </c>
      <c r="E483" s="16" t="str">
        <f ca="1">IFERROR(__xludf.DUMMYFUNCTION("""COMPUTED_VALUE""")," 100% Girado ")</f>
        <v xml:space="preserve"> 100% Girado </v>
      </c>
      <c r="F483" s="17">
        <f ca="1">IFERROR(__xludf.DUMMYFUNCTION("""COMPUTED_VALUE"""),45504)</f>
        <v>45504</v>
      </c>
      <c r="G483" s="16">
        <f ca="1">IFERROR(__xludf.DUMMYFUNCTION("""COMPUTED_VALUE"""),152975760)</f>
        <v>152975760</v>
      </c>
      <c r="H483" s="16" t="str">
        <f ca="1">IFERROR(__xludf.DUMMYFUNCTION("""COMPUTED_VALUE""")," 100% Girado ")</f>
        <v xml:space="preserve"> 100% Girado </v>
      </c>
      <c r="I483" s="16">
        <f ca="1">IFERROR(__xludf.DUMMYFUNCTION("""COMPUTED_VALUE"""),152975760)</f>
        <v>152975760</v>
      </c>
      <c r="J483" s="83" t="s">
        <v>48</v>
      </c>
      <c r="K483" s="16"/>
      <c r="L483" s="16"/>
      <c r="M483" s="16"/>
      <c r="N483" s="19"/>
      <c r="O483" s="19"/>
      <c r="P483" s="19"/>
      <c r="Q483" s="21">
        <f ca="1">IFERROR(__xludf.DUMMYFUNCTION("""COMPUTED_VALUE"""),152975760)</f>
        <v>152975760</v>
      </c>
      <c r="R483" s="19"/>
      <c r="S483" s="19"/>
      <c r="T483" s="19"/>
      <c r="U483" s="19"/>
      <c r="V483" s="19"/>
      <c r="W483" s="20">
        <f ca="1">IFERROR(__xludf.DUMMYFUNCTION("""COMPUTED_VALUE"""),152975760)</f>
        <v>152975760</v>
      </c>
      <c r="X483" s="20" t="str">
        <f ca="1">IFERROR(__xludf.DUMMYFUNCTION("""COMPUTED_VALUE""")," MUNICIPALIDAD DE CURANILAHUE ")</f>
        <v xml:space="preserve"> MUNICIPALIDAD DE CURANILAHUE </v>
      </c>
    </row>
    <row r="484" spans="1:24" ht="15.75" customHeight="1" x14ac:dyDescent="0.25">
      <c r="A484" s="16" t="str">
        <f ca="1">IFERROR(__xludf.DUMMYFUNCTION("""COMPUTED_VALUE""")," REGIÓN DEL BIOBÍO ")</f>
        <v xml:space="preserve"> REGIÓN DEL BIOBÍO </v>
      </c>
      <c r="B484" s="16" t="str">
        <f t="shared" ca="1" si="1"/>
        <v xml:space="preserve"> CURANILAHUE </v>
      </c>
      <c r="C484" s="16" t="str">
        <f ca="1">IFERROR(__xludf.DUMMYFUNCTION("""COMPUTED_VALUE""")," MEJORAMIENTO ÁREA VERDE AV. O”HIGGINS FRENTE A SOLUCENTER ")</f>
        <v xml:space="preserve"> MEJORAMIENTO ÁREA VERDE AV. O”HIGGINS FRENTE A SOLUCENTER </v>
      </c>
      <c r="D484" s="16" t="str">
        <f ca="1">IFERROR(__xludf.DUMMYFUNCTION("""COMPUTED_VALUE""")," 1-B-2024-206 ")</f>
        <v xml:space="preserve"> 1-B-2024-206 </v>
      </c>
      <c r="E484" s="16" t="str">
        <f ca="1">IFERROR(__xludf.DUMMYFUNCTION("""COMPUTED_VALUE""")," 100% Girado ")</f>
        <v xml:space="preserve"> 100% Girado </v>
      </c>
      <c r="F484" s="17">
        <f ca="1">IFERROR(__xludf.DUMMYFUNCTION("""COMPUTED_VALUE"""),45504)</f>
        <v>45504</v>
      </c>
      <c r="G484" s="16">
        <f ca="1">IFERROR(__xludf.DUMMYFUNCTION("""COMPUTED_VALUE"""),151922925)</f>
        <v>151922925</v>
      </c>
      <c r="H484" s="16" t="str">
        <f ca="1">IFERROR(__xludf.DUMMYFUNCTION("""COMPUTED_VALUE""")," 100% Girado ")</f>
        <v xml:space="preserve"> 100% Girado </v>
      </c>
      <c r="I484" s="16">
        <f ca="1">IFERROR(__xludf.DUMMYFUNCTION("""COMPUTED_VALUE"""),151922925)</f>
        <v>151922925</v>
      </c>
      <c r="J484" s="83" t="s">
        <v>48</v>
      </c>
      <c r="K484" s="16"/>
      <c r="L484" s="16"/>
      <c r="M484" s="16"/>
      <c r="N484" s="19"/>
      <c r="O484" s="19"/>
      <c r="P484" s="19"/>
      <c r="Q484" s="21">
        <f ca="1">IFERROR(__xludf.DUMMYFUNCTION("""COMPUTED_VALUE"""),151922925)</f>
        <v>151922925</v>
      </c>
      <c r="R484" s="19"/>
      <c r="S484" s="19"/>
      <c r="T484" s="19"/>
      <c r="U484" s="19"/>
      <c r="V484" s="19"/>
      <c r="W484" s="20">
        <f ca="1">IFERROR(__xludf.DUMMYFUNCTION("""COMPUTED_VALUE"""),151922925)</f>
        <v>151922925</v>
      </c>
      <c r="X484" s="20" t="str">
        <f ca="1">IFERROR(__xludf.DUMMYFUNCTION("""COMPUTED_VALUE""")," MUNICIPALIDAD DE CURANILAHUE ")</f>
        <v xml:space="preserve"> MUNICIPALIDAD DE CURANILAHUE </v>
      </c>
    </row>
    <row r="485" spans="1:24" ht="15.75" customHeight="1" x14ac:dyDescent="0.25">
      <c r="A485" s="16" t="str">
        <f ca="1">IFERROR(__xludf.DUMMYFUNCTION("""COMPUTED_VALUE""")," REGIÓN DEL BIOBÍO ")</f>
        <v xml:space="preserve"> REGIÓN DEL BIOBÍO </v>
      </c>
      <c r="B485" s="16" t="str">
        <f t="shared" ca="1" si="1"/>
        <v xml:space="preserve"> CURANILAHUE </v>
      </c>
      <c r="C485" s="16" t="str">
        <f ca="1">IFERROR(__xludf.DUMMYFUNCTION("""COMPUTED_VALUE""")," INSTALACIÓN SEÑALÉTICAS VIALES Y ZONAS DE RIESGO Y DEMARCACIÓN VIAL EN DISTINTOS PUNTOS DE LA COMUNA ")</f>
        <v xml:space="preserve"> INSTALACIÓN SEÑALÉTICAS VIALES Y ZONAS DE RIESGO Y DEMARCACIÓN VIAL EN DISTINTOS PUNTOS DE LA COMUNA </v>
      </c>
      <c r="D485" s="16" t="str">
        <f ca="1">IFERROR(__xludf.DUMMYFUNCTION("""COMPUTED_VALUE""")," 1-B-2024-207 ")</f>
        <v xml:space="preserve"> 1-B-2024-207 </v>
      </c>
      <c r="E485" s="16" t="str">
        <f ca="1">IFERROR(__xludf.DUMMYFUNCTION("""COMPUTED_VALUE""")," 100% Girado ")</f>
        <v xml:space="preserve"> 100% Girado </v>
      </c>
      <c r="F485" s="17">
        <f ca="1">IFERROR(__xludf.DUMMYFUNCTION("""COMPUTED_VALUE"""),45504)</f>
        <v>45504</v>
      </c>
      <c r="G485" s="16">
        <f ca="1">IFERROR(__xludf.DUMMYFUNCTION("""COMPUTED_VALUE"""),148537260)</f>
        <v>148537260</v>
      </c>
      <c r="H485" s="16" t="str">
        <f ca="1">IFERROR(__xludf.DUMMYFUNCTION("""COMPUTED_VALUE""")," 100% Girado ")</f>
        <v xml:space="preserve"> 100% Girado </v>
      </c>
      <c r="I485" s="16">
        <f ca="1">IFERROR(__xludf.DUMMYFUNCTION("""COMPUTED_VALUE"""),148537260)</f>
        <v>148537260</v>
      </c>
      <c r="J485" s="83" t="s">
        <v>48</v>
      </c>
      <c r="K485" s="16"/>
      <c r="L485" s="16"/>
      <c r="M485" s="16"/>
      <c r="N485" s="19"/>
      <c r="O485" s="19"/>
      <c r="P485" s="19"/>
      <c r="Q485" s="21">
        <f ca="1">IFERROR(__xludf.DUMMYFUNCTION("""COMPUTED_VALUE"""),148537260)</f>
        <v>148537260</v>
      </c>
      <c r="R485" s="19"/>
      <c r="S485" s="19"/>
      <c r="T485" s="19"/>
      <c r="U485" s="19"/>
      <c r="V485" s="19"/>
      <c r="W485" s="20">
        <f ca="1">IFERROR(__xludf.DUMMYFUNCTION("""COMPUTED_VALUE"""),148537260)</f>
        <v>148537260</v>
      </c>
      <c r="X485" s="20" t="str">
        <f ca="1">IFERROR(__xludf.DUMMYFUNCTION("""COMPUTED_VALUE""")," MUNICIPALIDAD DE CURANILAHUE ")</f>
        <v xml:space="preserve"> MUNICIPALIDAD DE CURANILAHUE </v>
      </c>
    </row>
    <row r="486" spans="1:24" ht="15.75" customHeight="1" x14ac:dyDescent="0.25">
      <c r="A486" s="16" t="str">
        <f ca="1">IFERROR(__xludf.DUMMYFUNCTION("""COMPUTED_VALUE""")," REGIÓN DEL BIOBÍO ")</f>
        <v xml:space="preserve"> REGIÓN DEL BIOBÍO </v>
      </c>
      <c r="B486" s="16" t="str">
        <f t="shared" ca="1" si="1"/>
        <v xml:space="preserve"> CURANILAHUE </v>
      </c>
      <c r="C486" s="16" t="str">
        <f ca="1">IFERROR(__xludf.DUMMYFUNCTION("""COMPUTED_VALUE""")," INSTALACIÓN DE SEÑALÉTICAS CALLES Y PASAJES CARLOS CONDELL; ERNESTO RIQUELME, GASPAR INOSTROZA, MARTINEZ DE ROZAS, ANDRES BELLO, MAIPU, ENTRE OTROS. ")</f>
        <v xml:space="preserve"> INSTALACIÓN DE SEÑALÉTICAS CALLES Y PASAJES CARLOS CONDELL; ERNESTO RIQUELME, GASPAR INOSTROZA, MARTINEZ DE ROZAS, ANDRES BELLO, MAIPU, ENTRE OTROS. </v>
      </c>
      <c r="D486" s="16" t="str">
        <f ca="1">IFERROR(__xludf.DUMMYFUNCTION("""COMPUTED_VALUE""")," 1-B-2024-208 ")</f>
        <v xml:space="preserve"> 1-B-2024-208 </v>
      </c>
      <c r="E486" s="16" t="str">
        <f ca="1">IFERROR(__xludf.DUMMYFUNCTION("""COMPUTED_VALUE""")," 100% Girado ")</f>
        <v xml:space="preserve"> 100% Girado </v>
      </c>
      <c r="F486" s="17">
        <f ca="1">IFERROR(__xludf.DUMMYFUNCTION("""COMPUTED_VALUE"""),45504)</f>
        <v>45504</v>
      </c>
      <c r="G486" s="16">
        <f ca="1">IFERROR(__xludf.DUMMYFUNCTION("""COMPUTED_VALUE"""),151998160)</f>
        <v>151998160</v>
      </c>
      <c r="H486" s="16" t="str">
        <f ca="1">IFERROR(__xludf.DUMMYFUNCTION("""COMPUTED_VALUE""")," 100% Girado ")</f>
        <v xml:space="preserve"> 100% Girado </v>
      </c>
      <c r="I486" s="16">
        <f ca="1">IFERROR(__xludf.DUMMYFUNCTION("""COMPUTED_VALUE"""),151998160)</f>
        <v>151998160</v>
      </c>
      <c r="J486" s="83" t="s">
        <v>48</v>
      </c>
      <c r="K486" s="16"/>
      <c r="L486" s="16"/>
      <c r="M486" s="16"/>
      <c r="N486" s="19"/>
      <c r="O486" s="19"/>
      <c r="P486" s="19"/>
      <c r="Q486" s="21">
        <f ca="1">IFERROR(__xludf.DUMMYFUNCTION("""COMPUTED_VALUE"""),151998160)</f>
        <v>151998160</v>
      </c>
      <c r="R486" s="19"/>
      <c r="S486" s="19"/>
      <c r="T486" s="19"/>
      <c r="U486" s="19"/>
      <c r="V486" s="19"/>
      <c r="W486" s="20">
        <f ca="1">IFERROR(__xludf.DUMMYFUNCTION("""COMPUTED_VALUE"""),151998160)</f>
        <v>151998160</v>
      </c>
      <c r="X486" s="20" t="str">
        <f ca="1">IFERROR(__xludf.DUMMYFUNCTION("""COMPUTED_VALUE""")," MUNICIPALIDAD DE CURANILAHUE ")</f>
        <v xml:space="preserve"> MUNICIPALIDAD DE CURANILAHUE </v>
      </c>
    </row>
    <row r="487" spans="1:24" ht="15.75" customHeight="1" x14ac:dyDescent="0.25">
      <c r="A487" s="16" t="str">
        <f ca="1">IFERROR(__xludf.DUMMYFUNCTION("""COMPUTED_VALUE""")," REGIÓN DEL BIOBÍO ")</f>
        <v xml:space="preserve"> REGIÓN DEL BIOBÍO </v>
      </c>
      <c r="B487" s="16" t="str">
        <f t="shared" ca="1" si="1"/>
        <v xml:space="preserve"> CURANILAHUE </v>
      </c>
      <c r="C487" s="16" t="str">
        <f ca="1">IFERROR(__xludf.DUMMYFUNCTION("""COMPUTED_VALUE""")," INSTALACIÓN DE SEÑALÉTICAS CALLES Y PASAJES POBLACIÓN EL PORTAL DE CURANILAHUE ")</f>
        <v xml:space="preserve"> INSTALACIÓN DE SEÑALÉTICAS CALLES Y PASAJES POBLACIÓN EL PORTAL DE CURANILAHUE </v>
      </c>
      <c r="D487" s="16" t="str">
        <f ca="1">IFERROR(__xludf.DUMMYFUNCTION("""COMPUTED_VALUE""")," 1-B-2024-209 ")</f>
        <v xml:space="preserve"> 1-B-2024-209 </v>
      </c>
      <c r="E487" s="16" t="str">
        <f ca="1">IFERROR(__xludf.DUMMYFUNCTION("""COMPUTED_VALUE""")," 100% Girado ")</f>
        <v xml:space="preserve"> 100% Girado </v>
      </c>
      <c r="F487" s="17">
        <f ca="1">IFERROR(__xludf.DUMMYFUNCTION("""COMPUTED_VALUE"""),45504)</f>
        <v>45504</v>
      </c>
      <c r="G487" s="16">
        <f ca="1">IFERROR(__xludf.DUMMYFUNCTION("""COMPUTED_VALUE"""),152747850)</f>
        <v>152747850</v>
      </c>
      <c r="H487" s="16" t="str">
        <f ca="1">IFERROR(__xludf.DUMMYFUNCTION("""COMPUTED_VALUE""")," 100% Girado ")</f>
        <v xml:space="preserve"> 100% Girado </v>
      </c>
      <c r="I487" s="16">
        <f ca="1">IFERROR(__xludf.DUMMYFUNCTION("""COMPUTED_VALUE"""),152747850)</f>
        <v>152747850</v>
      </c>
      <c r="J487" s="83" t="s">
        <v>48</v>
      </c>
      <c r="K487" s="16"/>
      <c r="L487" s="16"/>
      <c r="M487" s="16"/>
      <c r="N487" s="19"/>
      <c r="O487" s="19"/>
      <c r="P487" s="19"/>
      <c r="Q487" s="21">
        <f ca="1">IFERROR(__xludf.DUMMYFUNCTION("""COMPUTED_VALUE"""),152747850)</f>
        <v>152747850</v>
      </c>
      <c r="R487" s="19"/>
      <c r="S487" s="19"/>
      <c r="T487" s="19"/>
      <c r="U487" s="19"/>
      <c r="V487" s="19"/>
      <c r="W487" s="20">
        <f ca="1">IFERROR(__xludf.DUMMYFUNCTION("""COMPUTED_VALUE"""),152747850)</f>
        <v>152747850</v>
      </c>
      <c r="X487" s="20" t="str">
        <f ca="1">IFERROR(__xludf.DUMMYFUNCTION("""COMPUTED_VALUE""")," MUNICIPALIDAD DE CURANILAHUE ")</f>
        <v xml:space="preserve"> MUNICIPALIDAD DE CURANILAHUE </v>
      </c>
    </row>
    <row r="488" spans="1:24" ht="15.75" customHeight="1" x14ac:dyDescent="0.25">
      <c r="A488" s="16" t="str">
        <f ca="1">IFERROR(__xludf.DUMMYFUNCTION("""COMPUTED_VALUE""")," REGIÓN DEL BIOBÍO ")</f>
        <v xml:space="preserve"> REGIÓN DEL BIOBÍO </v>
      </c>
      <c r="B488" s="16" t="str">
        <f t="shared" ca="1" si="1"/>
        <v xml:space="preserve"> CURANILAHUE </v>
      </c>
      <c r="C488" s="16" t="str">
        <f ca="1">IFERROR(__xludf.DUMMYFUNCTION("""COMPUTED_VALUE""")," INSTALACIÓN BALIZAS PEATONALES, TACHAS LED Y DEMARCACIÓN VIAL CALLES INÉS DE SUÁREZ Y PEDRO A. CERDA ")</f>
        <v xml:space="preserve"> INSTALACIÓN BALIZAS PEATONALES, TACHAS LED Y DEMARCACIÓN VIAL CALLES INÉS DE SUÁREZ Y PEDRO A. CERDA </v>
      </c>
      <c r="D488" s="16" t="str">
        <f ca="1">IFERROR(__xludf.DUMMYFUNCTION("""COMPUTED_VALUE""")," 1-B-2024-210 ")</f>
        <v xml:space="preserve"> 1-B-2024-210 </v>
      </c>
      <c r="E488" s="16" t="str">
        <f ca="1">IFERROR(__xludf.DUMMYFUNCTION("""COMPUTED_VALUE""")," 100% Girado ")</f>
        <v xml:space="preserve"> 100% Girado </v>
      </c>
      <c r="F488" s="17">
        <f ca="1">IFERROR(__xludf.DUMMYFUNCTION("""COMPUTED_VALUE"""),45504)</f>
        <v>45504</v>
      </c>
      <c r="G488" s="16">
        <f ca="1">IFERROR(__xludf.DUMMYFUNCTION("""COMPUTED_VALUE"""),152547050)</f>
        <v>152547050</v>
      </c>
      <c r="H488" s="16" t="str">
        <f ca="1">IFERROR(__xludf.DUMMYFUNCTION("""COMPUTED_VALUE""")," 100% Girado ")</f>
        <v xml:space="preserve"> 100% Girado </v>
      </c>
      <c r="I488" s="16">
        <f ca="1">IFERROR(__xludf.DUMMYFUNCTION("""COMPUTED_VALUE"""),152547050)</f>
        <v>152547050</v>
      </c>
      <c r="J488" s="83" t="s">
        <v>48</v>
      </c>
      <c r="K488" s="16"/>
      <c r="L488" s="16"/>
      <c r="M488" s="16"/>
      <c r="N488" s="19"/>
      <c r="O488" s="19"/>
      <c r="P488" s="19"/>
      <c r="Q488" s="21">
        <f ca="1">IFERROR(__xludf.DUMMYFUNCTION("""COMPUTED_VALUE"""),152547050)</f>
        <v>152547050</v>
      </c>
      <c r="R488" s="19"/>
      <c r="S488" s="19"/>
      <c r="T488" s="19"/>
      <c r="U488" s="19"/>
      <c r="V488" s="19"/>
      <c r="W488" s="20">
        <f ca="1">IFERROR(__xludf.DUMMYFUNCTION("""COMPUTED_VALUE"""),152547050)</f>
        <v>152547050</v>
      </c>
      <c r="X488" s="20" t="str">
        <f ca="1">IFERROR(__xludf.DUMMYFUNCTION("""COMPUTED_VALUE""")," MUNICIPALIDAD DE CURANILAHUE ")</f>
        <v xml:space="preserve"> MUNICIPALIDAD DE CURANILAHUE </v>
      </c>
    </row>
    <row r="489" spans="1:24" ht="15.75" customHeight="1" x14ac:dyDescent="0.25">
      <c r="A489" s="16" t="str">
        <f ca="1">IFERROR(__xludf.DUMMYFUNCTION("""COMPUTED_VALUE""")," REGIÓN DEL BIOBÍO ")</f>
        <v xml:space="preserve"> REGIÓN DEL BIOBÍO </v>
      </c>
      <c r="B489" s="16" t="str">
        <f t="shared" ca="1" si="1"/>
        <v xml:space="preserve"> CURANILAHUE </v>
      </c>
      <c r="C489" s="16" t="str">
        <f ca="1">IFERROR(__xludf.DUMMYFUNCTION("""COMPUTED_VALUE""")," REPOSICIÓN REFUGIOS PEATONALES CALLES ARAUCO, PAULA JARAQUEMADA Y OTROS ")</f>
        <v xml:space="preserve"> REPOSICIÓN REFUGIOS PEATONALES CALLES ARAUCO, PAULA JARAQUEMADA Y OTROS </v>
      </c>
      <c r="D489" s="16" t="str">
        <f ca="1">IFERROR(__xludf.DUMMYFUNCTION("""COMPUTED_VALUE""")," 1-B-2024-211 ")</f>
        <v xml:space="preserve"> 1-B-2024-211 </v>
      </c>
      <c r="E489" s="16" t="str">
        <f ca="1">IFERROR(__xludf.DUMMYFUNCTION("""COMPUTED_VALUE""")," 100% Girado ")</f>
        <v xml:space="preserve"> 100% Girado </v>
      </c>
      <c r="F489" s="17">
        <f ca="1">IFERROR(__xludf.DUMMYFUNCTION("""COMPUTED_VALUE"""),45504)</f>
        <v>45504</v>
      </c>
      <c r="G489" s="16">
        <f ca="1">IFERROR(__xludf.DUMMYFUNCTION("""COMPUTED_VALUE"""),152547150)</f>
        <v>152547150</v>
      </c>
      <c r="H489" s="16" t="str">
        <f ca="1">IFERROR(__xludf.DUMMYFUNCTION("""COMPUTED_VALUE""")," 100% Girado ")</f>
        <v xml:space="preserve"> 100% Girado </v>
      </c>
      <c r="I489" s="16">
        <f ca="1">IFERROR(__xludf.DUMMYFUNCTION("""COMPUTED_VALUE"""),152547150)</f>
        <v>152547150</v>
      </c>
      <c r="J489" s="83" t="s">
        <v>48</v>
      </c>
      <c r="K489" s="16"/>
      <c r="L489" s="16"/>
      <c r="M489" s="16"/>
      <c r="N489" s="19"/>
      <c r="O489" s="19"/>
      <c r="P489" s="19"/>
      <c r="Q489" s="21">
        <f ca="1">IFERROR(__xludf.DUMMYFUNCTION("""COMPUTED_VALUE"""),152547150)</f>
        <v>152547150</v>
      </c>
      <c r="R489" s="19"/>
      <c r="S489" s="19"/>
      <c r="T489" s="19"/>
      <c r="U489" s="19"/>
      <c r="V489" s="19"/>
      <c r="W489" s="20">
        <f ca="1">IFERROR(__xludf.DUMMYFUNCTION("""COMPUTED_VALUE"""),152547150)</f>
        <v>152547150</v>
      </c>
      <c r="X489" s="20" t="str">
        <f ca="1">IFERROR(__xludf.DUMMYFUNCTION("""COMPUTED_VALUE""")," MUNICIPALIDAD DE CURANILAHUE ")</f>
        <v xml:space="preserve"> MUNICIPALIDAD DE CURANILAHUE </v>
      </c>
    </row>
    <row r="490" spans="1:24" ht="15.75" customHeight="1" x14ac:dyDescent="0.25">
      <c r="A490" s="16" t="str">
        <f ca="1">IFERROR(__xludf.DUMMYFUNCTION("""COMPUTED_VALUE""")," REGIÓN DEL BIOBÍO ")</f>
        <v xml:space="preserve"> REGIÓN DEL BIOBÍO </v>
      </c>
      <c r="B490" s="16" t="str">
        <f t="shared" ca="1" si="1"/>
        <v xml:space="preserve"> CURANILAHUE </v>
      </c>
      <c r="C490" s="16" t="str">
        <f ca="1">IFERROR(__xludf.DUMMYFUNCTION("""COMPUTED_VALUE""")," REPOSICIÓN VEREDAS CALLES COLIPÍ Y PASAJE LIBERTAD ")</f>
        <v xml:space="preserve"> REPOSICIÓN VEREDAS CALLES COLIPÍ Y PASAJE LIBERTAD </v>
      </c>
      <c r="D490" s="16" t="str">
        <f ca="1">IFERROR(__xludf.DUMMYFUNCTION("""COMPUTED_VALUE""")," 1-B-2024-212 ")</f>
        <v xml:space="preserve"> 1-B-2024-212 </v>
      </c>
      <c r="E490" s="16" t="str">
        <f ca="1">IFERROR(__xludf.DUMMYFUNCTION("""COMPUTED_VALUE""")," 100% Girado ")</f>
        <v xml:space="preserve"> 100% Girado </v>
      </c>
      <c r="F490" s="17">
        <f ca="1">IFERROR(__xludf.DUMMYFUNCTION("""COMPUTED_VALUE"""),45504)</f>
        <v>45504</v>
      </c>
      <c r="G490" s="16">
        <f ca="1">IFERROR(__xludf.DUMMYFUNCTION("""COMPUTED_VALUE"""),153676250)</f>
        <v>153676250</v>
      </c>
      <c r="H490" s="16" t="str">
        <f ca="1">IFERROR(__xludf.DUMMYFUNCTION("""COMPUTED_VALUE""")," 100% Girado ")</f>
        <v xml:space="preserve"> 100% Girado </v>
      </c>
      <c r="I490" s="16">
        <f ca="1">IFERROR(__xludf.DUMMYFUNCTION("""COMPUTED_VALUE"""),153676250)</f>
        <v>153676250</v>
      </c>
      <c r="J490" s="83" t="s">
        <v>48</v>
      </c>
      <c r="K490" s="16"/>
      <c r="L490" s="16"/>
      <c r="M490" s="16"/>
      <c r="N490" s="19"/>
      <c r="O490" s="19"/>
      <c r="P490" s="19"/>
      <c r="Q490" s="21">
        <f ca="1">IFERROR(__xludf.DUMMYFUNCTION("""COMPUTED_VALUE"""),153676250)</f>
        <v>153676250</v>
      </c>
      <c r="R490" s="19"/>
      <c r="S490" s="19"/>
      <c r="T490" s="19"/>
      <c r="U490" s="19"/>
      <c r="V490" s="19"/>
      <c r="W490" s="20">
        <f ca="1">IFERROR(__xludf.DUMMYFUNCTION("""COMPUTED_VALUE"""),153676250)</f>
        <v>153676250</v>
      </c>
      <c r="X490" s="20" t="str">
        <f ca="1">IFERROR(__xludf.DUMMYFUNCTION("""COMPUTED_VALUE""")," MUNICIPALIDAD DE CURANILAHUE ")</f>
        <v xml:space="preserve"> MUNICIPALIDAD DE CURANILAHUE </v>
      </c>
    </row>
    <row r="491" spans="1:24" ht="15.75" customHeight="1" x14ac:dyDescent="0.25">
      <c r="A491" s="16" t="str">
        <f ca="1">IFERROR(__xludf.DUMMYFUNCTION("""COMPUTED_VALUE""")," REGIÓN DEL BIOBÍO ")</f>
        <v xml:space="preserve"> REGIÓN DEL BIOBÍO </v>
      </c>
      <c r="B491" s="16" t="str">
        <f t="shared" ca="1" si="1"/>
        <v xml:space="preserve"> CORONEL </v>
      </c>
      <c r="C491" s="16" t="str">
        <f ca="1">IFERROR(__xludf.DUMMYFUNCTION("""COMPUTED_VALUE""")," 1. REPOSICIÓN ACERAS EN CALLE LOS DIAGUITAS ENTRE CALLES VOLCÁN PUYEHUE Y VOLCÁN ISLUGA, POB. JORGE ALESSANDRI. ")</f>
        <v xml:space="preserve"> 1. REPOSICIÓN ACERAS EN CALLE LOS DIAGUITAS ENTRE CALLES VOLCÁN PUYEHUE Y VOLCÁN ISLUGA, POB. JORGE ALESSANDRI. </v>
      </c>
      <c r="D491" s="16" t="str">
        <f ca="1">IFERROR(__xludf.DUMMYFUNCTION("""COMPUTED_VALUE""")," 1-K-2024-3 ")</f>
        <v xml:space="preserve"> 1-K-2024-3 </v>
      </c>
      <c r="E491" s="16" t="str">
        <f ca="1">IFERROR(__xludf.DUMMYFUNCTION("""COMPUTED_VALUE""")," Con Giro por Anticipo ")</f>
        <v xml:space="preserve"> Con Giro por Anticipo </v>
      </c>
      <c r="F491" s="17">
        <f ca="1">IFERROR(__xludf.DUMMYFUNCTION("""COMPUTED_VALUE"""),45495)</f>
        <v>45495</v>
      </c>
      <c r="G491" s="16">
        <f ca="1">IFERROR(__xludf.DUMMYFUNCTION("""COMPUTED_VALUE"""),54785895)</f>
        <v>54785895</v>
      </c>
      <c r="H491" s="16" t="str">
        <f ca="1">IFERROR(__xludf.DUMMYFUNCTION("""COMPUTED_VALUE""")," Con Giro por Anticipo ")</f>
        <v xml:space="preserve"> Con Giro por Anticipo </v>
      </c>
      <c r="I491" s="16">
        <f ca="1">IFERROR(__xludf.DUMMYFUNCTION("""COMPUTED_VALUE"""),27392948)</f>
        <v>27392948</v>
      </c>
      <c r="J491" s="83" t="s">
        <v>48</v>
      </c>
      <c r="K491" s="16"/>
      <c r="L491" s="16"/>
      <c r="M491" s="16"/>
      <c r="N491" s="19"/>
      <c r="O491" s="19"/>
      <c r="P491" s="19"/>
      <c r="Q491" s="21">
        <f ca="1">IFERROR(__xludf.DUMMYFUNCTION("""COMPUTED_VALUE"""),27392948)</f>
        <v>27392948</v>
      </c>
      <c r="R491" s="19"/>
      <c r="S491" s="19"/>
      <c r="T491" s="19"/>
      <c r="U491" s="19"/>
      <c r="V491" s="19"/>
      <c r="W491" s="20">
        <f ca="1">IFERROR(__xludf.DUMMYFUNCTION("""COMPUTED_VALUE"""),27392948)</f>
        <v>27392948</v>
      </c>
      <c r="X491" s="20" t="str">
        <f ca="1">IFERROR(__xludf.DUMMYFUNCTION("""COMPUTED_VALUE""")," MUNICIPALIDAD DE CORONEL ")</f>
        <v xml:space="preserve"> MUNICIPALIDAD DE CORONEL </v>
      </c>
    </row>
    <row r="492" spans="1:24" ht="15.75" customHeight="1" x14ac:dyDescent="0.25">
      <c r="A492" s="16" t="str">
        <f ca="1">IFERROR(__xludf.DUMMYFUNCTION("""COMPUTED_VALUE""")," REGIÓN DEL BIOBÍO ")</f>
        <v xml:space="preserve"> REGIÓN DEL BIOBÍO </v>
      </c>
      <c r="B492" s="16" t="str">
        <f t="shared" ca="1" si="1"/>
        <v xml:space="preserve"> CORONEL </v>
      </c>
      <c r="C492" s="16" t="str">
        <f ca="1">IFERROR(__xludf.DUMMYFUNCTION("""COMPUTED_VALUE""")," 2. REPOSICIÓN ACERAS EN CALLE VOLCÁN VILLARRICA ENTRE CALLES LOS DIAGUITAS Y VOLCÁN TAKORA, POB. JORGE ALESSANDRI. ")</f>
        <v xml:space="preserve"> 2. REPOSICIÓN ACERAS EN CALLE VOLCÁN VILLARRICA ENTRE CALLES LOS DIAGUITAS Y VOLCÁN TAKORA, POB. JORGE ALESSANDRI. </v>
      </c>
      <c r="D492" s="16" t="str">
        <f ca="1">IFERROR(__xludf.DUMMYFUNCTION("""COMPUTED_VALUE""")," 1-K-2024-4 ")</f>
        <v xml:space="preserve"> 1-K-2024-4 </v>
      </c>
      <c r="E492" s="16" t="str">
        <f ca="1">IFERROR(__xludf.DUMMYFUNCTION("""COMPUTED_VALUE""")," Con Giro por Anticipo ")</f>
        <v xml:space="preserve"> Con Giro por Anticipo </v>
      </c>
      <c r="F492" s="17">
        <f ca="1">IFERROR(__xludf.DUMMYFUNCTION("""COMPUTED_VALUE"""),45497)</f>
        <v>45497</v>
      </c>
      <c r="G492" s="16">
        <f ca="1">IFERROR(__xludf.DUMMYFUNCTION("""COMPUTED_VALUE"""),88219323)</f>
        <v>88219323</v>
      </c>
      <c r="H492" s="16" t="str">
        <f ca="1">IFERROR(__xludf.DUMMYFUNCTION("""COMPUTED_VALUE""")," Con Giro por Anticipo ")</f>
        <v xml:space="preserve"> Con Giro por Anticipo </v>
      </c>
      <c r="I492" s="16">
        <f ca="1">IFERROR(__xludf.DUMMYFUNCTION("""COMPUTED_VALUE"""),44109662)</f>
        <v>44109662</v>
      </c>
      <c r="J492" s="83" t="s">
        <v>48</v>
      </c>
      <c r="K492" s="16"/>
      <c r="L492" s="16"/>
      <c r="M492" s="16"/>
      <c r="N492" s="19"/>
      <c r="O492" s="19"/>
      <c r="P492" s="19"/>
      <c r="Q492" s="21">
        <f ca="1">IFERROR(__xludf.DUMMYFUNCTION("""COMPUTED_VALUE"""),44109662)</f>
        <v>44109662</v>
      </c>
      <c r="R492" s="19"/>
      <c r="S492" s="19"/>
      <c r="T492" s="19"/>
      <c r="U492" s="19"/>
      <c r="V492" s="19"/>
      <c r="W492" s="20">
        <f ca="1">IFERROR(__xludf.DUMMYFUNCTION("""COMPUTED_VALUE"""),44109662)</f>
        <v>44109662</v>
      </c>
      <c r="X492" s="20" t="str">
        <f ca="1">IFERROR(__xludf.DUMMYFUNCTION("""COMPUTED_VALUE""")," MUNICIPALIDAD DE CORONEL ")</f>
        <v xml:space="preserve"> MUNICIPALIDAD DE CORONEL </v>
      </c>
    </row>
    <row r="493" spans="1:24" ht="15.75" customHeight="1" x14ac:dyDescent="0.25">
      <c r="A493" s="16" t="str">
        <f ca="1">IFERROR(__xludf.DUMMYFUNCTION("""COMPUTED_VALUE""")," REGIÓN DEL BIOBÍO ")</f>
        <v xml:space="preserve"> REGIÓN DEL BIOBÍO </v>
      </c>
      <c r="B493" s="16" t="str">
        <f t="shared" ca="1" si="1"/>
        <v xml:space="preserve"> CORONEL </v>
      </c>
      <c r="C493" s="16" t="str">
        <f ca="1">IFERROR(__xludf.DUMMYFUNCTION("""COMPUTED_VALUE""")," 3. REPOSICIÓN ACERAS EN CALLE LOS DIAGUITAS ENTRE CALLES VOLCÁN LLULLAILLACO Y VOLCÁN VILLARRICA, POB. JORGE ALESSANDRI. ")</f>
        <v xml:space="preserve"> 3. REPOSICIÓN ACERAS EN CALLE LOS DIAGUITAS ENTRE CALLES VOLCÁN LLULLAILLACO Y VOLCÁN VILLARRICA, POB. JORGE ALESSANDRI. </v>
      </c>
      <c r="D493" s="16" t="str">
        <f ca="1">IFERROR(__xludf.DUMMYFUNCTION("""COMPUTED_VALUE""")," 1-K-2024-5 ")</f>
        <v xml:space="preserve"> 1-K-2024-5 </v>
      </c>
      <c r="E493" s="16" t="str">
        <f ca="1">IFERROR(__xludf.DUMMYFUNCTION("""COMPUTED_VALUE""")," Con Giro por Anticipo ")</f>
        <v xml:space="preserve"> Con Giro por Anticipo </v>
      </c>
      <c r="F493" s="17">
        <f ca="1">IFERROR(__xludf.DUMMYFUNCTION("""COMPUTED_VALUE"""),45497)</f>
        <v>45497</v>
      </c>
      <c r="G493" s="16">
        <f ca="1">IFERROR(__xludf.DUMMYFUNCTION("""COMPUTED_VALUE"""),161211965)</f>
        <v>161211965</v>
      </c>
      <c r="H493" s="16" t="str">
        <f ca="1">IFERROR(__xludf.DUMMYFUNCTION("""COMPUTED_VALUE""")," Con Giro por Anticipo ")</f>
        <v xml:space="preserve"> Con Giro por Anticipo </v>
      </c>
      <c r="I493" s="16">
        <f ca="1">IFERROR(__xludf.DUMMYFUNCTION("""COMPUTED_VALUE"""),80605983)</f>
        <v>80605983</v>
      </c>
      <c r="J493" s="83" t="s">
        <v>48</v>
      </c>
      <c r="K493" s="16"/>
      <c r="L493" s="16"/>
      <c r="M493" s="16"/>
      <c r="N493" s="19"/>
      <c r="O493" s="19"/>
      <c r="P493" s="19"/>
      <c r="Q493" s="21">
        <f ca="1">IFERROR(__xludf.DUMMYFUNCTION("""COMPUTED_VALUE"""),80605983)</f>
        <v>80605983</v>
      </c>
      <c r="R493" s="19"/>
      <c r="S493" s="19"/>
      <c r="T493" s="19"/>
      <c r="U493" s="19"/>
      <c r="V493" s="19"/>
      <c r="W493" s="20">
        <f ca="1">IFERROR(__xludf.DUMMYFUNCTION("""COMPUTED_VALUE"""),80605983)</f>
        <v>80605983</v>
      </c>
      <c r="X493" s="20" t="str">
        <f ca="1">IFERROR(__xludf.DUMMYFUNCTION("""COMPUTED_VALUE""")," MUNICIPALIDAD DE CORONEL ")</f>
        <v xml:space="preserve"> MUNICIPALIDAD DE CORONEL </v>
      </c>
    </row>
    <row r="494" spans="1:24" ht="15.75" customHeight="1" x14ac:dyDescent="0.25">
      <c r="A494" s="16" t="str">
        <f ca="1">IFERROR(__xludf.DUMMYFUNCTION("""COMPUTED_VALUE""")," REGIÓN DEL BIOBÍO ")</f>
        <v xml:space="preserve"> REGIÓN DEL BIOBÍO </v>
      </c>
      <c r="B494" s="16" t="str">
        <f t="shared" ca="1" si="1"/>
        <v xml:space="preserve"> CORONEL </v>
      </c>
      <c r="C494" s="16" t="str">
        <f ca="1">IFERROR(__xludf.DUMMYFUNCTION("""COMPUTED_VALUE""")," 4. REPOSICIÓN ACERAS EN CALLE VOLCÁN VILLARRICA ENTRE CALLES LOS DIAGUITAS Y VOLCÁN SAN PEDRO, POB. JORGE ALESSANDRI. ")</f>
        <v xml:space="preserve"> 4. REPOSICIÓN ACERAS EN CALLE VOLCÁN VILLARRICA ENTRE CALLES LOS DIAGUITAS Y VOLCÁN SAN PEDRO, POB. JORGE ALESSANDRI. </v>
      </c>
      <c r="D494" s="16" t="str">
        <f ca="1">IFERROR(__xludf.DUMMYFUNCTION("""COMPUTED_VALUE""")," 1-K-2024-6 ")</f>
        <v xml:space="preserve"> 1-K-2024-6 </v>
      </c>
      <c r="E494" s="16" t="str">
        <f ca="1">IFERROR(__xludf.DUMMYFUNCTION("""COMPUTED_VALUE""")," Con Giro por Anticipo ")</f>
        <v xml:space="preserve"> Con Giro por Anticipo </v>
      </c>
      <c r="F494" s="17">
        <f ca="1">IFERROR(__xludf.DUMMYFUNCTION("""COMPUTED_VALUE"""),45504)</f>
        <v>45504</v>
      </c>
      <c r="G494" s="16">
        <f ca="1">IFERROR(__xludf.DUMMYFUNCTION("""COMPUTED_VALUE"""),161294974)</f>
        <v>161294974</v>
      </c>
      <c r="H494" s="16" t="str">
        <f ca="1">IFERROR(__xludf.DUMMYFUNCTION("""COMPUTED_VALUE""")," Con Giro por Anticipo ")</f>
        <v xml:space="preserve"> Con Giro por Anticipo </v>
      </c>
      <c r="I494" s="16">
        <f ca="1">IFERROR(__xludf.DUMMYFUNCTION("""COMPUTED_VALUE"""),80647487)</f>
        <v>80647487</v>
      </c>
      <c r="J494" s="83" t="s">
        <v>48</v>
      </c>
      <c r="K494" s="16"/>
      <c r="L494" s="16"/>
      <c r="M494" s="16"/>
      <c r="N494" s="19"/>
      <c r="O494" s="19"/>
      <c r="P494" s="19"/>
      <c r="Q494" s="21">
        <f ca="1">IFERROR(__xludf.DUMMYFUNCTION("""COMPUTED_VALUE"""),80647487)</f>
        <v>80647487</v>
      </c>
      <c r="R494" s="19"/>
      <c r="S494" s="19"/>
      <c r="T494" s="19"/>
      <c r="U494" s="19"/>
      <c r="V494" s="19"/>
      <c r="W494" s="20">
        <f ca="1">IFERROR(__xludf.DUMMYFUNCTION("""COMPUTED_VALUE"""),80647487)</f>
        <v>80647487</v>
      </c>
      <c r="X494" s="20" t="str">
        <f ca="1">IFERROR(__xludf.DUMMYFUNCTION("""COMPUTED_VALUE""")," MUNICIPALIDAD DE CORONEL ")</f>
        <v xml:space="preserve"> MUNICIPALIDAD DE CORONEL </v>
      </c>
    </row>
    <row r="495" spans="1:24" ht="15.75" customHeight="1" x14ac:dyDescent="0.25">
      <c r="A495" s="16" t="str">
        <f ca="1">IFERROR(__xludf.DUMMYFUNCTION("""COMPUTED_VALUE""")," REGIÓN DEL BIOBÍO ")</f>
        <v xml:space="preserve"> REGIÓN DEL BIOBÍO </v>
      </c>
      <c r="B495" s="16" t="str">
        <f t="shared" ca="1" si="1"/>
        <v xml:space="preserve"> CORONEL </v>
      </c>
      <c r="C495" s="16" t="str">
        <f ca="1">IFERROR(__xludf.DUMMYFUNCTION("""COMPUTED_VALUE""")," 5. REPOSICIÓN ACERAS EN CALLE LOS DIAGUITAS ENTRE CALLES VOLCÁN ISLUGA Y VOLCÁN LLULLAILLACO, POB. JORGE ALESSANDRI. ")</f>
        <v xml:space="preserve"> 5. REPOSICIÓN ACERAS EN CALLE LOS DIAGUITAS ENTRE CALLES VOLCÁN ISLUGA Y VOLCÁN LLULLAILLACO, POB. JORGE ALESSANDRI. </v>
      </c>
      <c r="D495" s="16" t="str">
        <f ca="1">IFERROR(__xludf.DUMMYFUNCTION("""COMPUTED_VALUE""")," 1-K-2024-7 ")</f>
        <v xml:space="preserve"> 1-K-2024-7 </v>
      </c>
      <c r="E495" s="16" t="str">
        <f ca="1">IFERROR(__xludf.DUMMYFUNCTION("""COMPUTED_VALUE""")," Con Giro por Anticipo ")</f>
        <v xml:space="preserve"> Con Giro por Anticipo </v>
      </c>
      <c r="F495" s="17">
        <f ca="1">IFERROR(__xludf.DUMMYFUNCTION("""COMPUTED_VALUE"""),45496)</f>
        <v>45496</v>
      </c>
      <c r="G495" s="16">
        <f ca="1">IFERROR(__xludf.DUMMYFUNCTION("""COMPUTED_VALUE"""),91952595)</f>
        <v>91952595</v>
      </c>
      <c r="H495" s="16" t="str">
        <f ca="1">IFERROR(__xludf.DUMMYFUNCTION("""COMPUTED_VALUE""")," Con Giro por Anticipo ")</f>
        <v xml:space="preserve"> Con Giro por Anticipo </v>
      </c>
      <c r="I495" s="16">
        <f ca="1">IFERROR(__xludf.DUMMYFUNCTION("""COMPUTED_VALUE"""),45976298)</f>
        <v>45976298</v>
      </c>
      <c r="J495" s="83" t="s">
        <v>48</v>
      </c>
      <c r="K495" s="16"/>
      <c r="L495" s="16"/>
      <c r="M495" s="16"/>
      <c r="N495" s="19"/>
      <c r="O495" s="19"/>
      <c r="P495" s="19"/>
      <c r="Q495" s="21">
        <f ca="1">IFERROR(__xludf.DUMMYFUNCTION("""COMPUTED_VALUE"""),45976298)</f>
        <v>45976298</v>
      </c>
      <c r="R495" s="19"/>
      <c r="S495" s="19"/>
      <c r="T495" s="19"/>
      <c r="U495" s="19"/>
      <c r="V495" s="19"/>
      <c r="W495" s="20">
        <f ca="1">IFERROR(__xludf.DUMMYFUNCTION("""COMPUTED_VALUE"""),45976298)</f>
        <v>45976298</v>
      </c>
      <c r="X495" s="20" t="str">
        <f ca="1">IFERROR(__xludf.DUMMYFUNCTION("""COMPUTED_VALUE""")," MUNICIPALIDAD DE CORONEL ")</f>
        <v xml:space="preserve"> MUNICIPALIDAD DE CORONEL </v>
      </c>
    </row>
    <row r="496" spans="1:24" ht="15.75" customHeight="1" x14ac:dyDescent="0.25">
      <c r="A496" s="16" t="str">
        <f ca="1">IFERROR(__xludf.DUMMYFUNCTION("""COMPUTED_VALUE""")," REGIÓN DEL BIOBÍO ")</f>
        <v xml:space="preserve"> REGIÓN DEL BIOBÍO </v>
      </c>
      <c r="B496" s="16" t="str">
        <f t="shared" ca="1" si="1"/>
        <v xml:space="preserve"> CORONEL </v>
      </c>
      <c r="C496" s="16" t="str">
        <f ca="1">IFERROR(__xludf.DUMMYFUNCTION("""COMPUTED_VALUE""")," 6. MEJORAMIENTO GRADERÍAS EN MULTICANCHA DE CALLE LOS ALERCES, POB. LAGUNILLAS ")</f>
        <v xml:space="preserve"> 6. MEJORAMIENTO GRADERÍAS EN MULTICANCHA DE CALLE LOS ALERCES, POB. LAGUNILLAS </v>
      </c>
      <c r="D496" s="16" t="str">
        <f ca="1">IFERROR(__xludf.DUMMYFUNCTION("""COMPUTED_VALUE""")," 1-K-2024-8 ")</f>
        <v xml:space="preserve"> 1-K-2024-8 </v>
      </c>
      <c r="E496" s="16" t="str">
        <f ca="1">IFERROR(__xludf.DUMMYFUNCTION("""COMPUTED_VALUE""")," Con Giro por Anticipo ")</f>
        <v xml:space="preserve"> Con Giro por Anticipo </v>
      </c>
      <c r="F496" s="17">
        <f ca="1">IFERROR(__xludf.DUMMYFUNCTION("""COMPUTED_VALUE"""),45495)</f>
        <v>45495</v>
      </c>
      <c r="G496" s="16">
        <f ca="1">IFERROR(__xludf.DUMMYFUNCTION("""COMPUTED_VALUE"""),161206146)</f>
        <v>161206146</v>
      </c>
      <c r="H496" s="16" t="str">
        <f ca="1">IFERROR(__xludf.DUMMYFUNCTION("""COMPUTED_VALUE""")," Con Giro por Anticipo ")</f>
        <v xml:space="preserve"> Con Giro por Anticipo </v>
      </c>
      <c r="I496" s="16">
        <f ca="1">IFERROR(__xludf.DUMMYFUNCTION("""COMPUTED_VALUE"""),80603073)</f>
        <v>80603073</v>
      </c>
      <c r="J496" s="83" t="s">
        <v>48</v>
      </c>
      <c r="K496" s="16"/>
      <c r="L496" s="16"/>
      <c r="M496" s="16"/>
      <c r="N496" s="19"/>
      <c r="O496" s="19"/>
      <c r="P496" s="19"/>
      <c r="Q496" s="21">
        <f ca="1">IFERROR(__xludf.DUMMYFUNCTION("""COMPUTED_VALUE"""),80603073)</f>
        <v>80603073</v>
      </c>
      <c r="R496" s="19"/>
      <c r="S496" s="19"/>
      <c r="T496" s="19"/>
      <c r="U496" s="19"/>
      <c r="V496" s="19"/>
      <c r="W496" s="20">
        <f ca="1">IFERROR(__xludf.DUMMYFUNCTION("""COMPUTED_VALUE"""),80603073)</f>
        <v>80603073</v>
      </c>
      <c r="X496" s="20" t="str">
        <f ca="1">IFERROR(__xludf.DUMMYFUNCTION("""COMPUTED_VALUE""")," MUNICIPALIDAD DE CORONEL ")</f>
        <v xml:space="preserve"> MUNICIPALIDAD DE CORONEL </v>
      </c>
    </row>
    <row r="497" spans="1:24" ht="15.75" customHeight="1" x14ac:dyDescent="0.25">
      <c r="A497" s="16" t="str">
        <f ca="1">IFERROR(__xludf.DUMMYFUNCTION("""COMPUTED_VALUE""")," REGIÓN DEL BIOBÍO ")</f>
        <v xml:space="preserve"> REGIÓN DEL BIOBÍO </v>
      </c>
      <c r="B497" s="16" t="str">
        <f t="shared" ca="1" si="1"/>
        <v xml:space="preserve"> CORONEL </v>
      </c>
      <c r="C497" s="16" t="str">
        <f ca="1">IFERROR(__xludf.DUMMYFUNCTION("""COMPUTED_VALUE""")," 7. REPOSICIÓN ACERAS EN CALLE LOS NOGALES ENTRE CALLES LOS SAUCES Y LOS GUAYACANES, POB. LAGUNILLAS. ")</f>
        <v xml:space="preserve"> 7. REPOSICIÓN ACERAS EN CALLE LOS NOGALES ENTRE CALLES LOS SAUCES Y LOS GUAYACANES, POB. LAGUNILLAS. </v>
      </c>
      <c r="D497" s="16" t="str">
        <f ca="1">IFERROR(__xludf.DUMMYFUNCTION("""COMPUTED_VALUE""")," 1-K-2024-9 ")</f>
        <v xml:space="preserve"> 1-K-2024-9 </v>
      </c>
      <c r="E497" s="16" t="str">
        <f ca="1">IFERROR(__xludf.DUMMYFUNCTION("""COMPUTED_VALUE""")," Con Giro por Anticipo ")</f>
        <v xml:space="preserve"> Con Giro por Anticipo </v>
      </c>
      <c r="F497" s="17">
        <f ca="1">IFERROR(__xludf.DUMMYFUNCTION("""COMPUTED_VALUE"""),45495)</f>
        <v>45495</v>
      </c>
      <c r="G497" s="16">
        <f ca="1">IFERROR(__xludf.DUMMYFUNCTION("""COMPUTED_VALUE"""),92454638)</f>
        <v>92454638</v>
      </c>
      <c r="H497" s="16" t="str">
        <f ca="1">IFERROR(__xludf.DUMMYFUNCTION("""COMPUTED_VALUE""")," Con Giro por Anticipo ")</f>
        <v xml:space="preserve"> Con Giro por Anticipo </v>
      </c>
      <c r="I497" s="16">
        <f ca="1">IFERROR(__xludf.DUMMYFUNCTION("""COMPUTED_VALUE"""),46227319)</f>
        <v>46227319</v>
      </c>
      <c r="J497" s="83" t="s">
        <v>48</v>
      </c>
      <c r="K497" s="16"/>
      <c r="L497" s="16"/>
      <c r="M497" s="16"/>
      <c r="N497" s="19"/>
      <c r="O497" s="19"/>
      <c r="P497" s="19"/>
      <c r="Q497" s="21">
        <f ca="1">IFERROR(__xludf.DUMMYFUNCTION("""COMPUTED_VALUE"""),46227319)</f>
        <v>46227319</v>
      </c>
      <c r="R497" s="19"/>
      <c r="S497" s="19"/>
      <c r="T497" s="19"/>
      <c r="U497" s="19"/>
      <c r="V497" s="19"/>
      <c r="W497" s="20">
        <f ca="1">IFERROR(__xludf.DUMMYFUNCTION("""COMPUTED_VALUE"""),46227319)</f>
        <v>46227319</v>
      </c>
      <c r="X497" s="20" t="str">
        <f ca="1">IFERROR(__xludf.DUMMYFUNCTION("""COMPUTED_VALUE""")," MUNICIPALIDAD DE CORONEL ")</f>
        <v xml:space="preserve"> MUNICIPALIDAD DE CORONEL </v>
      </c>
    </row>
    <row r="498" spans="1:24" ht="15.75" customHeight="1" x14ac:dyDescent="0.25">
      <c r="A498" s="16" t="str">
        <f ca="1">IFERROR(__xludf.DUMMYFUNCTION("""COMPUTED_VALUE""")," REGIÓN DEL BIOBÍO ")</f>
        <v xml:space="preserve"> REGIÓN DEL BIOBÍO </v>
      </c>
      <c r="B498" s="16" t="str">
        <f t="shared" ca="1" si="1"/>
        <v xml:space="preserve"> CORONEL </v>
      </c>
      <c r="C498" s="16" t="str">
        <f ca="1">IFERROR(__xludf.DUMMYFUNCTION("""COMPUTED_VALUE""")," 8. REPOSICIÓN ACERAS EN CALLE LOS NOGALES ENTRE CALLES LAS QUILAS Y LOS RADALES, POB. LAGUNILLAS. ")</f>
        <v xml:space="preserve"> 8. REPOSICIÓN ACERAS EN CALLE LOS NOGALES ENTRE CALLES LAS QUILAS Y LOS RADALES, POB. LAGUNILLAS. </v>
      </c>
      <c r="D498" s="16" t="str">
        <f ca="1">IFERROR(__xludf.DUMMYFUNCTION("""COMPUTED_VALUE""")," 1-K-2024-10 ")</f>
        <v xml:space="preserve"> 1-K-2024-10 </v>
      </c>
      <c r="E498" s="16" t="str">
        <f ca="1">IFERROR(__xludf.DUMMYFUNCTION("""COMPUTED_VALUE""")," Con Giro por Anticipo ")</f>
        <v xml:space="preserve"> Con Giro por Anticipo </v>
      </c>
      <c r="F498" s="17">
        <f ca="1">IFERROR(__xludf.DUMMYFUNCTION("""COMPUTED_VALUE"""),45497)</f>
        <v>45497</v>
      </c>
      <c r="G498" s="16">
        <f ca="1">IFERROR(__xludf.DUMMYFUNCTION("""COMPUTED_VALUE"""),87997983)</f>
        <v>87997983</v>
      </c>
      <c r="H498" s="16" t="str">
        <f ca="1">IFERROR(__xludf.DUMMYFUNCTION("""COMPUTED_VALUE""")," Con Giro por Anticipo ")</f>
        <v xml:space="preserve"> Con Giro por Anticipo </v>
      </c>
      <c r="I498" s="16">
        <f ca="1">IFERROR(__xludf.DUMMYFUNCTION("""COMPUTED_VALUE"""),43998992)</f>
        <v>43998992</v>
      </c>
      <c r="J498" s="83" t="s">
        <v>48</v>
      </c>
      <c r="K498" s="16"/>
      <c r="L498" s="16"/>
      <c r="M498" s="16"/>
      <c r="N498" s="19"/>
      <c r="O498" s="19"/>
      <c r="P498" s="19"/>
      <c r="Q498" s="21">
        <f ca="1">IFERROR(__xludf.DUMMYFUNCTION("""COMPUTED_VALUE"""),43998992)</f>
        <v>43998992</v>
      </c>
      <c r="R498" s="19"/>
      <c r="S498" s="19"/>
      <c r="T498" s="19"/>
      <c r="U498" s="19"/>
      <c r="V498" s="19"/>
      <c r="W498" s="20">
        <f ca="1">IFERROR(__xludf.DUMMYFUNCTION("""COMPUTED_VALUE"""),43998992)</f>
        <v>43998992</v>
      </c>
      <c r="X498" s="20" t="str">
        <f ca="1">IFERROR(__xludf.DUMMYFUNCTION("""COMPUTED_VALUE""")," MUNICIPALIDAD DE CORONEL ")</f>
        <v xml:space="preserve"> MUNICIPALIDAD DE CORONEL </v>
      </c>
    </row>
    <row r="499" spans="1:24" ht="15.75" customHeight="1" x14ac:dyDescent="0.25">
      <c r="A499" s="16" t="str">
        <f ca="1">IFERROR(__xludf.DUMMYFUNCTION("""COMPUTED_VALUE""")," REGIÓN DEL BIOBÍO ")</f>
        <v xml:space="preserve"> REGIÓN DEL BIOBÍO </v>
      </c>
      <c r="B499" s="16" t="str">
        <f t="shared" ca="1" si="1"/>
        <v xml:space="preserve"> CORONEL </v>
      </c>
      <c r="C499" s="16" t="str">
        <f ca="1">IFERROR(__xludf.DUMMYFUNCTION("""COMPUTED_VALUE""")," 9. REPOSICIÓN ACERAS EN CALLE LOS PALOMARES ENTRE CALLES LOS GUINDOS Y LOS NARANJOS, POB. LAGUNILLAS ")</f>
        <v xml:space="preserve"> 9. REPOSICIÓN ACERAS EN CALLE LOS PALOMARES ENTRE CALLES LOS GUINDOS Y LOS NARANJOS, POB. LAGUNILLAS </v>
      </c>
      <c r="D499" s="16" t="str">
        <f ca="1">IFERROR(__xludf.DUMMYFUNCTION("""COMPUTED_VALUE""")," 1-K-2024-11 ")</f>
        <v xml:space="preserve"> 1-K-2024-11 </v>
      </c>
      <c r="E499" s="16" t="str">
        <f ca="1">IFERROR(__xludf.DUMMYFUNCTION("""COMPUTED_VALUE""")," Con Giro por Anticipo ")</f>
        <v xml:space="preserve"> Con Giro por Anticipo </v>
      </c>
      <c r="F499" s="17">
        <f ca="1">IFERROR(__xludf.DUMMYFUNCTION("""COMPUTED_VALUE"""),45495)</f>
        <v>45495</v>
      </c>
      <c r="G499" s="16">
        <f ca="1">IFERROR(__xludf.DUMMYFUNCTION("""COMPUTED_VALUE"""),91696715)</f>
        <v>91696715</v>
      </c>
      <c r="H499" s="16" t="str">
        <f ca="1">IFERROR(__xludf.DUMMYFUNCTION("""COMPUTED_VALUE""")," Con Giro por Anticipo ")</f>
        <v xml:space="preserve"> Con Giro por Anticipo </v>
      </c>
      <c r="I499" s="16">
        <f ca="1">IFERROR(__xludf.DUMMYFUNCTION("""COMPUTED_VALUE"""),45848358)</f>
        <v>45848358</v>
      </c>
      <c r="J499" s="83" t="s">
        <v>48</v>
      </c>
      <c r="K499" s="16"/>
      <c r="L499" s="16"/>
      <c r="M499" s="16"/>
      <c r="N499" s="19"/>
      <c r="O499" s="19"/>
      <c r="P499" s="19"/>
      <c r="Q499" s="21">
        <f ca="1">IFERROR(__xludf.DUMMYFUNCTION("""COMPUTED_VALUE"""),45848358)</f>
        <v>45848358</v>
      </c>
      <c r="R499" s="19"/>
      <c r="S499" s="19"/>
      <c r="T499" s="19"/>
      <c r="U499" s="19"/>
      <c r="V499" s="19"/>
      <c r="W499" s="20">
        <f ca="1">IFERROR(__xludf.DUMMYFUNCTION("""COMPUTED_VALUE"""),45848358)</f>
        <v>45848358</v>
      </c>
      <c r="X499" s="20" t="str">
        <f ca="1">IFERROR(__xludf.DUMMYFUNCTION("""COMPUTED_VALUE""")," MUNICIPALIDAD DE CORONEL ")</f>
        <v xml:space="preserve"> MUNICIPALIDAD DE CORONEL </v>
      </c>
    </row>
    <row r="500" spans="1:24" ht="15.75" customHeight="1" x14ac:dyDescent="0.25">
      <c r="A500" s="16" t="str">
        <f ca="1">IFERROR(__xludf.DUMMYFUNCTION("""COMPUTED_VALUE""")," REGIÓN DEL BIOBÍO ")</f>
        <v xml:space="preserve"> REGIÓN DEL BIOBÍO </v>
      </c>
      <c r="B500" s="16" t="str">
        <f t="shared" ca="1" si="1"/>
        <v xml:space="preserve"> CORONEL </v>
      </c>
      <c r="C500" s="16" t="str">
        <f ca="1">IFERROR(__xludf.DUMMYFUNCTION("""COMPUTED_VALUE""")," 11. REPOSICIÓN CIERRE PERIMETRAL MULTICANCHA DE CALLE LOS NOTROS, POB. LAGUNILLAS. ")</f>
        <v xml:space="preserve"> 11. REPOSICIÓN CIERRE PERIMETRAL MULTICANCHA DE CALLE LOS NOTROS, POB. LAGUNILLAS. </v>
      </c>
      <c r="D500" s="16" t="str">
        <f ca="1">IFERROR(__xludf.DUMMYFUNCTION("""COMPUTED_VALUE""")," 1-K-2024-13 ")</f>
        <v xml:space="preserve"> 1-K-2024-13 </v>
      </c>
      <c r="E500" s="16" t="str">
        <f ca="1">IFERROR(__xludf.DUMMYFUNCTION("""COMPUTED_VALUE""")," Con Giro por Anticipo ")</f>
        <v xml:space="preserve"> Con Giro por Anticipo </v>
      </c>
      <c r="F500" s="17">
        <f ca="1">IFERROR(__xludf.DUMMYFUNCTION("""COMPUTED_VALUE"""),45495)</f>
        <v>45495</v>
      </c>
      <c r="G500" s="16">
        <f ca="1">IFERROR(__xludf.DUMMYFUNCTION("""COMPUTED_VALUE"""),160524191)</f>
        <v>160524191</v>
      </c>
      <c r="H500" s="16" t="str">
        <f ca="1">IFERROR(__xludf.DUMMYFUNCTION("""COMPUTED_VALUE""")," Con Giro por Anticipo ")</f>
        <v xml:space="preserve"> Con Giro por Anticipo </v>
      </c>
      <c r="I500" s="16">
        <f ca="1">IFERROR(__xludf.DUMMYFUNCTION("""COMPUTED_VALUE"""),80262096)</f>
        <v>80262096</v>
      </c>
      <c r="J500" s="83" t="s">
        <v>48</v>
      </c>
      <c r="K500" s="16"/>
      <c r="L500" s="16"/>
      <c r="M500" s="16"/>
      <c r="N500" s="19"/>
      <c r="O500" s="19"/>
      <c r="P500" s="19"/>
      <c r="Q500" s="21">
        <f ca="1">IFERROR(__xludf.DUMMYFUNCTION("""COMPUTED_VALUE"""),80262096)</f>
        <v>80262096</v>
      </c>
      <c r="R500" s="19"/>
      <c r="S500" s="19"/>
      <c r="T500" s="19"/>
      <c r="U500" s="19"/>
      <c r="V500" s="19"/>
      <c r="W500" s="20">
        <f ca="1">IFERROR(__xludf.DUMMYFUNCTION("""COMPUTED_VALUE"""),80262096)</f>
        <v>80262096</v>
      </c>
      <c r="X500" s="20" t="str">
        <f ca="1">IFERROR(__xludf.DUMMYFUNCTION("""COMPUTED_VALUE""")," MUNICIPALIDAD DE CORONEL ")</f>
        <v xml:space="preserve"> MUNICIPALIDAD DE CORONEL </v>
      </c>
    </row>
    <row r="501" spans="1:24" ht="15.75" customHeight="1" x14ac:dyDescent="0.25">
      <c r="A501" s="16" t="str">
        <f ca="1">IFERROR(__xludf.DUMMYFUNCTION("""COMPUTED_VALUE""")," REGIÓN DEL BIOBÍO ")</f>
        <v xml:space="preserve"> REGIÓN DEL BIOBÍO </v>
      </c>
      <c r="B501" s="16" t="str">
        <f t="shared" ca="1" si="1"/>
        <v xml:space="preserve"> CORONEL </v>
      </c>
      <c r="C501" s="16" t="str">
        <f ca="1">IFERROR(__xludf.DUMMYFUNCTION("""COMPUTED_VALUE""")," 13. REPOSICIÓN ACERAS EN CALLE MANUEL MONTT ENTRE CALLES LA CENTRAL Y UNO NORTE, POB. PEDRO AGUIRRE CERDA. ")</f>
        <v xml:space="preserve"> 13. REPOSICIÓN ACERAS EN CALLE MANUEL MONTT ENTRE CALLES LA CENTRAL Y UNO NORTE, POB. PEDRO AGUIRRE CERDA. </v>
      </c>
      <c r="D501" s="16" t="str">
        <f ca="1">IFERROR(__xludf.DUMMYFUNCTION("""COMPUTED_VALUE""")," 1-K-2024-15 ")</f>
        <v xml:space="preserve"> 1-K-2024-15 </v>
      </c>
      <c r="E501" s="16" t="str">
        <f ca="1">IFERROR(__xludf.DUMMYFUNCTION("""COMPUTED_VALUE""")," Con Giro por Anticipo ")</f>
        <v xml:space="preserve"> Con Giro por Anticipo </v>
      </c>
      <c r="F501" s="17">
        <f ca="1">IFERROR(__xludf.DUMMYFUNCTION("""COMPUTED_VALUE"""),45497)</f>
        <v>45497</v>
      </c>
      <c r="G501" s="16">
        <f ca="1">IFERROR(__xludf.DUMMYFUNCTION("""COMPUTED_VALUE"""),159562764)</f>
        <v>159562764</v>
      </c>
      <c r="H501" s="16" t="str">
        <f ca="1">IFERROR(__xludf.DUMMYFUNCTION("""COMPUTED_VALUE""")," Con Giro por Anticipo ")</f>
        <v xml:space="preserve"> Con Giro por Anticipo </v>
      </c>
      <c r="I501" s="16">
        <f ca="1">IFERROR(__xludf.DUMMYFUNCTION("""COMPUTED_VALUE"""),79781382)</f>
        <v>79781382</v>
      </c>
      <c r="J501" s="83" t="s">
        <v>48</v>
      </c>
      <c r="K501" s="16"/>
      <c r="L501" s="16"/>
      <c r="M501" s="16"/>
      <c r="N501" s="19"/>
      <c r="O501" s="19"/>
      <c r="P501" s="19"/>
      <c r="Q501" s="21">
        <f ca="1">IFERROR(__xludf.DUMMYFUNCTION("""COMPUTED_VALUE"""),79781382)</f>
        <v>79781382</v>
      </c>
      <c r="R501" s="19"/>
      <c r="S501" s="19"/>
      <c r="T501" s="19"/>
      <c r="U501" s="19"/>
      <c r="V501" s="19"/>
      <c r="W501" s="20">
        <f ca="1">IFERROR(__xludf.DUMMYFUNCTION("""COMPUTED_VALUE"""),79781382)</f>
        <v>79781382</v>
      </c>
      <c r="X501" s="20" t="str">
        <f ca="1">IFERROR(__xludf.DUMMYFUNCTION("""COMPUTED_VALUE""")," MUNICIPALIDAD DE CORONEL ")</f>
        <v xml:space="preserve"> MUNICIPALIDAD DE CORONEL </v>
      </c>
    </row>
    <row r="502" spans="1:24" ht="15.75" customHeight="1" x14ac:dyDescent="0.25">
      <c r="A502" s="16" t="str">
        <f ca="1">IFERROR(__xludf.DUMMYFUNCTION("""COMPUTED_VALUE""")," REGIÓN DEL BIOBÍO ")</f>
        <v xml:space="preserve"> REGIÓN DEL BIOBÍO </v>
      </c>
      <c r="B502" s="16" t="str">
        <f t="shared" ca="1" si="1"/>
        <v xml:space="preserve"> CORONEL </v>
      </c>
      <c r="C502" s="16" t="str">
        <f ca="1">IFERROR(__xludf.DUMMYFUNCTION("""COMPUTED_VALUE""")," 14. REPOSICIÓN ACERAS EN CALLE LOS NOGALES ENTRE CALLES LOS RADALES Y LAS ARAUCARIAS, POB. LAGUNILLAS. ")</f>
        <v xml:space="preserve"> 14. REPOSICIÓN ACERAS EN CALLE LOS NOGALES ENTRE CALLES LOS RADALES Y LAS ARAUCARIAS, POB. LAGUNILLAS. </v>
      </c>
      <c r="D502" s="16" t="str">
        <f ca="1">IFERROR(__xludf.DUMMYFUNCTION("""COMPUTED_VALUE""")," 1-K-2024-16 ")</f>
        <v xml:space="preserve"> 1-K-2024-16 </v>
      </c>
      <c r="E502" s="16" t="str">
        <f ca="1">IFERROR(__xludf.DUMMYFUNCTION("""COMPUTED_VALUE""")," Con Giro por Anticipo ")</f>
        <v xml:space="preserve"> Con Giro por Anticipo </v>
      </c>
      <c r="F502" s="17">
        <f ca="1">IFERROR(__xludf.DUMMYFUNCTION("""COMPUTED_VALUE"""),45497)</f>
        <v>45497</v>
      </c>
      <c r="G502" s="16">
        <f ca="1">IFERROR(__xludf.DUMMYFUNCTION("""COMPUTED_VALUE"""),88150243)</f>
        <v>88150243</v>
      </c>
      <c r="H502" s="16" t="str">
        <f ca="1">IFERROR(__xludf.DUMMYFUNCTION("""COMPUTED_VALUE""")," Con Giro por Anticipo ")</f>
        <v xml:space="preserve"> Con Giro por Anticipo </v>
      </c>
      <c r="I502" s="16">
        <f ca="1">IFERROR(__xludf.DUMMYFUNCTION("""COMPUTED_VALUE"""),44075122)</f>
        <v>44075122</v>
      </c>
      <c r="J502" s="83" t="s">
        <v>48</v>
      </c>
      <c r="K502" s="16"/>
      <c r="L502" s="16"/>
      <c r="M502" s="16"/>
      <c r="N502" s="19"/>
      <c r="O502" s="19"/>
      <c r="P502" s="19"/>
      <c r="Q502" s="21">
        <f ca="1">IFERROR(__xludf.DUMMYFUNCTION("""COMPUTED_VALUE"""),44075122)</f>
        <v>44075122</v>
      </c>
      <c r="R502" s="19"/>
      <c r="S502" s="19"/>
      <c r="T502" s="19"/>
      <c r="U502" s="19"/>
      <c r="V502" s="19"/>
      <c r="W502" s="20">
        <f ca="1">IFERROR(__xludf.DUMMYFUNCTION("""COMPUTED_VALUE"""),44075122)</f>
        <v>44075122</v>
      </c>
      <c r="X502" s="20" t="str">
        <f ca="1">IFERROR(__xludf.DUMMYFUNCTION("""COMPUTED_VALUE""")," MUNICIPALIDAD DE CORONEL ")</f>
        <v xml:space="preserve"> MUNICIPALIDAD DE CORONEL </v>
      </c>
    </row>
    <row r="503" spans="1:24" ht="15.75" customHeight="1" x14ac:dyDescent="0.25">
      <c r="A503" s="16" t="str">
        <f ca="1">IFERROR(__xludf.DUMMYFUNCTION("""COMPUTED_VALUE""")," REGIÓN DEL BIOBÍO ")</f>
        <v xml:space="preserve"> REGIÓN DEL BIOBÍO </v>
      </c>
      <c r="B503" s="16" t="str">
        <f t="shared" ca="1" si="1"/>
        <v xml:space="preserve"> LOTA </v>
      </c>
      <c r="C503" s="16" t="str">
        <f ca="1">IFERROR(__xludf.DUMMYFUNCTION("""COMPUTED_VALUE""")," CONSTRUCCIÓN MURO DE CONTENCIÓN PJE. O´HIGGINS 2 POBL. LIBERTAD, LOTA. ")</f>
        <v xml:space="preserve"> CONSTRUCCIÓN MURO DE CONTENCIÓN PJE. O´HIGGINS 2 POBL. LIBERTAD, LOTA. </v>
      </c>
      <c r="D503" s="16" t="str">
        <f ca="1">IFERROR(__xludf.DUMMYFUNCTION("""COMPUTED_VALUE""")," 1-K-2024-32 ")</f>
        <v xml:space="preserve"> 1-K-2024-32 </v>
      </c>
      <c r="E503" s="16" t="str">
        <f ca="1">IFERROR(__xludf.DUMMYFUNCTION("""COMPUTED_VALUE""")," Con Giro por Anticipo ")</f>
        <v xml:space="preserve"> Con Giro por Anticipo </v>
      </c>
      <c r="F503" s="17">
        <f ca="1">IFERROR(__xludf.DUMMYFUNCTION("""COMPUTED_VALUE"""),45504)</f>
        <v>45504</v>
      </c>
      <c r="G503" s="16">
        <f ca="1">IFERROR(__xludf.DUMMYFUNCTION("""COMPUTED_VALUE"""),155591417)</f>
        <v>155591417</v>
      </c>
      <c r="H503" s="16" t="str">
        <f ca="1">IFERROR(__xludf.DUMMYFUNCTION("""COMPUTED_VALUE""")," Con Giro por Anticipo ")</f>
        <v xml:space="preserve"> Con Giro por Anticipo </v>
      </c>
      <c r="I503" s="16">
        <f ca="1">IFERROR(__xludf.DUMMYFUNCTION("""COMPUTED_VALUE"""),77795709)</f>
        <v>77795709</v>
      </c>
      <c r="J503" s="83" t="s">
        <v>48</v>
      </c>
      <c r="K503" s="16"/>
      <c r="L503" s="16"/>
      <c r="M503" s="16"/>
      <c r="N503" s="19"/>
      <c r="O503" s="19"/>
      <c r="P503" s="19"/>
      <c r="Q503" s="21">
        <f ca="1">IFERROR(__xludf.DUMMYFUNCTION("""COMPUTED_VALUE"""),77795709)</f>
        <v>77795709</v>
      </c>
      <c r="R503" s="19"/>
      <c r="S503" s="19"/>
      <c r="T503" s="19"/>
      <c r="U503" s="19"/>
      <c r="V503" s="19"/>
      <c r="W503" s="20">
        <f ca="1">IFERROR(__xludf.DUMMYFUNCTION("""COMPUTED_VALUE"""),77795709)</f>
        <v>77795709</v>
      </c>
      <c r="X503" s="20" t="str">
        <f ca="1">IFERROR(__xludf.DUMMYFUNCTION("""COMPUTED_VALUE""")," MUNICIPALIDAD DE LOTA ")</f>
        <v xml:space="preserve"> MUNICIPALIDAD DE LOTA </v>
      </c>
    </row>
    <row r="504" spans="1:24" ht="15.75" customHeight="1" x14ac:dyDescent="0.25">
      <c r="A504" s="16" t="str">
        <f ca="1">IFERROR(__xludf.DUMMYFUNCTION("""COMPUTED_VALUE""")," REGIÓN DEL BIOBÍO ")</f>
        <v xml:space="preserve"> REGIÓN DEL BIOBÍO </v>
      </c>
      <c r="B504" s="16" t="str">
        <f t="shared" ca="1" si="1"/>
        <v xml:space="preserve"> LOTA </v>
      </c>
      <c r="C504" s="16" t="str">
        <f ca="1">IFERROR(__xludf.DUMMYFUNCTION("""COMPUTED_VALUE""")," CONSTRUCCIÓN REDUCTOR DE VELOCIDAD CALLE LAUTARO SECTOR SAN MARTIN, LOTA. ")</f>
        <v xml:space="preserve"> CONSTRUCCIÓN REDUCTOR DE VELOCIDAD CALLE LAUTARO SECTOR SAN MARTIN, LOTA. </v>
      </c>
      <c r="D504" s="16" t="str">
        <f ca="1">IFERROR(__xludf.DUMMYFUNCTION("""COMPUTED_VALUE""")," 1-K-2024-45 ")</f>
        <v xml:space="preserve"> 1-K-2024-45 </v>
      </c>
      <c r="E504" s="16" t="str">
        <f ca="1">IFERROR(__xludf.DUMMYFUNCTION("""COMPUTED_VALUE""")," Con Giro por Anticipo ")</f>
        <v xml:space="preserve"> Con Giro por Anticipo </v>
      </c>
      <c r="F504" s="17">
        <f ca="1">IFERROR(__xludf.DUMMYFUNCTION("""COMPUTED_VALUE"""),45504)</f>
        <v>45504</v>
      </c>
      <c r="G504" s="16">
        <f ca="1">IFERROR(__xludf.DUMMYFUNCTION("""COMPUTED_VALUE"""),153723735)</f>
        <v>153723735</v>
      </c>
      <c r="H504" s="16" t="str">
        <f ca="1">IFERROR(__xludf.DUMMYFUNCTION("""COMPUTED_VALUE""")," Con Giro por Anticipo ")</f>
        <v xml:space="preserve"> Con Giro por Anticipo </v>
      </c>
      <c r="I504" s="16">
        <f ca="1">IFERROR(__xludf.DUMMYFUNCTION("""COMPUTED_VALUE"""),76861868)</f>
        <v>76861868</v>
      </c>
      <c r="J504" s="83" t="s">
        <v>48</v>
      </c>
      <c r="K504" s="16"/>
      <c r="L504" s="16"/>
      <c r="M504" s="16"/>
      <c r="N504" s="19"/>
      <c r="O504" s="19"/>
      <c r="P504" s="19"/>
      <c r="Q504" s="21">
        <f ca="1">IFERROR(__xludf.DUMMYFUNCTION("""COMPUTED_VALUE"""),76861868)</f>
        <v>76861868</v>
      </c>
      <c r="R504" s="19"/>
      <c r="S504" s="19"/>
      <c r="T504" s="19"/>
      <c r="U504" s="19"/>
      <c r="V504" s="19"/>
      <c r="W504" s="20">
        <f ca="1">IFERROR(__xludf.DUMMYFUNCTION("""COMPUTED_VALUE"""),76861868)</f>
        <v>76861868</v>
      </c>
      <c r="X504" s="20" t="str">
        <f ca="1">IFERROR(__xludf.DUMMYFUNCTION("""COMPUTED_VALUE""")," MUNICIPALIDAD DE LOTA ")</f>
        <v xml:space="preserve"> MUNICIPALIDAD DE LOTA </v>
      </c>
    </row>
    <row r="505" spans="1:24" ht="15.75" customHeight="1" x14ac:dyDescent="0.25">
      <c r="A505" s="16" t="str">
        <f ca="1">IFERROR(__xludf.DUMMYFUNCTION("""COMPUTED_VALUE""")," REGIÓN DEL BIOBÍO ")</f>
        <v xml:space="preserve"> REGIÓN DEL BIOBÍO </v>
      </c>
      <c r="B505" s="16" t="str">
        <f t="shared" ca="1" si="1"/>
        <v xml:space="preserve"> CORONEL </v>
      </c>
      <c r="C505" s="16" t="str">
        <f ca="1">IFERROR(__xludf.DUMMYFUNCTION("""COMPUTED_VALUE""")," 10. REPOSICIÓN ACERAS EN CALLE LOS NOGALES ENTRE CALLES LOS GUAYACANES Y LOS NOTROS, POB. LAGUNILLAS. ")</f>
        <v xml:space="preserve"> 10. REPOSICIÓN ACERAS EN CALLE LOS NOGALES ENTRE CALLES LOS GUAYACANES Y LOS NOTROS, POB. LAGUNILLAS. </v>
      </c>
      <c r="D505" s="16" t="str">
        <f ca="1">IFERROR(__xludf.DUMMYFUNCTION("""COMPUTED_VALUE""")," 1-K-2024-52 ")</f>
        <v xml:space="preserve"> 1-K-2024-52 </v>
      </c>
      <c r="E505" s="16" t="str">
        <f ca="1">IFERROR(__xludf.DUMMYFUNCTION("""COMPUTED_VALUE""")," Con Giro por Anticipo ")</f>
        <v xml:space="preserve"> Con Giro por Anticipo </v>
      </c>
      <c r="F505" s="17">
        <f ca="1">IFERROR(__xludf.DUMMYFUNCTION("""COMPUTED_VALUE"""),45504)</f>
        <v>45504</v>
      </c>
      <c r="G505" s="16">
        <f ca="1">IFERROR(__xludf.DUMMYFUNCTION("""COMPUTED_VALUE"""),157750572)</f>
        <v>157750572</v>
      </c>
      <c r="H505" s="16" t="str">
        <f ca="1">IFERROR(__xludf.DUMMYFUNCTION("""COMPUTED_VALUE""")," Con Giro por Anticipo ")</f>
        <v xml:space="preserve"> Con Giro por Anticipo </v>
      </c>
      <c r="I505" s="16">
        <f ca="1">IFERROR(__xludf.DUMMYFUNCTION("""COMPUTED_VALUE"""),78875286)</f>
        <v>78875286</v>
      </c>
      <c r="J505" s="83" t="s">
        <v>48</v>
      </c>
      <c r="K505" s="16"/>
      <c r="L505" s="16"/>
      <c r="M505" s="16"/>
      <c r="N505" s="19"/>
      <c r="O505" s="19"/>
      <c r="P505" s="19"/>
      <c r="Q505" s="21">
        <f ca="1">IFERROR(__xludf.DUMMYFUNCTION("""COMPUTED_VALUE"""),78875286)</f>
        <v>78875286</v>
      </c>
      <c r="R505" s="19"/>
      <c r="S505" s="19"/>
      <c r="T505" s="19"/>
      <c r="U505" s="19"/>
      <c r="V505" s="19"/>
      <c r="W505" s="20">
        <f ca="1">IFERROR(__xludf.DUMMYFUNCTION("""COMPUTED_VALUE"""),78875286)</f>
        <v>78875286</v>
      </c>
      <c r="X505" s="20" t="str">
        <f ca="1">IFERROR(__xludf.DUMMYFUNCTION("""COMPUTED_VALUE""")," MUNICIPALIDAD DE CORONEL ")</f>
        <v xml:space="preserve"> MUNICIPALIDAD DE CORONEL </v>
      </c>
    </row>
    <row r="506" spans="1:24" ht="15.75" customHeight="1" x14ac:dyDescent="0.25">
      <c r="A506" s="16" t="str">
        <f ca="1">IFERROR(__xludf.DUMMYFUNCTION("""COMPUTED_VALUE""")," REGIÓN DEL BIOBÍO ")</f>
        <v xml:space="preserve"> REGIÓN DEL BIOBÍO </v>
      </c>
      <c r="B506" s="16" t="str">
        <f t="shared" ca="1" si="1"/>
        <v xml:space="preserve"> LOS ÁLAMOS </v>
      </c>
      <c r="C506" s="16" t="str">
        <f ca="1">IFERROR(__xludf.DUMMYFUNCTION("""COMPUTED_VALUE""")," INSTALACIÓN JUEGOS PLAZA TRES PINOS, LOS ÁLAMOS ")</f>
        <v xml:space="preserve"> INSTALACIÓN JUEGOS PLAZA TRES PINOS, LOS ÁLAMOS </v>
      </c>
      <c r="D506" s="16" t="str">
        <f ca="1">IFERROR(__xludf.DUMMYFUNCTION("""COMPUTED_VALUE""")," 1-K-2024-56 ")</f>
        <v xml:space="preserve"> 1-K-2024-56 </v>
      </c>
      <c r="E506" s="16" t="str">
        <f ca="1">IFERROR(__xludf.DUMMYFUNCTION("""COMPUTED_VALUE""")," Con Giro por Anticipo ")</f>
        <v xml:space="preserve"> Con Giro por Anticipo </v>
      </c>
      <c r="F506" s="17">
        <f ca="1">IFERROR(__xludf.DUMMYFUNCTION("""COMPUTED_VALUE"""),45504)</f>
        <v>45504</v>
      </c>
      <c r="G506" s="16">
        <f ca="1">IFERROR(__xludf.DUMMYFUNCTION("""COMPUTED_VALUE"""),107176032)</f>
        <v>107176032</v>
      </c>
      <c r="H506" s="16" t="str">
        <f ca="1">IFERROR(__xludf.DUMMYFUNCTION("""COMPUTED_VALUE""")," Con Giro por Anticipo ")</f>
        <v xml:space="preserve"> Con Giro por Anticipo </v>
      </c>
      <c r="I506" s="16">
        <f ca="1">IFERROR(__xludf.DUMMYFUNCTION("""COMPUTED_VALUE"""),53588016)</f>
        <v>53588016</v>
      </c>
      <c r="J506" s="83" t="s">
        <v>48</v>
      </c>
      <c r="K506" s="16"/>
      <c r="L506" s="16"/>
      <c r="M506" s="16"/>
      <c r="N506" s="19"/>
      <c r="O506" s="19"/>
      <c r="P506" s="19"/>
      <c r="Q506" s="21">
        <f ca="1">IFERROR(__xludf.DUMMYFUNCTION("""COMPUTED_VALUE"""),53588016)</f>
        <v>53588016</v>
      </c>
      <c r="R506" s="19"/>
      <c r="S506" s="19"/>
      <c r="T506" s="19"/>
      <c r="U506" s="19"/>
      <c r="V506" s="19"/>
      <c r="W506" s="20">
        <f ca="1">IFERROR(__xludf.DUMMYFUNCTION("""COMPUTED_VALUE"""),53588016)</f>
        <v>53588016</v>
      </c>
      <c r="X506" s="20" t="str">
        <f ca="1">IFERROR(__xludf.DUMMYFUNCTION("""COMPUTED_VALUE""")," MUNICIPALIDAD DE LOS ÁLAMOS ")</f>
        <v xml:space="preserve"> MUNICIPALIDAD DE LOS ÁLAMOS </v>
      </c>
    </row>
    <row r="507" spans="1:24" ht="15.75" customHeight="1" x14ac:dyDescent="0.25">
      <c r="A507" s="16" t="str">
        <f ca="1">IFERROR(__xludf.DUMMYFUNCTION("""COMPUTED_VALUE""")," REGIÓN DEL BIOBÍO ")</f>
        <v xml:space="preserve"> REGIÓN DEL BIOBÍO </v>
      </c>
      <c r="B507" s="16" t="str">
        <f t="shared" ca="1" si="1"/>
        <v xml:space="preserve"> LOS ÁLAMOS </v>
      </c>
      <c r="C507" s="16" t="str">
        <f ca="1">IFERROR(__xludf.DUMMYFUNCTION("""COMPUTED_VALUE""")," REPOSICIÓN VEREDA AVDA. DIEGO DE ALMAGRO, ENTRE CALLE BOCAHUE Y CALLE NAHUELBUTA ANTIHUALA, LOS ÁLAMOS ")</f>
        <v xml:space="preserve"> REPOSICIÓN VEREDA AVDA. DIEGO DE ALMAGRO, ENTRE CALLE BOCAHUE Y CALLE NAHUELBUTA ANTIHUALA, LOS ÁLAMOS </v>
      </c>
      <c r="D507" s="16" t="str">
        <f ca="1">IFERROR(__xludf.DUMMYFUNCTION("""COMPUTED_VALUE""")," 1-K-2024-59 ")</f>
        <v xml:space="preserve"> 1-K-2024-59 </v>
      </c>
      <c r="E507" s="16" t="str">
        <f ca="1">IFERROR(__xludf.DUMMYFUNCTION("""COMPUTED_VALUE""")," Con Giro por Anticipo ")</f>
        <v xml:space="preserve"> Con Giro por Anticipo </v>
      </c>
      <c r="F507" s="17">
        <f ca="1">IFERROR(__xludf.DUMMYFUNCTION("""COMPUTED_VALUE"""),45504)</f>
        <v>45504</v>
      </c>
      <c r="G507" s="16">
        <f ca="1">IFERROR(__xludf.DUMMYFUNCTION("""COMPUTED_VALUE"""),110977193)</f>
        <v>110977193</v>
      </c>
      <c r="H507" s="16" t="str">
        <f ca="1">IFERROR(__xludf.DUMMYFUNCTION("""COMPUTED_VALUE""")," Con Giro por Anticipo ")</f>
        <v xml:space="preserve"> Con Giro por Anticipo </v>
      </c>
      <c r="I507" s="16">
        <f ca="1">IFERROR(__xludf.DUMMYFUNCTION("""COMPUTED_VALUE"""),55488597)</f>
        <v>55488597</v>
      </c>
      <c r="J507" s="83" t="s">
        <v>48</v>
      </c>
      <c r="K507" s="16"/>
      <c r="L507" s="16"/>
      <c r="M507" s="16"/>
      <c r="N507" s="19"/>
      <c r="O507" s="19"/>
      <c r="P507" s="19"/>
      <c r="Q507" s="21">
        <f ca="1">IFERROR(__xludf.DUMMYFUNCTION("""COMPUTED_VALUE"""),55488597)</f>
        <v>55488597</v>
      </c>
      <c r="R507" s="19"/>
      <c r="S507" s="19"/>
      <c r="T507" s="19"/>
      <c r="U507" s="19"/>
      <c r="V507" s="19"/>
      <c r="W507" s="20">
        <f ca="1">IFERROR(__xludf.DUMMYFUNCTION("""COMPUTED_VALUE"""),55488597)</f>
        <v>55488597</v>
      </c>
      <c r="X507" s="20" t="str">
        <f ca="1">IFERROR(__xludf.DUMMYFUNCTION("""COMPUTED_VALUE""")," MUNICIPALIDAD DE LOS ÁLAMOS ")</f>
        <v xml:space="preserve"> MUNICIPALIDAD DE LOS ÁLAMOS </v>
      </c>
    </row>
    <row r="508" spans="1:24" ht="15.75" customHeight="1" x14ac:dyDescent="0.25">
      <c r="A508" s="16" t="str">
        <f ca="1">IFERROR(__xludf.DUMMYFUNCTION("""COMPUTED_VALUE""")," REGIÓN DEL BIOBÍO ")</f>
        <v xml:space="preserve"> REGIÓN DEL BIOBÍO </v>
      </c>
      <c r="B508" s="16" t="str">
        <f t="shared" ca="1" si="1"/>
        <v xml:space="preserve"> LOS ÁLAMOS </v>
      </c>
      <c r="C508" s="16" t="str">
        <f ca="1">IFERROR(__xludf.DUMMYFUNCTION("""COMPUTED_VALUE""")," REPOSICIÓN VEREDA AVDA. DIEGO DE ALMAGRO ENTRE CALLE PORTALES Y PASAJE S/N ANTIHUALA, LOS ÁLAMOS ")</f>
        <v xml:space="preserve"> REPOSICIÓN VEREDA AVDA. DIEGO DE ALMAGRO ENTRE CALLE PORTALES Y PASAJE S/N ANTIHUALA, LOS ÁLAMOS </v>
      </c>
      <c r="D508" s="16" t="str">
        <f ca="1">IFERROR(__xludf.DUMMYFUNCTION("""COMPUTED_VALUE""")," 1-K-2024-60 ")</f>
        <v xml:space="preserve"> 1-K-2024-60 </v>
      </c>
      <c r="E508" s="16" t="str">
        <f ca="1">IFERROR(__xludf.DUMMYFUNCTION("""COMPUTED_VALUE""")," Con Giro por Anticipo ")</f>
        <v xml:space="preserve"> Con Giro por Anticipo </v>
      </c>
      <c r="F508" s="17">
        <f ca="1">IFERROR(__xludf.DUMMYFUNCTION("""COMPUTED_VALUE"""),45504)</f>
        <v>45504</v>
      </c>
      <c r="G508" s="16">
        <f ca="1">IFERROR(__xludf.DUMMYFUNCTION("""COMPUTED_VALUE"""),115092789)</f>
        <v>115092789</v>
      </c>
      <c r="H508" s="16" t="str">
        <f ca="1">IFERROR(__xludf.DUMMYFUNCTION("""COMPUTED_VALUE""")," Con Giro por Anticipo ")</f>
        <v xml:space="preserve"> Con Giro por Anticipo </v>
      </c>
      <c r="I508" s="16">
        <f ca="1">IFERROR(__xludf.DUMMYFUNCTION("""COMPUTED_VALUE"""),57546395)</f>
        <v>57546395</v>
      </c>
      <c r="J508" s="83" t="s">
        <v>48</v>
      </c>
      <c r="K508" s="16"/>
      <c r="L508" s="16"/>
      <c r="M508" s="16"/>
      <c r="N508" s="19"/>
      <c r="O508" s="19"/>
      <c r="P508" s="19"/>
      <c r="Q508" s="21">
        <f ca="1">IFERROR(__xludf.DUMMYFUNCTION("""COMPUTED_VALUE"""),57546395)</f>
        <v>57546395</v>
      </c>
      <c r="R508" s="19"/>
      <c r="S508" s="19"/>
      <c r="T508" s="19"/>
      <c r="U508" s="19"/>
      <c r="V508" s="19"/>
      <c r="W508" s="20">
        <f ca="1">IFERROR(__xludf.DUMMYFUNCTION("""COMPUTED_VALUE"""),57546395)</f>
        <v>57546395</v>
      </c>
      <c r="X508" s="20" t="str">
        <f ca="1">IFERROR(__xludf.DUMMYFUNCTION("""COMPUTED_VALUE""")," MUNICIPALIDAD DE LOS ÁLAMOS ")</f>
        <v xml:space="preserve"> MUNICIPALIDAD DE LOS ÁLAMOS </v>
      </c>
    </row>
    <row r="509" spans="1:24" ht="15.75" customHeight="1" x14ac:dyDescent="0.25">
      <c r="A509" s="16" t="str">
        <f ca="1">IFERROR(__xludf.DUMMYFUNCTION("""COMPUTED_VALUE""")," REGIÓN DEL BIOBÍO ")</f>
        <v xml:space="preserve"> REGIÓN DEL BIOBÍO </v>
      </c>
      <c r="B509" s="16" t="str">
        <f t="shared" ca="1" si="1"/>
        <v xml:space="preserve"> LOS ÁLAMOS </v>
      </c>
      <c r="C509" s="16" t="str">
        <f ca="1">IFERROR(__xludf.DUMMYFUNCTION("""COMPUTED_VALUE""")," REPOSICIÓN VEREDA AVDA. LAS ARAUCARIAS ENTRE CALLE LAS GOLONDRINAS Y CALLE BARROS ARANA TRES PINOS, LOS ÁLAMOS ")</f>
        <v xml:space="preserve"> REPOSICIÓN VEREDA AVDA. LAS ARAUCARIAS ENTRE CALLE LAS GOLONDRINAS Y CALLE BARROS ARANA TRES PINOS, LOS ÁLAMOS </v>
      </c>
      <c r="D509" s="16" t="str">
        <f ca="1">IFERROR(__xludf.DUMMYFUNCTION("""COMPUTED_VALUE""")," 1-K-2024-61 ")</f>
        <v xml:space="preserve"> 1-K-2024-61 </v>
      </c>
      <c r="E509" s="16" t="str">
        <f ca="1">IFERROR(__xludf.DUMMYFUNCTION("""COMPUTED_VALUE""")," Con Giro por Anticipo ")</f>
        <v xml:space="preserve"> Con Giro por Anticipo </v>
      </c>
      <c r="F509" s="17">
        <f ca="1">IFERROR(__xludf.DUMMYFUNCTION("""COMPUTED_VALUE"""),45504)</f>
        <v>45504</v>
      </c>
      <c r="G509" s="16">
        <f ca="1">IFERROR(__xludf.DUMMYFUNCTION("""COMPUTED_VALUE"""),111140807)</f>
        <v>111140807</v>
      </c>
      <c r="H509" s="16" t="str">
        <f ca="1">IFERROR(__xludf.DUMMYFUNCTION("""COMPUTED_VALUE""")," Con Giro por Anticipo ")</f>
        <v xml:space="preserve"> Con Giro por Anticipo </v>
      </c>
      <c r="I509" s="16">
        <f ca="1">IFERROR(__xludf.DUMMYFUNCTION("""COMPUTED_VALUE"""),55570404)</f>
        <v>55570404</v>
      </c>
      <c r="J509" s="83" t="s">
        <v>48</v>
      </c>
      <c r="K509" s="16"/>
      <c r="L509" s="16"/>
      <c r="M509" s="16"/>
      <c r="N509" s="19"/>
      <c r="O509" s="19"/>
      <c r="P509" s="19"/>
      <c r="Q509" s="21">
        <f ca="1">IFERROR(__xludf.DUMMYFUNCTION("""COMPUTED_VALUE"""),55570404)</f>
        <v>55570404</v>
      </c>
      <c r="R509" s="19"/>
      <c r="S509" s="19"/>
      <c r="T509" s="19"/>
      <c r="U509" s="19"/>
      <c r="V509" s="19"/>
      <c r="W509" s="20">
        <f ca="1">IFERROR(__xludf.DUMMYFUNCTION("""COMPUTED_VALUE"""),55570404)</f>
        <v>55570404</v>
      </c>
      <c r="X509" s="20" t="str">
        <f ca="1">IFERROR(__xludf.DUMMYFUNCTION("""COMPUTED_VALUE""")," MUNICIPALIDAD DE LOS ÁLAMOS ")</f>
        <v xml:space="preserve"> MUNICIPALIDAD DE LOS ÁLAMOS </v>
      </c>
    </row>
    <row r="510" spans="1:24" ht="15.75" customHeight="1" x14ac:dyDescent="0.25">
      <c r="A510" s="16" t="str">
        <f ca="1">IFERROR(__xludf.DUMMYFUNCTION("""COMPUTED_VALUE""")," REGIÓN DEL BIOBÍO ")</f>
        <v xml:space="preserve"> REGIÓN DEL BIOBÍO </v>
      </c>
      <c r="B510" s="16" t="str">
        <f t="shared" ca="1" si="1"/>
        <v xml:space="preserve"> LOS ÁLAMOS </v>
      </c>
      <c r="C510" s="16" t="str">
        <f ca="1">IFERROR(__xludf.DUMMYFUNCTION("""COMPUTED_VALUE""")," REPOSICIÓN VEREDA AVDA. PEDRO DE VALDIVIA ENTRE CALLE MANUEL MONTT Y PASAJE S/N TEMUCO CHICO, LOS ÁLAMOS ")</f>
        <v xml:space="preserve"> REPOSICIÓN VEREDA AVDA. PEDRO DE VALDIVIA ENTRE CALLE MANUEL MONTT Y PASAJE S/N TEMUCO CHICO, LOS ÁLAMOS </v>
      </c>
      <c r="D510" s="16" t="str">
        <f ca="1">IFERROR(__xludf.DUMMYFUNCTION("""COMPUTED_VALUE""")," 1-K-2024-62 ")</f>
        <v xml:space="preserve"> 1-K-2024-62 </v>
      </c>
      <c r="E510" s="16" t="str">
        <f ca="1">IFERROR(__xludf.DUMMYFUNCTION("""COMPUTED_VALUE""")," Con Giro por Anticipo ")</f>
        <v xml:space="preserve"> Con Giro por Anticipo </v>
      </c>
      <c r="F510" s="17">
        <f ca="1">IFERROR(__xludf.DUMMYFUNCTION("""COMPUTED_VALUE"""),45504)</f>
        <v>45504</v>
      </c>
      <c r="G510" s="16">
        <f ca="1">IFERROR(__xludf.DUMMYFUNCTION("""COMPUTED_VALUE"""),113460939)</f>
        <v>113460939</v>
      </c>
      <c r="H510" s="16" t="str">
        <f ca="1">IFERROR(__xludf.DUMMYFUNCTION("""COMPUTED_VALUE""")," Con Giro por Anticipo ")</f>
        <v xml:space="preserve"> Con Giro por Anticipo </v>
      </c>
      <c r="I510" s="16">
        <f ca="1">IFERROR(__xludf.DUMMYFUNCTION("""COMPUTED_VALUE"""),56730470)</f>
        <v>56730470</v>
      </c>
      <c r="J510" s="83" t="s">
        <v>48</v>
      </c>
      <c r="K510" s="16"/>
      <c r="L510" s="16"/>
      <c r="M510" s="16"/>
      <c r="N510" s="19"/>
      <c r="O510" s="19"/>
      <c r="P510" s="19"/>
      <c r="Q510" s="21">
        <f ca="1">IFERROR(__xludf.DUMMYFUNCTION("""COMPUTED_VALUE"""),56730470)</f>
        <v>56730470</v>
      </c>
      <c r="R510" s="19"/>
      <c r="S510" s="19"/>
      <c r="T510" s="19"/>
      <c r="U510" s="19"/>
      <c r="V510" s="19"/>
      <c r="W510" s="20">
        <f ca="1">IFERROR(__xludf.DUMMYFUNCTION("""COMPUTED_VALUE"""),56730470)</f>
        <v>56730470</v>
      </c>
      <c r="X510" s="20" t="str">
        <f ca="1">IFERROR(__xludf.DUMMYFUNCTION("""COMPUTED_VALUE""")," MUNICIPALIDAD DE LOS ÁLAMOS ")</f>
        <v xml:space="preserve"> MUNICIPALIDAD DE LOS ÁLAMOS </v>
      </c>
    </row>
    <row r="511" spans="1:24" ht="15.75" customHeight="1" x14ac:dyDescent="0.25">
      <c r="A511" s="16" t="str">
        <f ca="1">IFERROR(__xludf.DUMMYFUNCTION("""COMPUTED_VALUE""")," REGIÓN DEL BIOBÍO ")</f>
        <v xml:space="preserve"> REGIÓN DEL BIOBÍO </v>
      </c>
      <c r="B511" s="16" t="str">
        <f t="shared" ca="1" si="1"/>
        <v xml:space="preserve"> LOS ÁLAMOS </v>
      </c>
      <c r="C511" s="16" t="str">
        <f ca="1">IFERROR(__xludf.DUMMYFUNCTION("""COMPUTED_VALUE""")," REPOSICIÓN VEREDA CALLE LOS FRUTILLARES ENTRE CALLE ARTURO PRAT Y AVDA DIEGO PORTALES, CERRO ALTO, LOS ÁLAMOS ")</f>
        <v xml:space="preserve"> REPOSICIÓN VEREDA CALLE LOS FRUTILLARES ENTRE CALLE ARTURO PRAT Y AVDA DIEGO PORTALES, CERRO ALTO, LOS ÁLAMOS </v>
      </c>
      <c r="D511" s="16" t="str">
        <f ca="1">IFERROR(__xludf.DUMMYFUNCTION("""COMPUTED_VALUE""")," 1-K-2024-63 ")</f>
        <v xml:space="preserve"> 1-K-2024-63 </v>
      </c>
      <c r="E511" s="16" t="str">
        <f ca="1">IFERROR(__xludf.DUMMYFUNCTION("""COMPUTED_VALUE""")," Con Giro por Anticipo ")</f>
        <v xml:space="preserve"> Con Giro por Anticipo </v>
      </c>
      <c r="F511" s="17">
        <f ca="1">IFERROR(__xludf.DUMMYFUNCTION("""COMPUTED_VALUE"""),45504)</f>
        <v>45504</v>
      </c>
      <c r="G511" s="16">
        <f ca="1">IFERROR(__xludf.DUMMYFUNCTION("""COMPUTED_VALUE"""),113080307)</f>
        <v>113080307</v>
      </c>
      <c r="H511" s="16" t="str">
        <f ca="1">IFERROR(__xludf.DUMMYFUNCTION("""COMPUTED_VALUE""")," Con Giro por Anticipo ")</f>
        <v xml:space="preserve"> Con Giro por Anticipo </v>
      </c>
      <c r="I511" s="16">
        <f ca="1">IFERROR(__xludf.DUMMYFUNCTION("""COMPUTED_VALUE"""),56540154)</f>
        <v>56540154</v>
      </c>
      <c r="J511" s="83" t="s">
        <v>48</v>
      </c>
      <c r="K511" s="16"/>
      <c r="L511" s="16"/>
      <c r="M511" s="16"/>
      <c r="N511" s="19"/>
      <c r="O511" s="19"/>
      <c r="P511" s="19"/>
      <c r="Q511" s="21">
        <f ca="1">IFERROR(__xludf.DUMMYFUNCTION("""COMPUTED_VALUE"""),56540154)</f>
        <v>56540154</v>
      </c>
      <c r="R511" s="19"/>
      <c r="S511" s="19"/>
      <c r="T511" s="19"/>
      <c r="U511" s="19"/>
      <c r="V511" s="19"/>
      <c r="W511" s="20">
        <f ca="1">IFERROR(__xludf.DUMMYFUNCTION("""COMPUTED_VALUE"""),56540154)</f>
        <v>56540154</v>
      </c>
      <c r="X511" s="20" t="str">
        <f ca="1">IFERROR(__xludf.DUMMYFUNCTION("""COMPUTED_VALUE""")," MUNICIPALIDAD DE LOS ÁLAMOS ")</f>
        <v xml:space="preserve"> MUNICIPALIDAD DE LOS ÁLAMOS </v>
      </c>
    </row>
    <row r="512" spans="1:24" ht="15.75" customHeight="1" x14ac:dyDescent="0.25">
      <c r="A512" s="16" t="str">
        <f ca="1">IFERROR(__xludf.DUMMYFUNCTION("""COMPUTED_VALUE""")," REGIÓN DEL BIOBÍO ")</f>
        <v xml:space="preserve"> REGIÓN DEL BIOBÍO </v>
      </c>
      <c r="B512" s="16" t="str">
        <f t="shared" ca="1" si="1"/>
        <v xml:space="preserve"> LOS ÁLAMOS </v>
      </c>
      <c r="C512" s="16" t="str">
        <f ca="1">IFERROR(__xludf.DUMMYFUNCTION("""COMPUTED_VALUE""")," REPOSICIÓN VEREDA CALLE 18 DE SEPTIEMBRE ENTRE CALLE ANDALIO VIGUERAS Y CALLE PEDRO EYHERAMENDY, JJVV LOS ALAMOS CENTRO, LOS ÁLAMOS ")</f>
        <v xml:space="preserve"> REPOSICIÓN VEREDA CALLE 18 DE SEPTIEMBRE ENTRE CALLE ANDALIO VIGUERAS Y CALLE PEDRO EYHERAMENDY, JJVV LOS ALAMOS CENTRO, LOS ÁLAMOS </v>
      </c>
      <c r="D512" s="16" t="str">
        <f ca="1">IFERROR(__xludf.DUMMYFUNCTION("""COMPUTED_VALUE""")," 1-K-2024-64 ")</f>
        <v xml:space="preserve"> 1-K-2024-64 </v>
      </c>
      <c r="E512" s="16" t="str">
        <f ca="1">IFERROR(__xludf.DUMMYFUNCTION("""COMPUTED_VALUE""")," Con Giro por Anticipo ")</f>
        <v xml:space="preserve"> Con Giro por Anticipo </v>
      </c>
      <c r="F512" s="17">
        <f ca="1">IFERROR(__xludf.DUMMYFUNCTION("""COMPUTED_VALUE"""),45504)</f>
        <v>45504</v>
      </c>
      <c r="G512" s="16">
        <f ca="1">IFERROR(__xludf.DUMMYFUNCTION("""COMPUTED_VALUE"""),110845303)</f>
        <v>110845303</v>
      </c>
      <c r="H512" s="16" t="str">
        <f ca="1">IFERROR(__xludf.DUMMYFUNCTION("""COMPUTED_VALUE""")," Con Giro por Anticipo ")</f>
        <v xml:space="preserve"> Con Giro por Anticipo </v>
      </c>
      <c r="I512" s="16">
        <f ca="1">IFERROR(__xludf.DUMMYFUNCTION("""COMPUTED_VALUE"""),55422652)</f>
        <v>55422652</v>
      </c>
      <c r="J512" s="83" t="s">
        <v>48</v>
      </c>
      <c r="K512" s="16"/>
      <c r="L512" s="16"/>
      <c r="M512" s="16"/>
      <c r="N512" s="19"/>
      <c r="O512" s="19"/>
      <c r="P512" s="19"/>
      <c r="Q512" s="21">
        <f ca="1">IFERROR(__xludf.DUMMYFUNCTION("""COMPUTED_VALUE"""),55422652)</f>
        <v>55422652</v>
      </c>
      <c r="R512" s="19"/>
      <c r="S512" s="19"/>
      <c r="T512" s="19"/>
      <c r="U512" s="19"/>
      <c r="V512" s="19"/>
      <c r="W512" s="20">
        <f ca="1">IFERROR(__xludf.DUMMYFUNCTION("""COMPUTED_VALUE"""),55422652)</f>
        <v>55422652</v>
      </c>
      <c r="X512" s="20" t="str">
        <f ca="1">IFERROR(__xludf.DUMMYFUNCTION("""COMPUTED_VALUE""")," MUNICIPALIDAD DE LOS ÁLAMOS ")</f>
        <v xml:space="preserve"> MUNICIPALIDAD DE LOS ÁLAMOS </v>
      </c>
    </row>
    <row r="513" spans="1:24" ht="15.75" customHeight="1" x14ac:dyDescent="0.25">
      <c r="A513" s="16" t="str">
        <f ca="1">IFERROR(__xludf.DUMMYFUNCTION("""COMPUTED_VALUE""")," REGIÓN DEL BIOBÍO ")</f>
        <v xml:space="preserve"> REGIÓN DEL BIOBÍO </v>
      </c>
      <c r="B513" s="16" t="str">
        <f t="shared" ca="1" si="1"/>
        <v xml:space="preserve"> LOS ÁLAMOS </v>
      </c>
      <c r="C513" s="16" t="str">
        <f ca="1">IFERROR(__xludf.DUMMYFUNCTION("""COMPUTED_VALUE""")," REPOSICIÓN VEREDA CALLE LA VIRGEN ENTRE CALLE ARTURO PRAT Y AVDA DIEGO PORTALES CERRO ALTO, LOS ÁLAMOS ")</f>
        <v xml:space="preserve"> REPOSICIÓN VEREDA CALLE LA VIRGEN ENTRE CALLE ARTURO PRAT Y AVDA DIEGO PORTALES CERRO ALTO, LOS ÁLAMOS </v>
      </c>
      <c r="D513" s="16" t="str">
        <f ca="1">IFERROR(__xludf.DUMMYFUNCTION("""COMPUTED_VALUE""")," 1-K-2024-66 ")</f>
        <v xml:space="preserve"> 1-K-2024-66 </v>
      </c>
      <c r="E513" s="16" t="str">
        <f ca="1">IFERROR(__xludf.DUMMYFUNCTION("""COMPUTED_VALUE""")," Con Giro por Anticipo ")</f>
        <v xml:space="preserve"> Con Giro por Anticipo </v>
      </c>
      <c r="F513" s="17">
        <f ca="1">IFERROR(__xludf.DUMMYFUNCTION("""COMPUTED_VALUE"""),45504)</f>
        <v>45504</v>
      </c>
      <c r="G513" s="16">
        <f ca="1">IFERROR(__xludf.DUMMYFUNCTION("""COMPUTED_VALUE"""),112139137)</f>
        <v>112139137</v>
      </c>
      <c r="H513" s="16" t="str">
        <f ca="1">IFERROR(__xludf.DUMMYFUNCTION("""COMPUTED_VALUE""")," Con Giro por Anticipo ")</f>
        <v xml:space="preserve"> Con Giro por Anticipo </v>
      </c>
      <c r="I513" s="16">
        <f ca="1">IFERROR(__xludf.DUMMYFUNCTION("""COMPUTED_VALUE"""),56069569)</f>
        <v>56069569</v>
      </c>
      <c r="J513" s="83" t="s">
        <v>48</v>
      </c>
      <c r="K513" s="16"/>
      <c r="L513" s="16"/>
      <c r="M513" s="16"/>
      <c r="N513" s="19"/>
      <c r="O513" s="19"/>
      <c r="P513" s="19"/>
      <c r="Q513" s="21">
        <f ca="1">IFERROR(__xludf.DUMMYFUNCTION("""COMPUTED_VALUE"""),56069569)</f>
        <v>56069569</v>
      </c>
      <c r="R513" s="19"/>
      <c r="S513" s="19"/>
      <c r="T513" s="19"/>
      <c r="U513" s="19"/>
      <c r="V513" s="19"/>
      <c r="W513" s="20">
        <f ca="1">IFERROR(__xludf.DUMMYFUNCTION("""COMPUTED_VALUE"""),56069569)</f>
        <v>56069569</v>
      </c>
      <c r="X513" s="20" t="str">
        <f ca="1">IFERROR(__xludf.DUMMYFUNCTION("""COMPUTED_VALUE""")," MUNICIPALIDAD DE LOS ÁLAMOS ")</f>
        <v xml:space="preserve"> MUNICIPALIDAD DE LOS ÁLAMOS </v>
      </c>
    </row>
    <row r="514" spans="1:24" ht="15.75" customHeight="1" x14ac:dyDescent="0.25">
      <c r="A514" s="16" t="str">
        <f ca="1">IFERROR(__xludf.DUMMYFUNCTION("""COMPUTED_VALUE""")," REGIÓN DEL BIOBÍO ")</f>
        <v xml:space="preserve"> REGIÓN DEL BIOBÍO </v>
      </c>
      <c r="B514" s="16" t="str">
        <f t="shared" ca="1" si="1"/>
        <v xml:space="preserve"> LOS ÁLAMOS </v>
      </c>
      <c r="C514" s="16" t="str">
        <f ca="1">IFERROR(__xludf.DUMMYFUNCTION("""COMPUTED_VALUE""")," REPOSICIÓN VEREDA CALLE LAS ROSAS ENTRE AREA VERDE Y PASAJE LOS JAZMINES TRES PINOS, LOS ÁLAMOS ")</f>
        <v xml:space="preserve"> REPOSICIÓN VEREDA CALLE LAS ROSAS ENTRE AREA VERDE Y PASAJE LOS JAZMINES TRES PINOS, LOS ÁLAMOS </v>
      </c>
      <c r="D514" s="16" t="str">
        <f ca="1">IFERROR(__xludf.DUMMYFUNCTION("""COMPUTED_VALUE""")," 1-K-2024-67 ")</f>
        <v xml:space="preserve"> 1-K-2024-67 </v>
      </c>
      <c r="E514" s="16" t="str">
        <f ca="1">IFERROR(__xludf.DUMMYFUNCTION("""COMPUTED_VALUE""")," Con Giro por Anticipo ")</f>
        <v xml:space="preserve"> Con Giro por Anticipo </v>
      </c>
      <c r="F514" s="17">
        <f ca="1">IFERROR(__xludf.DUMMYFUNCTION("""COMPUTED_VALUE"""),45504)</f>
        <v>45504</v>
      </c>
      <c r="G514" s="16">
        <f ca="1">IFERROR(__xludf.DUMMYFUNCTION("""COMPUTED_VALUE"""),110611172)</f>
        <v>110611172</v>
      </c>
      <c r="H514" s="16" t="str">
        <f ca="1">IFERROR(__xludf.DUMMYFUNCTION("""COMPUTED_VALUE""")," Con Giro por Anticipo ")</f>
        <v xml:space="preserve"> Con Giro por Anticipo </v>
      </c>
      <c r="I514" s="16">
        <f ca="1">IFERROR(__xludf.DUMMYFUNCTION("""COMPUTED_VALUE"""),55305586)</f>
        <v>55305586</v>
      </c>
      <c r="J514" s="83" t="s">
        <v>48</v>
      </c>
      <c r="K514" s="16"/>
      <c r="L514" s="16"/>
      <c r="M514" s="16"/>
      <c r="N514" s="19"/>
      <c r="O514" s="19"/>
      <c r="P514" s="19"/>
      <c r="Q514" s="21">
        <f ca="1">IFERROR(__xludf.DUMMYFUNCTION("""COMPUTED_VALUE"""),55305586)</f>
        <v>55305586</v>
      </c>
      <c r="R514" s="19"/>
      <c r="S514" s="19"/>
      <c r="T514" s="19"/>
      <c r="U514" s="19"/>
      <c r="V514" s="19"/>
      <c r="W514" s="20">
        <f ca="1">IFERROR(__xludf.DUMMYFUNCTION("""COMPUTED_VALUE"""),55305586)</f>
        <v>55305586</v>
      </c>
      <c r="X514" s="20" t="str">
        <f ca="1">IFERROR(__xludf.DUMMYFUNCTION("""COMPUTED_VALUE""")," MUNICIPALIDAD DE LOS ÁLAMOS ")</f>
        <v xml:space="preserve"> MUNICIPALIDAD DE LOS ÁLAMOS </v>
      </c>
    </row>
    <row r="515" spans="1:24" ht="15.75" customHeight="1" x14ac:dyDescent="0.25">
      <c r="A515" s="16" t="str">
        <f ca="1">IFERROR(__xludf.DUMMYFUNCTION("""COMPUTED_VALUE""")," REGIÓN DEL BIOBÍO ")</f>
        <v xml:space="preserve"> REGIÓN DEL BIOBÍO </v>
      </c>
      <c r="B515" s="16" t="str">
        <f t="shared" ca="1" si="1"/>
        <v xml:space="preserve"> LOS ÁLAMOS </v>
      </c>
      <c r="C515" s="16" t="str">
        <f ca="1">IFERROR(__xludf.DUMMYFUNCTION("""COMPUTED_VALUE""")," REPOSICIÓN VEREDA CALLE BERNARDO O´HIGGINS ENTRE CALLE TENIENTE MERINO Y CALLE MANUEL RODRIGUEZ, JJVV GABRIELA MISTRAL, LOS ÁLAMOS ")</f>
        <v xml:space="preserve"> REPOSICIÓN VEREDA CALLE BERNARDO O´HIGGINS ENTRE CALLE TENIENTE MERINO Y CALLE MANUEL RODRIGUEZ, JJVV GABRIELA MISTRAL, LOS ÁLAMOS </v>
      </c>
      <c r="D515" s="16" t="str">
        <f ca="1">IFERROR(__xludf.DUMMYFUNCTION("""COMPUTED_VALUE""")," 1-K-2024-69 ")</f>
        <v xml:space="preserve"> 1-K-2024-69 </v>
      </c>
      <c r="E515" s="16" t="str">
        <f ca="1">IFERROR(__xludf.DUMMYFUNCTION("""COMPUTED_VALUE""")," Con Giro por Anticipo ")</f>
        <v xml:space="preserve"> Con Giro por Anticipo </v>
      </c>
      <c r="F515" s="17">
        <f ca="1">IFERROR(__xludf.DUMMYFUNCTION("""COMPUTED_VALUE"""),45504)</f>
        <v>45504</v>
      </c>
      <c r="G515" s="16">
        <f ca="1">IFERROR(__xludf.DUMMYFUNCTION("""COMPUTED_VALUE"""),115043788)</f>
        <v>115043788</v>
      </c>
      <c r="H515" s="16" t="str">
        <f ca="1">IFERROR(__xludf.DUMMYFUNCTION("""COMPUTED_VALUE""")," Con Giro por Anticipo ")</f>
        <v xml:space="preserve"> Con Giro por Anticipo </v>
      </c>
      <c r="I515" s="16">
        <f ca="1">IFERROR(__xludf.DUMMYFUNCTION("""COMPUTED_VALUE"""),57521894)</f>
        <v>57521894</v>
      </c>
      <c r="J515" s="83" t="s">
        <v>48</v>
      </c>
      <c r="K515" s="16"/>
      <c r="L515" s="16"/>
      <c r="M515" s="16"/>
      <c r="N515" s="19"/>
      <c r="O515" s="19"/>
      <c r="P515" s="19"/>
      <c r="Q515" s="21">
        <f ca="1">IFERROR(__xludf.DUMMYFUNCTION("""COMPUTED_VALUE"""),57521894)</f>
        <v>57521894</v>
      </c>
      <c r="R515" s="19"/>
      <c r="S515" s="19"/>
      <c r="T515" s="19"/>
      <c r="U515" s="19"/>
      <c r="V515" s="19"/>
      <c r="W515" s="20">
        <f ca="1">IFERROR(__xludf.DUMMYFUNCTION("""COMPUTED_VALUE"""),57521894)</f>
        <v>57521894</v>
      </c>
      <c r="X515" s="20" t="str">
        <f ca="1">IFERROR(__xludf.DUMMYFUNCTION("""COMPUTED_VALUE""")," MUNICIPALIDAD DE LOS ÁLAMOS ")</f>
        <v xml:space="preserve"> MUNICIPALIDAD DE LOS ÁLAMOS </v>
      </c>
    </row>
    <row r="516" spans="1:24" ht="15.75" customHeight="1" x14ac:dyDescent="0.25">
      <c r="A516" s="16" t="str">
        <f ca="1">IFERROR(__xludf.DUMMYFUNCTION("""COMPUTED_VALUE""")," REGIÓN DEL BIOBÍO ")</f>
        <v xml:space="preserve"> REGIÓN DEL BIOBÍO </v>
      </c>
      <c r="B516" s="16" t="str">
        <f t="shared" ca="1" si="1"/>
        <v xml:space="preserve"> LOS ÁLAMOS </v>
      </c>
      <c r="C516" s="16" t="str">
        <f ca="1">IFERROR(__xludf.DUMMYFUNCTION("""COMPUTED_VALUE""")," REPOSICIÓN VEREDA CALLE BERNARDO O´HIGGINS ENTRE PASAJE S/N Y PASAJE LOS COIGUES ANTIHUALA, LOS ÁLAMOS ")</f>
        <v xml:space="preserve"> REPOSICIÓN VEREDA CALLE BERNARDO O´HIGGINS ENTRE PASAJE S/N Y PASAJE LOS COIGUES ANTIHUALA, LOS ÁLAMOS </v>
      </c>
      <c r="D516" s="16" t="str">
        <f ca="1">IFERROR(__xludf.DUMMYFUNCTION("""COMPUTED_VALUE""")," 1-K-2024-70 ")</f>
        <v xml:space="preserve"> 1-K-2024-70 </v>
      </c>
      <c r="E516" s="16" t="str">
        <f ca="1">IFERROR(__xludf.DUMMYFUNCTION("""COMPUTED_VALUE""")," Con Giro por Anticipo ")</f>
        <v xml:space="preserve"> Con Giro por Anticipo </v>
      </c>
      <c r="F516" s="17">
        <f ca="1">IFERROR(__xludf.DUMMYFUNCTION("""COMPUTED_VALUE"""),45504)</f>
        <v>45504</v>
      </c>
      <c r="G516" s="16">
        <f ca="1">IFERROR(__xludf.DUMMYFUNCTION("""COMPUTED_VALUE"""),108555331)</f>
        <v>108555331</v>
      </c>
      <c r="H516" s="16" t="str">
        <f ca="1">IFERROR(__xludf.DUMMYFUNCTION("""COMPUTED_VALUE""")," Con Giro por Anticipo ")</f>
        <v xml:space="preserve"> Con Giro por Anticipo </v>
      </c>
      <c r="I516" s="16">
        <f ca="1">IFERROR(__xludf.DUMMYFUNCTION("""COMPUTED_VALUE"""),54277666)</f>
        <v>54277666</v>
      </c>
      <c r="J516" s="83" t="s">
        <v>48</v>
      </c>
      <c r="K516" s="16"/>
      <c r="L516" s="16"/>
      <c r="M516" s="16"/>
      <c r="N516" s="19"/>
      <c r="O516" s="19"/>
      <c r="P516" s="19"/>
      <c r="Q516" s="21">
        <f ca="1">IFERROR(__xludf.DUMMYFUNCTION("""COMPUTED_VALUE"""),54277666)</f>
        <v>54277666</v>
      </c>
      <c r="R516" s="19"/>
      <c r="S516" s="19"/>
      <c r="T516" s="19"/>
      <c r="U516" s="19"/>
      <c r="V516" s="19"/>
      <c r="W516" s="20">
        <f ca="1">IFERROR(__xludf.DUMMYFUNCTION("""COMPUTED_VALUE"""),54277666)</f>
        <v>54277666</v>
      </c>
      <c r="X516" s="20" t="str">
        <f ca="1">IFERROR(__xludf.DUMMYFUNCTION("""COMPUTED_VALUE""")," MUNICIPALIDAD DE LOS ÁLAMOS ")</f>
        <v xml:space="preserve"> MUNICIPALIDAD DE LOS ÁLAMOS </v>
      </c>
    </row>
    <row r="517" spans="1:24" ht="15.75" customHeight="1" x14ac:dyDescent="0.25">
      <c r="A517" s="16" t="str">
        <f ca="1">IFERROR(__xludf.DUMMYFUNCTION("""COMPUTED_VALUE""")," REGIÓN DEL BIOBÍO ")</f>
        <v xml:space="preserve"> REGIÓN DEL BIOBÍO </v>
      </c>
      <c r="B517" s="16" t="str">
        <f t="shared" ca="1" si="1"/>
        <v xml:space="preserve"> CORONEL </v>
      </c>
      <c r="C517" s="16" t="str">
        <f ca="1">IFERROR(__xludf.DUMMYFUNCTION("""COMPUTED_VALUE""")," 12. REPOSICIÓN ACERAS EN CALLE DEMOCRACIA ENTRE CALLES LAUTARO Y BALMACEDA, SECTOR CORONEL CENTRO. ")</f>
        <v xml:space="preserve"> 12. REPOSICIÓN ACERAS EN CALLE DEMOCRACIA ENTRE CALLES LAUTARO Y BALMACEDA, SECTOR CORONEL CENTRO. </v>
      </c>
      <c r="D517" s="16" t="str">
        <f ca="1">IFERROR(__xludf.DUMMYFUNCTION("""COMPUTED_VALUE""")," 1-K-2024-71 ")</f>
        <v xml:space="preserve"> 1-K-2024-71 </v>
      </c>
      <c r="E517" s="16" t="str">
        <f ca="1">IFERROR(__xludf.DUMMYFUNCTION("""COMPUTED_VALUE""")," Con Giro por Anticipo ")</f>
        <v xml:space="preserve"> Con Giro por Anticipo </v>
      </c>
      <c r="F517" s="17">
        <f ca="1">IFERROR(__xludf.DUMMYFUNCTION("""COMPUTED_VALUE"""),45496)</f>
        <v>45496</v>
      </c>
      <c r="G517" s="16">
        <f ca="1">IFERROR(__xludf.DUMMYFUNCTION("""COMPUTED_VALUE"""),161593777)</f>
        <v>161593777</v>
      </c>
      <c r="H517" s="16" t="str">
        <f ca="1">IFERROR(__xludf.DUMMYFUNCTION("""COMPUTED_VALUE""")," Con Giro por Anticipo ")</f>
        <v xml:space="preserve"> Con Giro por Anticipo </v>
      </c>
      <c r="I517" s="16">
        <f ca="1">IFERROR(__xludf.DUMMYFUNCTION("""COMPUTED_VALUE"""),80796889)</f>
        <v>80796889</v>
      </c>
      <c r="J517" s="83" t="s">
        <v>48</v>
      </c>
      <c r="K517" s="16"/>
      <c r="L517" s="16"/>
      <c r="M517" s="16"/>
      <c r="N517" s="19"/>
      <c r="O517" s="19"/>
      <c r="P517" s="19"/>
      <c r="Q517" s="21">
        <f ca="1">IFERROR(__xludf.DUMMYFUNCTION("""COMPUTED_VALUE"""),80796889)</f>
        <v>80796889</v>
      </c>
      <c r="R517" s="19"/>
      <c r="S517" s="19"/>
      <c r="T517" s="19"/>
      <c r="U517" s="19"/>
      <c r="V517" s="19"/>
      <c r="W517" s="20">
        <f ca="1">IFERROR(__xludf.DUMMYFUNCTION("""COMPUTED_VALUE"""),80796889)</f>
        <v>80796889</v>
      </c>
      <c r="X517" s="20" t="str">
        <f ca="1">IFERROR(__xludf.DUMMYFUNCTION("""COMPUTED_VALUE""")," MUNICIPALIDAD DE CORONEL ")</f>
        <v xml:space="preserve"> MUNICIPALIDAD DE CORONEL </v>
      </c>
    </row>
    <row r="518" spans="1:24" ht="15.75" customHeight="1" x14ac:dyDescent="0.25">
      <c r="A518" s="16" t="str">
        <f ca="1">IFERROR(__xludf.DUMMYFUNCTION("""COMPUTED_VALUE""")," REGIÓN DEL BIOBÍO ")</f>
        <v xml:space="preserve"> REGIÓN DEL BIOBÍO </v>
      </c>
      <c r="B518" s="16" t="str">
        <f t="shared" ca="1" si="1"/>
        <v xml:space="preserve"> LEBU </v>
      </c>
      <c r="C518" s="16" t="str">
        <f ca="1">IFERROR(__xludf.DUMMYFUNCTION("""COMPUTED_VALUE""")," CONSTRUCCION ILUMINACION ORNAMENTAL PLAZA LOS AROMOS ")</f>
        <v xml:space="preserve"> CONSTRUCCION ILUMINACION ORNAMENTAL PLAZA LOS AROMOS </v>
      </c>
      <c r="D518" s="16" t="str">
        <f ca="1">IFERROR(__xludf.DUMMYFUNCTION("""COMPUTED_VALUE""")," 1-K-2024-72 ")</f>
        <v xml:space="preserve"> 1-K-2024-72 </v>
      </c>
      <c r="E518" s="16" t="str">
        <f ca="1">IFERROR(__xludf.DUMMYFUNCTION("""COMPUTED_VALUE""")," Con Giro por Anticipo ")</f>
        <v xml:space="preserve"> Con Giro por Anticipo </v>
      </c>
      <c r="F518" s="17">
        <f ca="1">IFERROR(__xludf.DUMMYFUNCTION("""COMPUTED_VALUE"""),45504)</f>
        <v>45504</v>
      </c>
      <c r="G518" s="16">
        <f ca="1">IFERROR(__xludf.DUMMYFUNCTION("""COMPUTED_VALUE"""),71669107)</f>
        <v>71669107</v>
      </c>
      <c r="H518" s="16" t="str">
        <f ca="1">IFERROR(__xludf.DUMMYFUNCTION("""COMPUTED_VALUE""")," Con Giro por Anticipo ")</f>
        <v xml:space="preserve"> Con Giro por Anticipo </v>
      </c>
      <c r="I518" s="16">
        <f ca="1">IFERROR(__xludf.DUMMYFUNCTION("""COMPUTED_VALUE"""),35834554)</f>
        <v>35834554</v>
      </c>
      <c r="J518" s="83" t="s">
        <v>48</v>
      </c>
      <c r="K518" s="16"/>
      <c r="L518" s="16"/>
      <c r="M518" s="16"/>
      <c r="N518" s="19"/>
      <c r="O518" s="19"/>
      <c r="P518" s="19"/>
      <c r="Q518" s="21">
        <f ca="1">IFERROR(__xludf.DUMMYFUNCTION("""COMPUTED_VALUE"""),35834554)</f>
        <v>35834554</v>
      </c>
      <c r="R518" s="19"/>
      <c r="S518" s="19"/>
      <c r="T518" s="19"/>
      <c r="U518" s="19"/>
      <c r="V518" s="19"/>
      <c r="W518" s="20">
        <f ca="1">IFERROR(__xludf.DUMMYFUNCTION("""COMPUTED_VALUE"""),35834554)</f>
        <v>35834554</v>
      </c>
      <c r="X518" s="20" t="str">
        <f ca="1">IFERROR(__xludf.DUMMYFUNCTION("""COMPUTED_VALUE""")," MUNICIPALIDAD DE LEBU ")</f>
        <v xml:space="preserve"> MUNICIPALIDAD DE LEBU </v>
      </c>
    </row>
    <row r="519" spans="1:24" ht="15.75" customHeight="1" x14ac:dyDescent="0.25">
      <c r="A519" s="16" t="str">
        <f ca="1">IFERROR(__xludf.DUMMYFUNCTION("""COMPUTED_VALUE""")," REGIÓN DEL BIOBÍO ")</f>
        <v xml:space="preserve"> REGIÓN DEL BIOBÍO </v>
      </c>
      <c r="B519" s="16" t="str">
        <f t="shared" ca="1" si="1"/>
        <v xml:space="preserve"> LEBU </v>
      </c>
      <c r="C519" s="16" t="str">
        <f ca="1">IFERROR(__xludf.DUMMYFUNCTION("""COMPUTED_VALUE""")," CONSTRUCCIÓN DE ALUMBRADO PÚBLICO SANTA ROSA, LEBU ")</f>
        <v xml:space="preserve"> CONSTRUCCIÓN DE ALUMBRADO PÚBLICO SANTA ROSA, LEBU </v>
      </c>
      <c r="D519" s="16" t="str">
        <f ca="1">IFERROR(__xludf.DUMMYFUNCTION("""COMPUTED_VALUE""")," 1-K-2024-73 ")</f>
        <v xml:space="preserve"> 1-K-2024-73 </v>
      </c>
      <c r="E519" s="16" t="str">
        <f ca="1">IFERROR(__xludf.DUMMYFUNCTION("""COMPUTED_VALUE""")," Con Giro por Anticipo ")</f>
        <v xml:space="preserve"> Con Giro por Anticipo </v>
      </c>
      <c r="F519" s="17">
        <f ca="1">IFERROR(__xludf.DUMMYFUNCTION("""COMPUTED_VALUE"""),45504)</f>
        <v>45504</v>
      </c>
      <c r="G519" s="16">
        <f ca="1">IFERROR(__xludf.DUMMYFUNCTION("""COMPUTED_VALUE"""),71669107)</f>
        <v>71669107</v>
      </c>
      <c r="H519" s="16" t="str">
        <f ca="1">IFERROR(__xludf.DUMMYFUNCTION("""COMPUTED_VALUE""")," Con Giro por Anticipo ")</f>
        <v xml:space="preserve"> Con Giro por Anticipo </v>
      </c>
      <c r="I519" s="16">
        <f ca="1">IFERROR(__xludf.DUMMYFUNCTION("""COMPUTED_VALUE"""),35834554)</f>
        <v>35834554</v>
      </c>
      <c r="J519" s="83" t="s">
        <v>48</v>
      </c>
      <c r="K519" s="16"/>
      <c r="L519" s="16"/>
      <c r="M519" s="16"/>
      <c r="N519" s="19"/>
      <c r="O519" s="19"/>
      <c r="P519" s="19"/>
      <c r="Q519" s="21">
        <f ca="1">IFERROR(__xludf.DUMMYFUNCTION("""COMPUTED_VALUE"""),35834554)</f>
        <v>35834554</v>
      </c>
      <c r="R519" s="19"/>
      <c r="S519" s="19"/>
      <c r="T519" s="19"/>
      <c r="U519" s="19"/>
      <c r="V519" s="19"/>
      <c r="W519" s="20">
        <f ca="1">IFERROR(__xludf.DUMMYFUNCTION("""COMPUTED_VALUE"""),35834554)</f>
        <v>35834554</v>
      </c>
      <c r="X519" s="20" t="str">
        <f ca="1">IFERROR(__xludf.DUMMYFUNCTION("""COMPUTED_VALUE""")," MUNICIPALIDAD DE LEBU ")</f>
        <v xml:space="preserve"> MUNICIPALIDAD DE LEBU </v>
      </c>
    </row>
    <row r="520" spans="1:24" ht="15.75" customHeight="1" x14ac:dyDescent="0.25">
      <c r="A520" s="16" t="str">
        <f ca="1">IFERROR(__xludf.DUMMYFUNCTION("""COMPUTED_VALUE""")," REGIÓN DEL BIOBÍO ")</f>
        <v xml:space="preserve"> REGIÓN DEL BIOBÍO </v>
      </c>
      <c r="B520" s="16" t="str">
        <f t="shared" ca="1" si="1"/>
        <v xml:space="preserve"> LEBU </v>
      </c>
      <c r="C520" s="16" t="str">
        <f ca="1">IFERROR(__xludf.DUMMYFUNCTION("""COMPUTED_VALUE""")," MEJORAMIENTO DE ALUMBRADO PÚBLICO EN CARLOS IBÁÑEZ DEL CAMPO, LEBU ")</f>
        <v xml:space="preserve"> MEJORAMIENTO DE ALUMBRADO PÚBLICO EN CARLOS IBÁÑEZ DEL CAMPO, LEBU </v>
      </c>
      <c r="D520" s="16" t="str">
        <f ca="1">IFERROR(__xludf.DUMMYFUNCTION("""COMPUTED_VALUE""")," 1-K-2024-74 ")</f>
        <v xml:space="preserve"> 1-K-2024-74 </v>
      </c>
      <c r="E520" s="16" t="str">
        <f ca="1">IFERROR(__xludf.DUMMYFUNCTION("""COMPUTED_VALUE""")," Con Giro por Anticipo ")</f>
        <v xml:space="preserve"> Con Giro por Anticipo </v>
      </c>
      <c r="F520" s="17">
        <f ca="1">IFERROR(__xludf.DUMMYFUNCTION("""COMPUTED_VALUE"""),45504)</f>
        <v>45504</v>
      </c>
      <c r="G520" s="16">
        <f ca="1">IFERROR(__xludf.DUMMYFUNCTION("""COMPUTED_VALUE"""),75243127)</f>
        <v>75243127</v>
      </c>
      <c r="H520" s="16" t="str">
        <f ca="1">IFERROR(__xludf.DUMMYFUNCTION("""COMPUTED_VALUE""")," Con Giro por Anticipo ")</f>
        <v xml:space="preserve"> Con Giro por Anticipo </v>
      </c>
      <c r="I520" s="16">
        <f ca="1">IFERROR(__xludf.DUMMYFUNCTION("""COMPUTED_VALUE"""),37621564)</f>
        <v>37621564</v>
      </c>
      <c r="J520" s="83" t="s">
        <v>48</v>
      </c>
      <c r="K520" s="16"/>
      <c r="L520" s="16"/>
      <c r="M520" s="16"/>
      <c r="N520" s="19"/>
      <c r="O520" s="19"/>
      <c r="P520" s="19"/>
      <c r="Q520" s="21">
        <f ca="1">IFERROR(__xludf.DUMMYFUNCTION("""COMPUTED_VALUE"""),37621564)</f>
        <v>37621564</v>
      </c>
      <c r="R520" s="19"/>
      <c r="S520" s="19"/>
      <c r="T520" s="19"/>
      <c r="U520" s="19"/>
      <c r="V520" s="19"/>
      <c r="W520" s="20">
        <f ca="1">IFERROR(__xludf.DUMMYFUNCTION("""COMPUTED_VALUE"""),37621564)</f>
        <v>37621564</v>
      </c>
      <c r="X520" s="20" t="str">
        <f ca="1">IFERROR(__xludf.DUMMYFUNCTION("""COMPUTED_VALUE""")," MUNICIPALIDAD DE LEBU ")</f>
        <v xml:space="preserve"> MUNICIPALIDAD DE LEBU </v>
      </c>
    </row>
    <row r="521" spans="1:24" ht="15.75" customHeight="1" x14ac:dyDescent="0.25">
      <c r="A521" s="16" t="str">
        <f ca="1">IFERROR(__xludf.DUMMYFUNCTION("""COMPUTED_VALUE""")," REGIÓN DEL BIOBÍO ")</f>
        <v xml:space="preserve"> REGIÓN DEL BIOBÍO </v>
      </c>
      <c r="B521" s="16" t="str">
        <f t="shared" ca="1" si="1"/>
        <v xml:space="preserve"> LEBU </v>
      </c>
      <c r="C521" s="16" t="str">
        <f ca="1">IFERROR(__xludf.DUMMYFUNCTION("""COMPUTED_VALUE""")," CONSTRUCCIÓN DE ALUMBRADO PÚBLICO SECTOR TRANCALCO, COMUNA DE LEBU ")</f>
        <v xml:space="preserve"> CONSTRUCCIÓN DE ALUMBRADO PÚBLICO SECTOR TRANCALCO, COMUNA DE LEBU </v>
      </c>
      <c r="D521" s="16" t="str">
        <f ca="1">IFERROR(__xludf.DUMMYFUNCTION("""COMPUTED_VALUE""")," 1-K-2024-75 ")</f>
        <v xml:space="preserve"> 1-K-2024-75 </v>
      </c>
      <c r="E521" s="16" t="str">
        <f ca="1">IFERROR(__xludf.DUMMYFUNCTION("""COMPUTED_VALUE""")," Con Giro por Anticipo ")</f>
        <v xml:space="preserve"> Con Giro por Anticipo </v>
      </c>
      <c r="F521" s="17">
        <f ca="1">IFERROR(__xludf.DUMMYFUNCTION("""COMPUTED_VALUE"""),45504)</f>
        <v>45504</v>
      </c>
      <c r="G521" s="16">
        <f ca="1">IFERROR(__xludf.DUMMYFUNCTION("""COMPUTED_VALUE"""),75236211)</f>
        <v>75236211</v>
      </c>
      <c r="H521" s="16" t="str">
        <f ca="1">IFERROR(__xludf.DUMMYFUNCTION("""COMPUTED_VALUE""")," Con Giro por Anticipo ")</f>
        <v xml:space="preserve"> Con Giro por Anticipo </v>
      </c>
      <c r="I521" s="16">
        <f ca="1">IFERROR(__xludf.DUMMYFUNCTION("""COMPUTED_VALUE"""),37618106)</f>
        <v>37618106</v>
      </c>
      <c r="J521" s="83" t="s">
        <v>48</v>
      </c>
      <c r="K521" s="16"/>
      <c r="L521" s="16"/>
      <c r="M521" s="16"/>
      <c r="N521" s="19"/>
      <c r="O521" s="19"/>
      <c r="P521" s="19"/>
      <c r="Q521" s="21">
        <f ca="1">IFERROR(__xludf.DUMMYFUNCTION("""COMPUTED_VALUE"""),37618106)</f>
        <v>37618106</v>
      </c>
      <c r="R521" s="19"/>
      <c r="S521" s="19"/>
      <c r="T521" s="19"/>
      <c r="U521" s="19"/>
      <c r="V521" s="19"/>
      <c r="W521" s="20">
        <f ca="1">IFERROR(__xludf.DUMMYFUNCTION("""COMPUTED_VALUE"""),37618106)</f>
        <v>37618106</v>
      </c>
      <c r="X521" s="20" t="str">
        <f ca="1">IFERROR(__xludf.DUMMYFUNCTION("""COMPUTED_VALUE""")," MUNICIPALIDAD DE LEBU ")</f>
        <v xml:space="preserve"> MUNICIPALIDAD DE LEBU </v>
      </c>
    </row>
    <row r="522" spans="1:24" ht="15.75" customHeight="1" x14ac:dyDescent="0.25">
      <c r="A522" s="16" t="str">
        <f ca="1">IFERROR(__xludf.DUMMYFUNCTION("""COMPUTED_VALUE""")," REGIÓN DE LOS LAGOS ")</f>
        <v xml:space="preserve"> REGIÓN DE LOS LAGOS </v>
      </c>
      <c r="B522" s="16" t="str">
        <f t="shared" ca="1" si="1"/>
        <v xml:space="preserve"> PURRANQUE </v>
      </c>
      <c r="C522" s="16" t="str">
        <f ca="1">IFERROR(__xludf.DUMMYFUNCTION("""COMPUTED_VALUE""")," CONSTRUCCIÓN PLAZA POBLACIÓN CARRASCO, COMUNA DE PURRANQUE ")</f>
        <v xml:space="preserve"> CONSTRUCCIÓN PLAZA POBLACIÓN CARRASCO, COMUNA DE PURRANQUE </v>
      </c>
      <c r="D522" s="16" t="str">
        <f ca="1">IFERROR(__xludf.DUMMYFUNCTION("""COMPUTED_VALUE""")," 1-C-2023-2345 ")</f>
        <v xml:space="preserve"> 1-C-2023-2345 </v>
      </c>
      <c r="E522" s="16" t="str">
        <f ca="1">IFERROR(__xludf.DUMMYFUNCTION("""COMPUTED_VALUE""")," 100% Girado ")</f>
        <v xml:space="preserve"> 100% Girado </v>
      </c>
      <c r="F522" s="17">
        <f ca="1">IFERROR(__xludf.DUMMYFUNCTION("""COMPUTED_VALUE"""),45496)</f>
        <v>45496</v>
      </c>
      <c r="G522" s="16">
        <f ca="1">IFERROR(__xludf.DUMMYFUNCTION("""COMPUTED_VALUE"""),147795251)</f>
        <v>147795251</v>
      </c>
      <c r="H522" s="16" t="str">
        <f ca="1">IFERROR(__xludf.DUMMYFUNCTION("""COMPUTED_VALUE""")," 100% Girado ")</f>
        <v xml:space="preserve"> 100% Girado </v>
      </c>
      <c r="I522" s="16">
        <f ca="1">IFERROR(__xludf.DUMMYFUNCTION("""COMPUTED_VALUE"""),147795251)</f>
        <v>147795251</v>
      </c>
      <c r="J522" s="83" t="s">
        <v>48</v>
      </c>
      <c r="K522" s="16"/>
      <c r="L522" s="16"/>
      <c r="M522" s="16"/>
      <c r="N522" s="19"/>
      <c r="O522" s="19"/>
      <c r="P522" s="19"/>
      <c r="Q522" s="21">
        <f ca="1">IFERROR(__xludf.DUMMYFUNCTION("""COMPUTED_VALUE"""),147795251)</f>
        <v>147795251</v>
      </c>
      <c r="R522" s="19"/>
      <c r="S522" s="19"/>
      <c r="T522" s="19"/>
      <c r="U522" s="19"/>
      <c r="V522" s="19"/>
      <c r="W522" s="20">
        <f ca="1">IFERROR(__xludf.DUMMYFUNCTION("""COMPUTED_VALUE"""),147795251)</f>
        <v>147795251</v>
      </c>
      <c r="X522" s="20" t="str">
        <f ca="1">IFERROR(__xludf.DUMMYFUNCTION("""COMPUTED_VALUE""")," MUNICIPALIDAD DE PURRANQUE ")</f>
        <v xml:space="preserve"> MUNICIPALIDAD DE PURRANQUE </v>
      </c>
    </row>
    <row r="523" spans="1:24" ht="15.75" customHeight="1" x14ac:dyDescent="0.25">
      <c r="A523" s="16" t="str">
        <f ca="1">IFERROR(__xludf.DUMMYFUNCTION("""COMPUTED_VALUE""")," REGIÓN DE LOS LAGOS ")</f>
        <v xml:space="preserve"> REGIÓN DE LOS LAGOS </v>
      </c>
      <c r="B523" s="16" t="str">
        <f t="shared" ca="1" si="1"/>
        <v xml:space="preserve"> PUQUELDÓN </v>
      </c>
      <c r="C523" s="16" t="str">
        <f ca="1">IFERROR(__xludf.DUMMYFUNCTION("""COMPUTED_VALUE""")," MEJORAMIENTO RECINTO DEPORTIVO MUNICIPAL SECTOR ICHUAC Y OTROS - COMUNA DE PUQUELDON ")</f>
        <v xml:space="preserve"> MEJORAMIENTO RECINTO DEPORTIVO MUNICIPAL SECTOR ICHUAC Y OTROS - COMUNA DE PUQUELDON </v>
      </c>
      <c r="D523" s="16" t="str">
        <f ca="1">IFERROR(__xludf.DUMMYFUNCTION("""COMPUTED_VALUE""")," 1-B-2024-90 ")</f>
        <v xml:space="preserve"> 1-B-2024-90 </v>
      </c>
      <c r="E523" s="16" t="str">
        <f ca="1">IFERROR(__xludf.DUMMYFUNCTION("""COMPUTED_VALUE""")," 100% Girado ")</f>
        <v xml:space="preserve"> 100% Girado </v>
      </c>
      <c r="F523" s="17">
        <f ca="1">IFERROR(__xludf.DUMMYFUNCTION("""COMPUTED_VALUE"""),45485)</f>
        <v>45485</v>
      </c>
      <c r="G523" s="16">
        <f ca="1">IFERROR(__xludf.DUMMYFUNCTION("""COMPUTED_VALUE"""),83148629)</f>
        <v>83148629</v>
      </c>
      <c r="H523" s="16" t="str">
        <f ca="1">IFERROR(__xludf.DUMMYFUNCTION("""COMPUTED_VALUE""")," 100% Girado ")</f>
        <v xml:space="preserve"> 100% Girado </v>
      </c>
      <c r="I523" s="16">
        <f ca="1">IFERROR(__xludf.DUMMYFUNCTION("""COMPUTED_VALUE"""),83148629)</f>
        <v>83148629</v>
      </c>
      <c r="J523" s="83" t="s">
        <v>48</v>
      </c>
      <c r="K523" s="16"/>
      <c r="L523" s="16"/>
      <c r="M523" s="16"/>
      <c r="N523" s="19"/>
      <c r="O523" s="19"/>
      <c r="P523" s="19"/>
      <c r="Q523" s="21">
        <f ca="1">IFERROR(__xludf.DUMMYFUNCTION("""COMPUTED_VALUE"""),83148629)</f>
        <v>83148629</v>
      </c>
      <c r="R523" s="19"/>
      <c r="S523" s="19"/>
      <c r="T523" s="19"/>
      <c r="U523" s="19"/>
      <c r="V523" s="19"/>
      <c r="W523" s="20">
        <f ca="1">IFERROR(__xludf.DUMMYFUNCTION("""COMPUTED_VALUE"""),83148629)</f>
        <v>83148629</v>
      </c>
      <c r="X523" s="20" t="str">
        <f ca="1">IFERROR(__xludf.DUMMYFUNCTION("""COMPUTED_VALUE""")," MUNICIPALIDAD DE PUQUELDÓN ")</f>
        <v xml:space="preserve"> MUNICIPALIDAD DE PUQUELDÓN </v>
      </c>
    </row>
    <row r="524" spans="1:24" ht="15.75" customHeight="1" x14ac:dyDescent="0.25">
      <c r="A524" s="16" t="str">
        <f ca="1">IFERROR(__xludf.DUMMYFUNCTION("""COMPUTED_VALUE""")," REGIÓN DE LOS LAGOS ")</f>
        <v xml:space="preserve"> REGIÓN DE LOS LAGOS </v>
      </c>
      <c r="B524" s="16" t="str">
        <f t="shared" ca="1" si="1"/>
        <v xml:space="preserve"> ANCUD </v>
      </c>
      <c r="C524" s="16" t="str">
        <f ca="1">IFERROR(__xludf.DUMMYFUNCTION("""COMPUTED_VALUE""")," REPOSICIÓN DE VEREDAS Y CALZADAS, CALLE GALVARINO RIVEROS Y OTRAS. ")</f>
        <v xml:space="preserve"> REPOSICIÓN DE VEREDAS Y CALZADAS, CALLE GALVARINO RIVEROS Y OTRAS. </v>
      </c>
      <c r="D524" s="16" t="str">
        <f ca="1">IFERROR(__xludf.DUMMYFUNCTION("""COMPUTED_VALUE""")," 1-B-2024-126 ")</f>
        <v xml:space="preserve"> 1-B-2024-126 </v>
      </c>
      <c r="E524" s="16" t="str">
        <f ca="1">IFERROR(__xludf.DUMMYFUNCTION("""COMPUTED_VALUE""")," 100% Girado ")</f>
        <v xml:space="preserve"> 100% Girado </v>
      </c>
      <c r="F524" s="17">
        <f ca="1">IFERROR(__xludf.DUMMYFUNCTION("""COMPUTED_VALUE"""),45499)</f>
        <v>45499</v>
      </c>
      <c r="G524" s="16">
        <f ca="1">IFERROR(__xludf.DUMMYFUNCTION("""COMPUTED_VALUE"""),83148629)</f>
        <v>83148629</v>
      </c>
      <c r="H524" s="16" t="str">
        <f ca="1">IFERROR(__xludf.DUMMYFUNCTION("""COMPUTED_VALUE""")," 100% Girado ")</f>
        <v xml:space="preserve"> 100% Girado </v>
      </c>
      <c r="I524" s="16">
        <f ca="1">IFERROR(__xludf.DUMMYFUNCTION("""COMPUTED_VALUE"""),83148629)</f>
        <v>83148629</v>
      </c>
      <c r="J524" s="83" t="s">
        <v>48</v>
      </c>
      <c r="K524" s="16"/>
      <c r="L524" s="16"/>
      <c r="M524" s="16"/>
      <c r="N524" s="19"/>
      <c r="O524" s="19"/>
      <c r="P524" s="19"/>
      <c r="Q524" s="21">
        <f ca="1">IFERROR(__xludf.DUMMYFUNCTION("""COMPUTED_VALUE"""),83148629)</f>
        <v>83148629</v>
      </c>
      <c r="R524" s="19"/>
      <c r="S524" s="19"/>
      <c r="T524" s="19"/>
      <c r="U524" s="19"/>
      <c r="V524" s="19"/>
      <c r="W524" s="20">
        <f ca="1">IFERROR(__xludf.DUMMYFUNCTION("""COMPUTED_VALUE"""),83148629)</f>
        <v>83148629</v>
      </c>
      <c r="X524" s="20" t="str">
        <f ca="1">IFERROR(__xludf.DUMMYFUNCTION("""COMPUTED_VALUE""")," MUNICIPALIDAD DE ANCUD ")</f>
        <v xml:space="preserve"> MUNICIPALIDAD DE ANCUD </v>
      </c>
    </row>
    <row r="525" spans="1:24" ht="15.75" customHeight="1" x14ac:dyDescent="0.25">
      <c r="A525" s="16" t="str">
        <f ca="1">IFERROR(__xludf.DUMMYFUNCTION("""COMPUTED_VALUE""")," REGIÓN DE LOS LAGOS ")</f>
        <v xml:space="preserve"> REGIÓN DE LOS LAGOS </v>
      </c>
      <c r="B525" s="16" t="str">
        <f t="shared" ca="1" si="1"/>
        <v xml:space="preserve"> FUTALEUFÚ </v>
      </c>
      <c r="C525" s="16" t="str">
        <f ca="1">IFERROR(__xludf.DUMMYFUNCTION("""COMPUTED_VALUE""")," CONSTRUCCIÓN BAÑOS PÚBLICOS ESTADIO MUNICIPAL, FUTALEUFÚ ")</f>
        <v xml:space="preserve"> CONSTRUCCIÓN BAÑOS PÚBLICOS ESTADIO MUNICIPAL, FUTALEUFÚ </v>
      </c>
      <c r="D525" s="16" t="str">
        <f ca="1">IFERROR(__xludf.DUMMYFUNCTION("""COMPUTED_VALUE""")," 1-B-2024-128 ")</f>
        <v xml:space="preserve"> 1-B-2024-128 </v>
      </c>
      <c r="E525" s="16" t="str">
        <f ca="1">IFERROR(__xludf.DUMMYFUNCTION("""COMPUTED_VALUE""")," 100% Girado ")</f>
        <v xml:space="preserve"> 100% Girado </v>
      </c>
      <c r="F525" s="17">
        <f ca="1">IFERROR(__xludf.DUMMYFUNCTION("""COMPUTED_VALUE"""),45496)</f>
        <v>45496</v>
      </c>
      <c r="G525" s="16">
        <f ca="1">IFERROR(__xludf.DUMMYFUNCTION("""COMPUTED_VALUE"""),83148629)</f>
        <v>83148629</v>
      </c>
      <c r="H525" s="16" t="str">
        <f ca="1">IFERROR(__xludf.DUMMYFUNCTION("""COMPUTED_VALUE""")," 100% Girado ")</f>
        <v xml:space="preserve"> 100% Girado </v>
      </c>
      <c r="I525" s="16">
        <f ca="1">IFERROR(__xludf.DUMMYFUNCTION("""COMPUTED_VALUE"""),83148629)</f>
        <v>83148629</v>
      </c>
      <c r="J525" s="83" t="s">
        <v>48</v>
      </c>
      <c r="K525" s="16"/>
      <c r="L525" s="16"/>
      <c r="M525" s="16"/>
      <c r="N525" s="19"/>
      <c r="O525" s="19"/>
      <c r="P525" s="19"/>
      <c r="Q525" s="21">
        <f ca="1">IFERROR(__xludf.DUMMYFUNCTION("""COMPUTED_VALUE"""),83148629)</f>
        <v>83148629</v>
      </c>
      <c r="R525" s="19"/>
      <c r="S525" s="19"/>
      <c r="T525" s="19"/>
      <c r="U525" s="19"/>
      <c r="V525" s="19"/>
      <c r="W525" s="20">
        <f ca="1">IFERROR(__xludf.DUMMYFUNCTION("""COMPUTED_VALUE"""),83148629)</f>
        <v>83148629</v>
      </c>
      <c r="X525" s="20" t="str">
        <f ca="1">IFERROR(__xludf.DUMMYFUNCTION("""COMPUTED_VALUE""")," MUNICIPALIDAD DE FUTALEUFÚ ")</f>
        <v xml:space="preserve"> MUNICIPALIDAD DE FUTALEUFÚ </v>
      </c>
    </row>
    <row r="526" spans="1:24" ht="15.75" customHeight="1" x14ac:dyDescent="0.25">
      <c r="A526" s="16" t="str">
        <f ca="1">IFERROR(__xludf.DUMMYFUNCTION("""COMPUTED_VALUE""")," REGIÓN DE AYSÉN DEL GENERAL CARLOS IBÁÑEZ DEL CAMPO ")</f>
        <v xml:space="preserve"> REGIÓN DE AYSÉN DEL GENERAL CARLOS IBÁÑEZ DEL CAMPO </v>
      </c>
      <c r="B526" s="16" t="str">
        <f t="shared" ca="1" si="1"/>
        <v xml:space="preserve"> COYHAIQUE </v>
      </c>
      <c r="C526" s="16" t="str">
        <f ca="1">IFERROR(__xludf.DUMMYFUNCTION("""COMPUTED_VALUE""")," SPD REPOSICION DE PUNTOS DE CÁMARAS DE TELEVIGILANCIA Y FORTALECIMIENTO DE SALA DE MONITOREO Y VIGILANCIA DE TERMINAL DE BUSES, COYHAIQUE ")</f>
        <v xml:space="preserve"> SPD REPOSICION DE PUNTOS DE CÁMARAS DE TELEVIGILANCIA Y FORTALECIMIENTO DE SALA DE MONITOREO Y VIGILANCIA DE TERMINAL DE BUSES, COYHAIQUE </v>
      </c>
      <c r="D526" s="16" t="str">
        <f ca="1">IFERROR(__xludf.DUMMYFUNCTION("""COMPUTED_VALUE""")," 1-SPD-2022-387 ")</f>
        <v xml:space="preserve"> 1-SPD-2022-387 </v>
      </c>
      <c r="E526" s="16" t="str">
        <f ca="1">IFERROR(__xludf.DUMMYFUNCTION("""COMPUTED_VALUE""")," 100% Girado ")</f>
        <v xml:space="preserve"> 100% Girado </v>
      </c>
      <c r="F526" s="17">
        <f ca="1">IFERROR(__xludf.DUMMYFUNCTION("""COMPUTED_VALUE"""),45464)</f>
        <v>45464</v>
      </c>
      <c r="G526" s="16">
        <f ca="1">IFERROR(__xludf.DUMMYFUNCTION("""COMPUTED_VALUE"""),9621299)</f>
        <v>9621299</v>
      </c>
      <c r="H526" s="16" t="str">
        <f ca="1">IFERROR(__xludf.DUMMYFUNCTION("""COMPUTED_VALUE""")," 100% Girado ")</f>
        <v xml:space="preserve"> 100% Girado </v>
      </c>
      <c r="I526" s="16">
        <f ca="1">IFERROR(__xludf.DUMMYFUNCTION("""COMPUTED_VALUE"""),9621299)</f>
        <v>9621299</v>
      </c>
      <c r="J526" s="83" t="s">
        <v>48</v>
      </c>
      <c r="K526" s="16"/>
      <c r="L526" s="16"/>
      <c r="M526" s="16"/>
      <c r="N526" s="19"/>
      <c r="O526" s="19"/>
      <c r="P526" s="19"/>
      <c r="Q526" s="21">
        <f ca="1">IFERROR(__xludf.DUMMYFUNCTION("""COMPUTED_VALUE"""),9621299)</f>
        <v>9621299</v>
      </c>
      <c r="R526" s="19"/>
      <c r="S526" s="19"/>
      <c r="T526" s="19"/>
      <c r="U526" s="19"/>
      <c r="V526" s="19"/>
      <c r="W526" s="20">
        <f ca="1">IFERROR(__xludf.DUMMYFUNCTION("""COMPUTED_VALUE"""),9621299)</f>
        <v>9621299</v>
      </c>
      <c r="X526" s="20" t="str">
        <f ca="1">IFERROR(__xludf.DUMMYFUNCTION("""COMPUTED_VALUE""")," MUNICIPALIDAD DE COYHAIQUE ")</f>
        <v xml:space="preserve"> MUNICIPALIDAD DE COYHAIQUE </v>
      </c>
    </row>
    <row r="527" spans="1:24" ht="15.75" customHeight="1" x14ac:dyDescent="0.25">
      <c r="A527" s="16" t="str">
        <f ca="1">IFERROR(__xludf.DUMMYFUNCTION("""COMPUTED_VALUE""")," REGIÓN DE MAGALLANES Y ANTÁRTICA CHILENA ")</f>
        <v xml:space="preserve"> REGIÓN DE MAGALLANES Y ANTÁRTICA CHILENA </v>
      </c>
      <c r="B527" s="16" t="str">
        <f t="shared" ca="1" si="1"/>
        <v xml:space="preserve"> SAN GREGORIO </v>
      </c>
      <c r="C527" s="16" t="str">
        <f ca="1">IFERROR(__xludf.DUMMYFUNCTION("""COMPUTED_VALUE""")," [SATE] CONSTRUCCIÓN PORTADA VILLA PUNTA DELGADA, SAN GREGORIO. ")</f>
        <v xml:space="preserve"> [SATE] CONSTRUCCIÓN PORTADA VILLA PUNTA DELGADA, SAN GREGORIO. </v>
      </c>
      <c r="D527" s="16" t="str">
        <f ca="1">IFERROR(__xludf.DUMMYFUNCTION("""COMPUTED_VALUE""")," 1-C-2023-996 ")</f>
        <v xml:space="preserve"> 1-C-2023-996 </v>
      </c>
      <c r="E527" s="16" t="str">
        <f ca="1">IFERROR(__xludf.DUMMYFUNCTION("""COMPUTED_VALUE""")," 100% Girado ")</f>
        <v xml:space="preserve"> 100% Girado </v>
      </c>
      <c r="F527" s="17">
        <f ca="1">IFERROR(__xludf.DUMMYFUNCTION("""COMPUTED_VALUE"""),45496)</f>
        <v>45496</v>
      </c>
      <c r="G527" s="16">
        <f ca="1">IFERROR(__xludf.DUMMYFUNCTION("""COMPUTED_VALUE"""),154422495)</f>
        <v>154422495</v>
      </c>
      <c r="H527" s="16" t="str">
        <f ca="1">IFERROR(__xludf.DUMMYFUNCTION("""COMPUTED_VALUE""")," 100% Girado ")</f>
        <v xml:space="preserve"> 100% Girado </v>
      </c>
      <c r="I527" s="16">
        <f ca="1">IFERROR(__xludf.DUMMYFUNCTION("""COMPUTED_VALUE"""),154422495)</f>
        <v>154422495</v>
      </c>
      <c r="J527" s="83" t="s">
        <v>48</v>
      </c>
      <c r="K527" s="16"/>
      <c r="L527" s="16"/>
      <c r="M527" s="16"/>
      <c r="N527" s="19"/>
      <c r="O527" s="19"/>
      <c r="P527" s="19"/>
      <c r="Q527" s="21">
        <f ca="1">IFERROR(__xludf.DUMMYFUNCTION("""COMPUTED_VALUE"""),154422495)</f>
        <v>154422495</v>
      </c>
      <c r="R527" s="19"/>
      <c r="S527" s="19"/>
      <c r="T527" s="19"/>
      <c r="U527" s="19"/>
      <c r="V527" s="19"/>
      <c r="W527" s="20">
        <f ca="1">IFERROR(__xludf.DUMMYFUNCTION("""COMPUTED_VALUE"""),154422495)</f>
        <v>154422495</v>
      </c>
      <c r="X527" s="20" t="str">
        <f ca="1">IFERROR(__xludf.DUMMYFUNCTION("""COMPUTED_VALUE""")," MUNICIPALIDAD DE SAN GREGORIO ")</f>
        <v xml:space="preserve"> MUNICIPALIDAD DE SAN GREGORIO </v>
      </c>
    </row>
    <row r="528" spans="1:24" ht="15.75" customHeight="1" x14ac:dyDescent="0.25">
      <c r="A528" s="16" t="str">
        <f ca="1">IFERROR(__xludf.DUMMYFUNCTION("""COMPUTED_VALUE""")," REGIÓN METROPOLITANA ")</f>
        <v xml:space="preserve"> REGIÓN METROPOLITANA </v>
      </c>
      <c r="B528" s="16" t="str">
        <f t="shared" ca="1" si="1"/>
        <v xml:space="preserve"> MACUL </v>
      </c>
      <c r="C528" s="16" t="str">
        <f ca="1">IFERROR(__xludf.DUMMYFUNCTION("""COMPUTED_VALUE""")," MEJORAMIENTO PLAZA DE RAMON CRUZ, ESQUINA RODRIGO DE ARAYA ")</f>
        <v xml:space="preserve"> MEJORAMIENTO PLAZA DE RAMON CRUZ, ESQUINA RODRIGO DE ARAYA </v>
      </c>
      <c r="D528" s="16" t="str">
        <f ca="1">IFERROR(__xludf.DUMMYFUNCTION("""COMPUTED_VALUE""")," 1-C-2016-1414 ")</f>
        <v xml:space="preserve"> 1-C-2016-1414 </v>
      </c>
      <c r="E528" s="16" t="str">
        <f ca="1">IFERROR(__xludf.DUMMYFUNCTION("""COMPUTED_VALUE""")," En Ejecución ")</f>
        <v xml:space="preserve"> En Ejecución </v>
      </c>
      <c r="F528" s="17">
        <f ca="1">IFERROR(__xludf.DUMMYFUNCTION("""COMPUTED_VALUE"""),43913)</f>
        <v>43913</v>
      </c>
      <c r="G528" s="16">
        <f ca="1">IFERROR(__xludf.DUMMYFUNCTION("""COMPUTED_VALUE"""),74995810)</f>
        <v>74995810</v>
      </c>
      <c r="H528" s="16" t="str">
        <f ca="1">IFERROR(__xludf.DUMMYFUNCTION("""COMPUTED_VALUE""")," En Ejecución ")</f>
        <v xml:space="preserve"> En Ejecución </v>
      </c>
      <c r="I528" s="16">
        <f ca="1">IFERROR(__xludf.DUMMYFUNCTION("""COMPUTED_VALUE"""),13350043)</f>
        <v>13350043</v>
      </c>
      <c r="J528" s="83" t="s">
        <v>48</v>
      </c>
      <c r="K528" s="16"/>
      <c r="L528" s="16"/>
      <c r="M528" s="16"/>
      <c r="N528" s="19"/>
      <c r="O528" s="19"/>
      <c r="P528" s="19"/>
      <c r="Q528" s="21">
        <f ca="1">IFERROR(__xludf.DUMMYFUNCTION("""COMPUTED_VALUE"""),13350043)</f>
        <v>13350043</v>
      </c>
      <c r="R528" s="19"/>
      <c r="S528" s="19"/>
      <c r="T528" s="19"/>
      <c r="U528" s="19"/>
      <c r="V528" s="19"/>
      <c r="W528" s="20">
        <f ca="1">IFERROR(__xludf.DUMMYFUNCTION("""COMPUTED_VALUE"""),13350043)</f>
        <v>13350043</v>
      </c>
      <c r="X528" s="20" t="str">
        <f ca="1">IFERROR(__xludf.DUMMYFUNCTION("""COMPUTED_VALUE""")," MUNICIPALIDAD DE MACUL ")</f>
        <v xml:space="preserve"> MUNICIPALIDAD DE MACUL </v>
      </c>
    </row>
    <row r="529" spans="1:24" ht="15.75" customHeight="1" x14ac:dyDescent="0.25">
      <c r="A529" s="16" t="str">
        <f ca="1">IFERROR(__xludf.DUMMYFUNCTION("""COMPUTED_VALUE""")," REGIÓN METROPOLITANA ")</f>
        <v xml:space="preserve"> REGIÓN METROPOLITANA </v>
      </c>
      <c r="B529" s="16" t="str">
        <f t="shared" ca="1" si="1"/>
        <v xml:space="preserve"> MACUL </v>
      </c>
      <c r="C529" s="16" t="str">
        <f ca="1">IFERROR(__xludf.DUMMYFUNCTION("""COMPUTED_VALUE""")," CONSTRUCCION DE MULTICANCHA LICAN RAY, UV 19, MACUL ")</f>
        <v xml:space="preserve"> CONSTRUCCION DE MULTICANCHA LICAN RAY, UV 19, MACUL </v>
      </c>
      <c r="D529" s="16" t="str">
        <f ca="1">IFERROR(__xludf.DUMMYFUNCTION("""COMPUTED_VALUE""")," 1-C-2017-1679 ")</f>
        <v xml:space="preserve"> 1-C-2017-1679 </v>
      </c>
      <c r="E529" s="16" t="str">
        <f ca="1">IFERROR(__xludf.DUMMYFUNCTION("""COMPUTED_VALUE""")," En Ejecución ")</f>
        <v xml:space="preserve"> En Ejecución </v>
      </c>
      <c r="F529" s="17">
        <f ca="1">IFERROR(__xludf.DUMMYFUNCTION("""COMPUTED_VALUE"""),43913)</f>
        <v>43913</v>
      </c>
      <c r="G529" s="16">
        <f ca="1">IFERROR(__xludf.DUMMYFUNCTION("""COMPUTED_VALUE"""),74999859)</f>
        <v>74999859</v>
      </c>
      <c r="H529" s="16" t="str">
        <f ca="1">IFERROR(__xludf.DUMMYFUNCTION("""COMPUTED_VALUE""")," En Ejecución ")</f>
        <v xml:space="preserve"> En Ejecución </v>
      </c>
      <c r="I529" s="16">
        <f ca="1">IFERROR(__xludf.DUMMYFUNCTION("""COMPUTED_VALUE"""),14989679)</f>
        <v>14989679</v>
      </c>
      <c r="J529" s="83" t="s">
        <v>48</v>
      </c>
      <c r="K529" s="16"/>
      <c r="L529" s="16"/>
      <c r="M529" s="16"/>
      <c r="N529" s="19"/>
      <c r="O529" s="19"/>
      <c r="P529" s="19"/>
      <c r="Q529" s="21">
        <f ca="1">IFERROR(__xludf.DUMMYFUNCTION("""COMPUTED_VALUE"""),14989679)</f>
        <v>14989679</v>
      </c>
      <c r="R529" s="19"/>
      <c r="S529" s="19"/>
      <c r="T529" s="19"/>
      <c r="U529" s="19"/>
      <c r="V529" s="19"/>
      <c r="W529" s="20">
        <f ca="1">IFERROR(__xludf.DUMMYFUNCTION("""COMPUTED_VALUE"""),14989679)</f>
        <v>14989679</v>
      </c>
      <c r="X529" s="20" t="str">
        <f ca="1">IFERROR(__xludf.DUMMYFUNCTION("""COMPUTED_VALUE""")," MUNICIPALIDAD DE MACUL ")</f>
        <v xml:space="preserve"> MUNICIPALIDAD DE MACUL </v>
      </c>
    </row>
    <row r="530" spans="1:24" ht="15.75" customHeight="1" x14ac:dyDescent="0.25">
      <c r="A530" s="16" t="str">
        <f ca="1">IFERROR(__xludf.DUMMYFUNCTION("""COMPUTED_VALUE""")," REGIÓN METROPOLITANA ")</f>
        <v xml:space="preserve"> REGIÓN METROPOLITANA </v>
      </c>
      <c r="B530" s="16" t="str">
        <f t="shared" ca="1" si="1"/>
        <v xml:space="preserve"> CERRILLOS </v>
      </c>
      <c r="C530" s="16" t="str">
        <f ca="1">IFERROR(__xludf.DUMMYFUNCTION("""COMPUTED_VALUE""")," MEJORAMIENTO DE PLAZA CIUDAD DE MÉXICO, COMUNA DE CERRILLOS ")</f>
        <v xml:space="preserve"> MEJORAMIENTO DE PLAZA CIUDAD DE MÉXICO, COMUNA DE CERRILLOS </v>
      </c>
      <c r="D530" s="16" t="str">
        <f ca="1">IFERROR(__xludf.DUMMYFUNCTION("""COMPUTED_VALUE""")," 1-C-2020-139 ")</f>
        <v xml:space="preserve"> 1-C-2020-139 </v>
      </c>
      <c r="E530" s="16" t="str">
        <f ca="1">IFERROR(__xludf.DUMMYFUNCTION("""COMPUTED_VALUE""")," En Ejecución ")</f>
        <v xml:space="preserve"> En Ejecución </v>
      </c>
      <c r="F530" s="17">
        <f ca="1">IFERROR(__xludf.DUMMYFUNCTION("""COMPUTED_VALUE"""),44389)</f>
        <v>44389</v>
      </c>
      <c r="G530" s="16">
        <f ca="1">IFERROR(__xludf.DUMMYFUNCTION("""COMPUTED_VALUE"""),63292380)</f>
        <v>63292380</v>
      </c>
      <c r="H530" s="16" t="str">
        <f ca="1">IFERROR(__xludf.DUMMYFUNCTION("""COMPUTED_VALUE""")," En Ejecución ")</f>
        <v xml:space="preserve"> En Ejecución </v>
      </c>
      <c r="I530" s="16">
        <f ca="1">IFERROR(__xludf.DUMMYFUNCTION("""COMPUTED_VALUE"""),1051926)</f>
        <v>1051926</v>
      </c>
      <c r="J530" s="83" t="s">
        <v>48</v>
      </c>
      <c r="K530" s="16"/>
      <c r="L530" s="16"/>
      <c r="M530" s="16"/>
      <c r="N530" s="19"/>
      <c r="O530" s="19"/>
      <c r="P530" s="19"/>
      <c r="Q530" s="21">
        <f ca="1">IFERROR(__xludf.DUMMYFUNCTION("""COMPUTED_VALUE"""),1051926)</f>
        <v>1051926</v>
      </c>
      <c r="R530" s="19"/>
      <c r="S530" s="19"/>
      <c r="T530" s="19"/>
      <c r="U530" s="19"/>
      <c r="V530" s="19"/>
      <c r="W530" s="20">
        <f ca="1">IFERROR(__xludf.DUMMYFUNCTION("""COMPUTED_VALUE"""),1051926)</f>
        <v>1051926</v>
      </c>
      <c r="X530" s="20" t="str">
        <f ca="1">IFERROR(__xludf.DUMMYFUNCTION("""COMPUTED_VALUE""")," MUNICIPALIDAD DE CERRILLOS ")</f>
        <v xml:space="preserve"> MUNICIPALIDAD DE CERRILLOS </v>
      </c>
    </row>
    <row r="531" spans="1:24" ht="15.75" customHeight="1" x14ac:dyDescent="0.25">
      <c r="A531" s="16" t="str">
        <f ca="1">IFERROR(__xludf.DUMMYFUNCTION("""COMPUTED_VALUE""")," REGIÓN METROPOLITANA ")</f>
        <v xml:space="preserve"> REGIÓN METROPOLITANA </v>
      </c>
      <c r="B531" s="16" t="str">
        <f t="shared" ca="1" si="1"/>
        <v xml:space="preserve"> PEÑALOLÉN </v>
      </c>
      <c r="C531" s="16" t="str">
        <f ca="1">IFERROR(__xludf.DUMMYFUNCTION("""COMPUTED_VALUE""")," REPOSICIÓN DE VEREDAS CALLE LOS MATRICEROS Y CALLE JORGE PRIETO LETELIER ")</f>
        <v xml:space="preserve"> REPOSICIÓN DE VEREDAS CALLE LOS MATRICEROS Y CALLE JORGE PRIETO LETELIER </v>
      </c>
      <c r="D531" s="16" t="str">
        <f ca="1">IFERROR(__xludf.DUMMYFUNCTION("""COMPUTED_VALUE""")," 1-C-2023-921 ")</f>
        <v xml:space="preserve"> 1-C-2023-921 </v>
      </c>
      <c r="E531" s="16" t="str">
        <f ca="1">IFERROR(__xludf.DUMMYFUNCTION("""COMPUTED_VALUE""")," 100% Girado ")</f>
        <v xml:space="preserve"> 100% Girado </v>
      </c>
      <c r="F531" s="17">
        <f ca="1">IFERROR(__xludf.DUMMYFUNCTION("""COMPUTED_VALUE"""),45478)</f>
        <v>45478</v>
      </c>
      <c r="G531" s="16">
        <f ca="1">IFERROR(__xludf.DUMMYFUNCTION("""COMPUTED_VALUE"""),151967474)</f>
        <v>151967474</v>
      </c>
      <c r="H531" s="16" t="str">
        <f ca="1">IFERROR(__xludf.DUMMYFUNCTION("""COMPUTED_VALUE""")," 100% Girado ")</f>
        <v xml:space="preserve"> 100% Girado </v>
      </c>
      <c r="I531" s="16">
        <f ca="1">IFERROR(__xludf.DUMMYFUNCTION("""COMPUTED_VALUE"""),151967474)</f>
        <v>151967474</v>
      </c>
      <c r="J531" s="83" t="s">
        <v>48</v>
      </c>
      <c r="K531" s="16"/>
      <c r="L531" s="16"/>
      <c r="M531" s="16"/>
      <c r="N531" s="19"/>
      <c r="O531" s="19"/>
      <c r="P531" s="19"/>
      <c r="Q531" s="21">
        <f ca="1">IFERROR(__xludf.DUMMYFUNCTION("""COMPUTED_VALUE"""),151967474)</f>
        <v>151967474</v>
      </c>
      <c r="R531" s="19"/>
      <c r="S531" s="19"/>
      <c r="T531" s="19"/>
      <c r="U531" s="19"/>
      <c r="V531" s="19"/>
      <c r="W531" s="20">
        <f ca="1">IFERROR(__xludf.DUMMYFUNCTION("""COMPUTED_VALUE"""),151967474)</f>
        <v>151967474</v>
      </c>
      <c r="X531" s="20" t="str">
        <f ca="1">IFERROR(__xludf.DUMMYFUNCTION("""COMPUTED_VALUE""")," MUNICIPALIDAD DE PEÑALOLÉN ")</f>
        <v xml:space="preserve"> MUNICIPALIDAD DE PEÑALOLÉN </v>
      </c>
    </row>
    <row r="532" spans="1:24" ht="15.75" customHeight="1" x14ac:dyDescent="0.25">
      <c r="A532" s="16" t="str">
        <f ca="1">IFERROR(__xludf.DUMMYFUNCTION("""COMPUTED_VALUE""")," REGIÓN METROPOLITANA ")</f>
        <v xml:space="preserve"> REGIÓN METROPOLITANA </v>
      </c>
      <c r="B532" s="16" t="str">
        <f t="shared" ref="B532:B784" ca="1" si="2">MID(X532,18,30)</f>
        <v xml:space="preserve"> ÑUÑOA </v>
      </c>
      <c r="C532" s="16" t="str">
        <f ca="1">IFERROR(__xludf.DUMMYFUNCTION("""COMPUTED_VALUE""")," MEJORAMIENTO DE LUMINARIAS PARQUE BUSTAMANTE ENTRE AV. MATTA Y MALAQUÍAS CONCHA, COMUNA DE ÑUÑOA ")</f>
        <v xml:space="preserve"> MEJORAMIENTO DE LUMINARIAS PARQUE BUSTAMANTE ENTRE AV. MATTA Y MALAQUÍAS CONCHA, COMUNA DE ÑUÑOA </v>
      </c>
      <c r="D532" s="16" t="str">
        <f ca="1">IFERROR(__xludf.DUMMYFUNCTION("""COMPUTED_VALUE""")," 1-C-2023-1559 ")</f>
        <v xml:space="preserve"> 1-C-2023-1559 </v>
      </c>
      <c r="E532" s="16" t="str">
        <f ca="1">IFERROR(__xludf.DUMMYFUNCTION("""COMPUTED_VALUE""")," 100% Girado ")</f>
        <v xml:space="preserve"> 100% Girado </v>
      </c>
      <c r="F532" s="17">
        <f ca="1">IFERROR(__xludf.DUMMYFUNCTION("""COMPUTED_VALUE"""),45491)</f>
        <v>45491</v>
      </c>
      <c r="G532" s="16">
        <f ca="1">IFERROR(__xludf.DUMMYFUNCTION("""COMPUTED_VALUE"""),150007492)</f>
        <v>150007492</v>
      </c>
      <c r="H532" s="16" t="str">
        <f ca="1">IFERROR(__xludf.DUMMYFUNCTION("""COMPUTED_VALUE""")," 100% Girado ")</f>
        <v xml:space="preserve"> 100% Girado </v>
      </c>
      <c r="I532" s="16">
        <f ca="1">IFERROR(__xludf.DUMMYFUNCTION("""COMPUTED_VALUE"""),150007492)</f>
        <v>150007492</v>
      </c>
      <c r="J532" s="83" t="s">
        <v>48</v>
      </c>
      <c r="K532" s="16"/>
      <c r="L532" s="16"/>
      <c r="M532" s="16"/>
      <c r="N532" s="19"/>
      <c r="O532" s="19"/>
      <c r="P532" s="19"/>
      <c r="Q532" s="21">
        <f ca="1">IFERROR(__xludf.DUMMYFUNCTION("""COMPUTED_VALUE"""),150007492)</f>
        <v>150007492</v>
      </c>
      <c r="R532" s="19"/>
      <c r="S532" s="19"/>
      <c r="T532" s="19"/>
      <c r="U532" s="19"/>
      <c r="V532" s="19"/>
      <c r="W532" s="20">
        <f ca="1">IFERROR(__xludf.DUMMYFUNCTION("""COMPUTED_VALUE"""),150007492)</f>
        <v>150007492</v>
      </c>
      <c r="X532" s="20" t="str">
        <f ca="1">IFERROR(__xludf.DUMMYFUNCTION("""COMPUTED_VALUE""")," MUNICIPALIDAD DE ÑUÑOA ")</f>
        <v xml:space="preserve"> MUNICIPALIDAD DE ÑUÑOA </v>
      </c>
    </row>
    <row r="533" spans="1:24" ht="15.75" customHeight="1" x14ac:dyDescent="0.25">
      <c r="A533" s="16" t="str">
        <f ca="1">IFERROR(__xludf.DUMMYFUNCTION("""COMPUTED_VALUE""")," REGIÓN METROPOLITANA ")</f>
        <v xml:space="preserve"> REGIÓN METROPOLITANA </v>
      </c>
      <c r="B533" s="16" t="str">
        <f t="shared" ca="1" si="2"/>
        <v xml:space="preserve"> PEÑALOLÉN </v>
      </c>
      <c r="C533" s="16" t="str">
        <f ca="1">IFERROR(__xludf.DUMMYFUNCTION("""COMPUTED_VALUE""")," REPOSICIÓN DE VEREDAS CALLE LAS CEPAS ")</f>
        <v xml:space="preserve"> REPOSICIÓN DE VEREDAS CALLE LAS CEPAS </v>
      </c>
      <c r="D533" s="16" t="str">
        <f ca="1">IFERROR(__xludf.DUMMYFUNCTION("""COMPUTED_VALUE""")," 1-C-2023-1786 ")</f>
        <v xml:space="preserve"> 1-C-2023-1786 </v>
      </c>
      <c r="E533" s="16" t="str">
        <f ca="1">IFERROR(__xludf.DUMMYFUNCTION("""COMPUTED_VALUE""")," 100% Girado ")</f>
        <v xml:space="preserve"> 100% Girado </v>
      </c>
      <c r="F533" s="17">
        <f ca="1">IFERROR(__xludf.DUMMYFUNCTION("""COMPUTED_VALUE"""),45478)</f>
        <v>45478</v>
      </c>
      <c r="G533" s="16">
        <f ca="1">IFERROR(__xludf.DUMMYFUNCTION("""COMPUTED_VALUE"""),130604717)</f>
        <v>130604717</v>
      </c>
      <c r="H533" s="16" t="str">
        <f ca="1">IFERROR(__xludf.DUMMYFUNCTION("""COMPUTED_VALUE""")," 100% Girado ")</f>
        <v xml:space="preserve"> 100% Girado </v>
      </c>
      <c r="I533" s="16">
        <f ca="1">IFERROR(__xludf.DUMMYFUNCTION("""COMPUTED_VALUE"""),130604717)</f>
        <v>130604717</v>
      </c>
      <c r="J533" s="83" t="s">
        <v>48</v>
      </c>
      <c r="K533" s="16"/>
      <c r="L533" s="16"/>
      <c r="M533" s="16"/>
      <c r="N533" s="19"/>
      <c r="O533" s="19"/>
      <c r="P533" s="19"/>
      <c r="Q533" s="21">
        <f ca="1">IFERROR(__xludf.DUMMYFUNCTION("""COMPUTED_VALUE"""),130604717)</f>
        <v>130604717</v>
      </c>
      <c r="R533" s="19"/>
      <c r="S533" s="19"/>
      <c r="T533" s="19"/>
      <c r="U533" s="19"/>
      <c r="V533" s="19"/>
      <c r="W533" s="20">
        <f ca="1">IFERROR(__xludf.DUMMYFUNCTION("""COMPUTED_VALUE"""),130604717)</f>
        <v>130604717</v>
      </c>
      <c r="X533" s="20" t="str">
        <f ca="1">IFERROR(__xludf.DUMMYFUNCTION("""COMPUTED_VALUE""")," MUNICIPALIDAD DE PEÑALOLÉN ")</f>
        <v xml:space="preserve"> MUNICIPALIDAD DE PEÑALOLÉN </v>
      </c>
    </row>
    <row r="534" spans="1:24" ht="15.75" customHeight="1" x14ac:dyDescent="0.25">
      <c r="A534" s="16" t="str">
        <f ca="1">IFERROR(__xludf.DUMMYFUNCTION("""COMPUTED_VALUE""")," REGIÓN METROPOLITANA ")</f>
        <v xml:space="preserve"> REGIÓN METROPOLITANA </v>
      </c>
      <c r="B534" s="16" t="str">
        <f t="shared" ca="1" si="2"/>
        <v xml:space="preserve"> TILTIL </v>
      </c>
      <c r="C534" s="16" t="str">
        <f ca="1">IFERROR(__xludf.DUMMYFUNCTION("""COMPUTED_VALUE""")," MEJORAMIENTO DE ESPACIOS, RUNGUE, COMUNA DE TILTIL ")</f>
        <v xml:space="preserve"> MEJORAMIENTO DE ESPACIOS, RUNGUE, COMUNA DE TILTIL </v>
      </c>
      <c r="D534" s="16" t="str">
        <f ca="1">IFERROR(__xludf.DUMMYFUNCTION("""COMPUTED_VALUE""")," 1-C-2023-2037 ")</f>
        <v xml:space="preserve"> 1-C-2023-2037 </v>
      </c>
      <c r="E534" s="16" t="str">
        <f ca="1">IFERROR(__xludf.DUMMYFUNCTION("""COMPUTED_VALUE""")," 100% Girado ")</f>
        <v xml:space="preserve"> 100% Girado </v>
      </c>
      <c r="F534" s="17">
        <f ca="1">IFERROR(__xludf.DUMMYFUNCTION("""COMPUTED_VALUE"""),45497)</f>
        <v>45497</v>
      </c>
      <c r="G534" s="16">
        <f ca="1">IFERROR(__xludf.DUMMYFUNCTION("""COMPUTED_VALUE"""),86540302)</f>
        <v>86540302</v>
      </c>
      <c r="H534" s="16" t="str">
        <f ca="1">IFERROR(__xludf.DUMMYFUNCTION("""COMPUTED_VALUE""")," 100% Girado ")</f>
        <v xml:space="preserve"> 100% Girado </v>
      </c>
      <c r="I534" s="16">
        <f ca="1">IFERROR(__xludf.DUMMYFUNCTION("""COMPUTED_VALUE"""),86540302)</f>
        <v>86540302</v>
      </c>
      <c r="J534" s="83" t="s">
        <v>48</v>
      </c>
      <c r="K534" s="16"/>
      <c r="L534" s="16"/>
      <c r="M534" s="16"/>
      <c r="N534" s="19"/>
      <c r="O534" s="19"/>
      <c r="P534" s="19"/>
      <c r="Q534" s="21">
        <f ca="1">IFERROR(__xludf.DUMMYFUNCTION("""COMPUTED_VALUE"""),86540302)</f>
        <v>86540302</v>
      </c>
      <c r="R534" s="19"/>
      <c r="S534" s="19"/>
      <c r="T534" s="19"/>
      <c r="U534" s="19"/>
      <c r="V534" s="19"/>
      <c r="W534" s="20">
        <f ca="1">IFERROR(__xludf.DUMMYFUNCTION("""COMPUTED_VALUE"""),86540302)</f>
        <v>86540302</v>
      </c>
      <c r="X534" s="20" t="str">
        <f ca="1">IFERROR(__xludf.DUMMYFUNCTION("""COMPUTED_VALUE""")," MUNICIPALIDAD DE TILTIL ")</f>
        <v xml:space="preserve"> MUNICIPALIDAD DE TILTIL </v>
      </c>
    </row>
    <row r="535" spans="1:24" ht="15.75" customHeight="1" x14ac:dyDescent="0.25">
      <c r="A535" s="16" t="str">
        <f ca="1">IFERROR(__xludf.DUMMYFUNCTION("""COMPUTED_VALUE""")," REGIÓN METROPOLITANA ")</f>
        <v xml:space="preserve"> REGIÓN METROPOLITANA </v>
      </c>
      <c r="B535" s="16" t="str">
        <f t="shared" ca="1" si="2"/>
        <v xml:space="preserve"> LO ESPEJO </v>
      </c>
      <c r="C535" s="16" t="str">
        <f ca="1">IFERROR(__xludf.DUMMYFUNCTION("""COMPUTED_VALUE""")," MEJORAMIENTO ESPACIOS PÚBLICOS UV 35 ")</f>
        <v xml:space="preserve"> MEJORAMIENTO ESPACIOS PÚBLICOS UV 35 </v>
      </c>
      <c r="D535" s="16" t="str">
        <f ca="1">IFERROR(__xludf.DUMMYFUNCTION("""COMPUTED_VALUE""")," 1-C-2023-2190 ")</f>
        <v xml:space="preserve"> 1-C-2023-2190 </v>
      </c>
      <c r="E535" s="16" t="str">
        <f ca="1">IFERROR(__xludf.DUMMYFUNCTION("""COMPUTED_VALUE""")," 100% Girado ")</f>
        <v xml:space="preserve"> 100% Girado </v>
      </c>
      <c r="F535" s="17">
        <f ca="1">IFERROR(__xludf.DUMMYFUNCTION("""COMPUTED_VALUE"""),45478)</f>
        <v>45478</v>
      </c>
      <c r="G535" s="16">
        <f ca="1">IFERROR(__xludf.DUMMYFUNCTION("""COMPUTED_VALUE"""),154248718)</f>
        <v>154248718</v>
      </c>
      <c r="H535" s="16" t="str">
        <f ca="1">IFERROR(__xludf.DUMMYFUNCTION("""COMPUTED_VALUE""")," 100% Girado ")</f>
        <v xml:space="preserve"> 100% Girado </v>
      </c>
      <c r="I535" s="16">
        <f ca="1">IFERROR(__xludf.DUMMYFUNCTION("""COMPUTED_VALUE"""),154248718)</f>
        <v>154248718</v>
      </c>
      <c r="J535" s="83" t="s">
        <v>48</v>
      </c>
      <c r="K535" s="16"/>
      <c r="L535" s="16"/>
      <c r="M535" s="16"/>
      <c r="N535" s="19"/>
      <c r="O535" s="19"/>
      <c r="P535" s="19"/>
      <c r="Q535" s="21">
        <f ca="1">IFERROR(__xludf.DUMMYFUNCTION("""COMPUTED_VALUE"""),154248718)</f>
        <v>154248718</v>
      </c>
      <c r="R535" s="19"/>
      <c r="S535" s="19"/>
      <c r="T535" s="19"/>
      <c r="U535" s="19"/>
      <c r="V535" s="19"/>
      <c r="W535" s="20">
        <f ca="1">IFERROR(__xludf.DUMMYFUNCTION("""COMPUTED_VALUE"""),154248718)</f>
        <v>154248718</v>
      </c>
      <c r="X535" s="20" t="str">
        <f ca="1">IFERROR(__xludf.DUMMYFUNCTION("""COMPUTED_VALUE""")," MUNICIPALIDAD DE LO ESPEJO ")</f>
        <v xml:space="preserve"> MUNICIPALIDAD DE LO ESPEJO </v>
      </c>
    </row>
    <row r="536" spans="1:24" ht="15.75" customHeight="1" x14ac:dyDescent="0.25">
      <c r="A536" s="16" t="str">
        <f ca="1">IFERROR(__xludf.DUMMYFUNCTION("""COMPUTED_VALUE""")," REGIÓN METROPOLITANA ")</f>
        <v xml:space="preserve"> REGIÓN METROPOLITANA </v>
      </c>
      <c r="B536" s="16" t="str">
        <f t="shared" ca="1" si="2"/>
        <v xml:space="preserve"> PEÑALOLÉN </v>
      </c>
      <c r="C536" s="16" t="str">
        <f ca="1">IFERROR(__xludf.DUMMYFUNCTION("""COMPUTED_VALUE""")," REPOSICIÓN DE CALZADA PASAJE LOS COPIHUES ")</f>
        <v xml:space="preserve"> REPOSICIÓN DE CALZADA PASAJE LOS COPIHUES </v>
      </c>
      <c r="D536" s="16" t="str">
        <f ca="1">IFERROR(__xludf.DUMMYFUNCTION("""COMPUTED_VALUE""")," 1-C-2023-2298 ")</f>
        <v xml:space="preserve"> 1-C-2023-2298 </v>
      </c>
      <c r="E536" s="16" t="str">
        <f ca="1">IFERROR(__xludf.DUMMYFUNCTION("""COMPUTED_VALUE""")," 100% Girado ")</f>
        <v xml:space="preserve"> 100% Girado </v>
      </c>
      <c r="F536" s="17">
        <f ca="1">IFERROR(__xludf.DUMMYFUNCTION("""COMPUTED_VALUE"""),45478)</f>
        <v>45478</v>
      </c>
      <c r="G536" s="16">
        <f ca="1">IFERROR(__xludf.DUMMYFUNCTION("""COMPUTED_VALUE"""),130560921)</f>
        <v>130560921</v>
      </c>
      <c r="H536" s="16" t="str">
        <f ca="1">IFERROR(__xludf.DUMMYFUNCTION("""COMPUTED_VALUE""")," 100% Girado ")</f>
        <v xml:space="preserve"> 100% Girado </v>
      </c>
      <c r="I536" s="16">
        <f ca="1">IFERROR(__xludf.DUMMYFUNCTION("""COMPUTED_VALUE"""),130560921)</f>
        <v>130560921</v>
      </c>
      <c r="J536" s="83" t="s">
        <v>48</v>
      </c>
      <c r="K536" s="16"/>
      <c r="L536" s="16"/>
      <c r="M536" s="16"/>
      <c r="N536" s="19"/>
      <c r="O536" s="19"/>
      <c r="P536" s="19"/>
      <c r="Q536" s="21">
        <f ca="1">IFERROR(__xludf.DUMMYFUNCTION("""COMPUTED_VALUE"""),130560921)</f>
        <v>130560921</v>
      </c>
      <c r="R536" s="19"/>
      <c r="S536" s="19"/>
      <c r="T536" s="19"/>
      <c r="U536" s="19"/>
      <c r="V536" s="19"/>
      <c r="W536" s="20">
        <f ca="1">IFERROR(__xludf.DUMMYFUNCTION("""COMPUTED_VALUE"""),130560921)</f>
        <v>130560921</v>
      </c>
      <c r="X536" s="20" t="str">
        <f ca="1">IFERROR(__xludf.DUMMYFUNCTION("""COMPUTED_VALUE""")," MUNICIPALIDAD DE PEÑALOLÉN ")</f>
        <v xml:space="preserve"> MUNICIPALIDAD DE PEÑALOLÉN </v>
      </c>
    </row>
    <row r="537" spans="1:24" ht="15.75" customHeight="1" x14ac:dyDescent="0.25">
      <c r="A537" s="16" t="str">
        <f ca="1">IFERROR(__xludf.DUMMYFUNCTION("""COMPUTED_VALUE""")," REGIÓN METROPOLITANA ")</f>
        <v xml:space="preserve"> REGIÓN METROPOLITANA </v>
      </c>
      <c r="B537" s="16" t="str">
        <f t="shared" ca="1" si="2"/>
        <v xml:space="preserve"> ÑUÑOA </v>
      </c>
      <c r="C537" s="16" t="str">
        <f ca="1">IFERROR(__xludf.DUMMYFUNCTION("""COMPUTED_VALUE""")," MEJORAMIENTO DE PLAZA ENRIQUE BUNSTER, ÑUÑOA ")</f>
        <v xml:space="preserve"> MEJORAMIENTO DE PLAZA ENRIQUE BUNSTER, ÑUÑOA </v>
      </c>
      <c r="D537" s="16" t="str">
        <f ca="1">IFERROR(__xludf.DUMMYFUNCTION("""COMPUTED_VALUE""")," 1-C-2023-2805 ")</f>
        <v xml:space="preserve"> 1-C-2023-2805 </v>
      </c>
      <c r="E537" s="16" t="str">
        <f ca="1">IFERROR(__xludf.DUMMYFUNCTION("""COMPUTED_VALUE""")," 100% Girado ")</f>
        <v xml:space="preserve"> 100% Girado </v>
      </c>
      <c r="F537" s="17">
        <f ca="1">IFERROR(__xludf.DUMMYFUNCTION("""COMPUTED_VALUE"""),45484)</f>
        <v>45484</v>
      </c>
      <c r="G537" s="16">
        <f ca="1">IFERROR(__xludf.DUMMYFUNCTION("""COMPUTED_VALUE"""),129656622)</f>
        <v>129656622</v>
      </c>
      <c r="H537" s="16" t="str">
        <f ca="1">IFERROR(__xludf.DUMMYFUNCTION("""COMPUTED_VALUE""")," 100% Girado ")</f>
        <v xml:space="preserve"> 100% Girado </v>
      </c>
      <c r="I537" s="16">
        <f ca="1">IFERROR(__xludf.DUMMYFUNCTION("""COMPUTED_VALUE"""),129656622)</f>
        <v>129656622</v>
      </c>
      <c r="J537" s="83" t="s">
        <v>48</v>
      </c>
      <c r="K537" s="16"/>
      <c r="L537" s="16"/>
      <c r="M537" s="16"/>
      <c r="N537" s="19"/>
      <c r="O537" s="19"/>
      <c r="P537" s="19"/>
      <c r="Q537" s="21">
        <f ca="1">IFERROR(__xludf.DUMMYFUNCTION("""COMPUTED_VALUE"""),129656622)</f>
        <v>129656622</v>
      </c>
      <c r="R537" s="19"/>
      <c r="S537" s="19"/>
      <c r="T537" s="19"/>
      <c r="U537" s="19"/>
      <c r="V537" s="19"/>
      <c r="W537" s="20">
        <f ca="1">IFERROR(__xludf.DUMMYFUNCTION("""COMPUTED_VALUE"""),129656622)</f>
        <v>129656622</v>
      </c>
      <c r="X537" s="20" t="str">
        <f ca="1">IFERROR(__xludf.DUMMYFUNCTION("""COMPUTED_VALUE""")," MUNICIPALIDAD DE ÑUÑOA ")</f>
        <v xml:space="preserve"> MUNICIPALIDAD DE ÑUÑOA </v>
      </c>
    </row>
    <row r="538" spans="1:24" ht="15.75" customHeight="1" x14ac:dyDescent="0.25">
      <c r="A538" s="16" t="str">
        <f ca="1">IFERROR(__xludf.DUMMYFUNCTION("""COMPUTED_VALUE""")," REGIÓN METROPOLITANA ")</f>
        <v xml:space="preserve"> REGIÓN METROPOLITANA </v>
      </c>
      <c r="B538" s="16" t="str">
        <f t="shared" ca="1" si="2"/>
        <v xml:space="preserve"> QUINTA NORMAL </v>
      </c>
      <c r="C538" s="16" t="str">
        <f ca="1">IFERROR(__xludf.DUMMYFUNCTION("""COMPUTED_VALUE""")," CONSTRUCCIÓN VETERINARIA MUNICIPAL DE ATENCIÓN PRIMARIA, COMUNA DE QUINTA NORMAL ")</f>
        <v xml:space="preserve"> CONSTRUCCIÓN VETERINARIA MUNICIPAL DE ATENCIÓN PRIMARIA, COMUNA DE QUINTA NORMAL </v>
      </c>
      <c r="D538" s="16" t="str">
        <f ca="1">IFERROR(__xludf.DUMMYFUNCTION("""COMPUTED_VALUE""")," 1-C-2023-3358 ")</f>
        <v xml:space="preserve"> 1-C-2023-3358 </v>
      </c>
      <c r="E538" s="16" t="str">
        <f ca="1">IFERROR(__xludf.DUMMYFUNCTION("""COMPUTED_VALUE""")," 100% Girado ")</f>
        <v xml:space="preserve"> 100% Girado </v>
      </c>
      <c r="F538" s="17">
        <f ca="1">IFERROR(__xludf.DUMMYFUNCTION("""COMPUTED_VALUE"""),45484)</f>
        <v>45484</v>
      </c>
      <c r="G538" s="16">
        <f ca="1">IFERROR(__xludf.DUMMYFUNCTION("""COMPUTED_VALUE"""),151516360)</f>
        <v>151516360</v>
      </c>
      <c r="H538" s="16" t="str">
        <f ca="1">IFERROR(__xludf.DUMMYFUNCTION("""COMPUTED_VALUE""")," 100% Girado ")</f>
        <v xml:space="preserve"> 100% Girado </v>
      </c>
      <c r="I538" s="16">
        <f ca="1">IFERROR(__xludf.DUMMYFUNCTION("""COMPUTED_VALUE"""),151516360)</f>
        <v>151516360</v>
      </c>
      <c r="J538" s="83" t="s">
        <v>48</v>
      </c>
      <c r="K538" s="16"/>
      <c r="L538" s="16"/>
      <c r="M538" s="16"/>
      <c r="N538" s="19"/>
      <c r="O538" s="19"/>
      <c r="P538" s="19"/>
      <c r="Q538" s="21">
        <f ca="1">IFERROR(__xludf.DUMMYFUNCTION("""COMPUTED_VALUE"""),151516360)</f>
        <v>151516360</v>
      </c>
      <c r="R538" s="19"/>
      <c r="S538" s="19"/>
      <c r="T538" s="19"/>
      <c r="U538" s="19"/>
      <c r="V538" s="19"/>
      <c r="W538" s="20">
        <f ca="1">IFERROR(__xludf.DUMMYFUNCTION("""COMPUTED_VALUE"""),151516360)</f>
        <v>151516360</v>
      </c>
      <c r="X538" s="20" t="str">
        <f ca="1">IFERROR(__xludf.DUMMYFUNCTION("""COMPUTED_VALUE""")," MUNICIPALIDAD DE QUINTA NORMAL ")</f>
        <v xml:space="preserve"> MUNICIPALIDAD DE QUINTA NORMAL </v>
      </c>
    </row>
    <row r="539" spans="1:24" ht="15.75" customHeight="1" x14ac:dyDescent="0.25">
      <c r="A539" s="16" t="str">
        <f ca="1">IFERROR(__xludf.DUMMYFUNCTION("""COMPUTED_VALUE""")," REGIÓN METROPOLITANA ")</f>
        <v xml:space="preserve"> REGIÓN METROPOLITANA </v>
      </c>
      <c r="B539" s="16" t="str">
        <f t="shared" ca="1" si="2"/>
        <v xml:space="preserve"> QUILICURA </v>
      </c>
      <c r="C539" s="16" t="str">
        <f ca="1">IFERROR(__xludf.DUMMYFUNCTION("""COMPUTED_VALUE""")," REPOSICIÓN MULTICANCHA VILLA JUAN FRANCISCO GONZALEZ, COMUNA DE QUILICURA. ")</f>
        <v xml:space="preserve"> REPOSICIÓN MULTICANCHA VILLA JUAN FRANCISCO GONZALEZ, COMUNA DE QUILICURA. </v>
      </c>
      <c r="D539" s="16" t="str">
        <f ca="1">IFERROR(__xludf.DUMMYFUNCTION("""COMPUTED_VALUE""")," 1-B-2024-94 ")</f>
        <v xml:space="preserve"> 1-B-2024-94 </v>
      </c>
      <c r="E539" s="16" t="str">
        <f ca="1">IFERROR(__xludf.DUMMYFUNCTION("""COMPUTED_VALUE""")," 100% Girado ")</f>
        <v xml:space="preserve"> 100% Girado </v>
      </c>
      <c r="F539" s="17">
        <f ca="1">IFERROR(__xludf.DUMMYFUNCTION("""COMPUTED_VALUE"""),45478)</f>
        <v>45478</v>
      </c>
      <c r="G539" s="16">
        <f ca="1">IFERROR(__xludf.DUMMYFUNCTION("""COMPUTED_VALUE"""),161664999)</f>
        <v>161664999</v>
      </c>
      <c r="H539" s="16" t="str">
        <f ca="1">IFERROR(__xludf.DUMMYFUNCTION("""COMPUTED_VALUE""")," 100% Girado ")</f>
        <v xml:space="preserve"> 100% Girado </v>
      </c>
      <c r="I539" s="16">
        <f ca="1">IFERROR(__xludf.DUMMYFUNCTION("""COMPUTED_VALUE"""),161664999)</f>
        <v>161664999</v>
      </c>
      <c r="J539" s="83" t="s">
        <v>48</v>
      </c>
      <c r="K539" s="16"/>
      <c r="L539" s="16"/>
      <c r="M539" s="16"/>
      <c r="N539" s="19"/>
      <c r="O539" s="19"/>
      <c r="P539" s="19"/>
      <c r="Q539" s="21">
        <f ca="1">IFERROR(__xludf.DUMMYFUNCTION("""COMPUTED_VALUE"""),161664999)</f>
        <v>161664999</v>
      </c>
      <c r="R539" s="19"/>
      <c r="S539" s="19"/>
      <c r="T539" s="19"/>
      <c r="U539" s="19"/>
      <c r="V539" s="19"/>
      <c r="W539" s="20">
        <f ca="1">IFERROR(__xludf.DUMMYFUNCTION("""COMPUTED_VALUE"""),161664999)</f>
        <v>161664999</v>
      </c>
      <c r="X539" s="20" t="str">
        <f ca="1">IFERROR(__xludf.DUMMYFUNCTION("""COMPUTED_VALUE""")," MUNICIPALIDAD DE QUILICURA ")</f>
        <v xml:space="preserve"> MUNICIPALIDAD DE QUILICURA </v>
      </c>
    </row>
    <row r="540" spans="1:24" ht="15.75" customHeight="1" x14ac:dyDescent="0.25">
      <c r="A540" s="16" t="str">
        <f ca="1">IFERROR(__xludf.DUMMYFUNCTION("""COMPUTED_VALUE""")," REGIÓN METROPOLITANA ")</f>
        <v xml:space="preserve"> REGIÓN METROPOLITANA </v>
      </c>
      <c r="B540" s="16" t="str">
        <f t="shared" ca="1" si="2"/>
        <v xml:space="preserve"> MAIPÚ </v>
      </c>
      <c r="C540" s="16" t="str">
        <f ca="1">IFERROR(__xludf.DUMMYFUNCTION("""COMPUTED_VALUE""")," CONSTRUCCIÓN CICLORECREOVIA EDUCATIVA, BARRIO CLOTARIO BLEST, MAIPÚ ")</f>
        <v xml:space="preserve"> CONSTRUCCIÓN CICLORECREOVIA EDUCATIVA, BARRIO CLOTARIO BLEST, MAIPÚ </v>
      </c>
      <c r="D540" s="16" t="str">
        <f ca="1">IFERROR(__xludf.DUMMYFUNCTION("""COMPUTED_VALUE""")," 1-B-2024-190 ")</f>
        <v xml:space="preserve"> 1-B-2024-190 </v>
      </c>
      <c r="E540" s="16" t="str">
        <f ca="1">IFERROR(__xludf.DUMMYFUNCTION("""COMPUTED_VALUE""")," 100% Girado ")</f>
        <v xml:space="preserve"> 100% Girado </v>
      </c>
      <c r="F540" s="17">
        <f ca="1">IFERROR(__xludf.DUMMYFUNCTION("""COMPUTED_VALUE"""),45491)</f>
        <v>45491</v>
      </c>
      <c r="G540" s="16">
        <f ca="1">IFERROR(__xludf.DUMMYFUNCTION("""COMPUTED_VALUE"""),123311946)</f>
        <v>123311946</v>
      </c>
      <c r="H540" s="16" t="str">
        <f ca="1">IFERROR(__xludf.DUMMYFUNCTION("""COMPUTED_VALUE""")," 100% Girado ")</f>
        <v xml:space="preserve"> 100% Girado </v>
      </c>
      <c r="I540" s="16">
        <f ca="1">IFERROR(__xludf.DUMMYFUNCTION("""COMPUTED_VALUE"""),123311946)</f>
        <v>123311946</v>
      </c>
      <c r="J540" s="83" t="s">
        <v>48</v>
      </c>
      <c r="K540" s="16"/>
      <c r="L540" s="16"/>
      <c r="M540" s="16"/>
      <c r="N540" s="19"/>
      <c r="O540" s="19"/>
      <c r="P540" s="19"/>
      <c r="Q540" s="21">
        <f ca="1">IFERROR(__xludf.DUMMYFUNCTION("""COMPUTED_VALUE"""),123311946)</f>
        <v>123311946</v>
      </c>
      <c r="R540" s="19"/>
      <c r="S540" s="19"/>
      <c r="T540" s="19"/>
      <c r="U540" s="19"/>
      <c r="V540" s="19"/>
      <c r="W540" s="20">
        <f ca="1">IFERROR(__xludf.DUMMYFUNCTION("""COMPUTED_VALUE"""),123311946)</f>
        <v>123311946</v>
      </c>
      <c r="X540" s="20" t="str">
        <f ca="1">IFERROR(__xludf.DUMMYFUNCTION("""COMPUTED_VALUE""")," MUNICIPALIDAD DE MAIPÚ ")</f>
        <v xml:space="preserve"> MUNICIPALIDAD DE MAIPÚ </v>
      </c>
    </row>
    <row r="541" spans="1:24" ht="15.75" customHeight="1" x14ac:dyDescent="0.25">
      <c r="A541" s="16" t="str">
        <f ca="1">IFERROR(__xludf.DUMMYFUNCTION("""COMPUTED_VALUE""")," REGIÓN DE LOS RÍOS ")</f>
        <v xml:space="preserve"> REGIÓN DE LOS RÍOS </v>
      </c>
      <c r="B541" s="16" t="str">
        <f t="shared" ca="1" si="2"/>
        <v xml:space="preserve"> VALDIVIA </v>
      </c>
      <c r="C541" s="16" t="str">
        <f ca="1">IFERROR(__xludf.DUMMYFUNCTION("""COMPUTED_VALUE""")," [CSV] REPOSICION MULTICANCHA Y AREA VERDE ALBERTO BLEST GANA, VALDIVIA ")</f>
        <v xml:space="preserve"> [CSV] REPOSICION MULTICANCHA Y AREA VERDE ALBERTO BLEST GANA, VALDIVIA </v>
      </c>
      <c r="D541" s="16" t="str">
        <f ca="1">IFERROR(__xludf.DUMMYFUNCTION("""COMPUTED_VALUE""")," 1-C-2024-333 ")</f>
        <v xml:space="preserve"> 1-C-2024-333 </v>
      </c>
      <c r="E541" s="16" t="str">
        <f ca="1">IFERROR(__xludf.DUMMYFUNCTION("""COMPUTED_VALUE""")," 100% Girado ")</f>
        <v xml:space="preserve"> 100% Girado </v>
      </c>
      <c r="F541" s="17">
        <f ca="1">IFERROR(__xludf.DUMMYFUNCTION("""COMPUTED_VALUE"""),45478)</f>
        <v>45478</v>
      </c>
      <c r="G541" s="16">
        <f ca="1">IFERROR(__xludf.DUMMYFUNCTION("""COMPUTED_VALUE"""),93142653)</f>
        <v>93142653</v>
      </c>
      <c r="H541" s="16" t="str">
        <f ca="1">IFERROR(__xludf.DUMMYFUNCTION("""COMPUTED_VALUE""")," 100% Girado ")</f>
        <v xml:space="preserve"> 100% Girado </v>
      </c>
      <c r="I541" s="16">
        <f ca="1">IFERROR(__xludf.DUMMYFUNCTION("""COMPUTED_VALUE"""),93142653)</f>
        <v>93142653</v>
      </c>
      <c r="J541" s="83" t="s">
        <v>48</v>
      </c>
      <c r="K541" s="16"/>
      <c r="L541" s="16"/>
      <c r="M541" s="16"/>
      <c r="N541" s="19"/>
      <c r="O541" s="19"/>
      <c r="P541" s="19"/>
      <c r="Q541" s="21">
        <f ca="1">IFERROR(__xludf.DUMMYFUNCTION("""COMPUTED_VALUE"""),93142653)</f>
        <v>93142653</v>
      </c>
      <c r="R541" s="19"/>
      <c r="S541" s="19"/>
      <c r="T541" s="19"/>
      <c r="U541" s="19"/>
      <c r="V541" s="19"/>
      <c r="W541" s="20">
        <f ca="1">IFERROR(__xludf.DUMMYFUNCTION("""COMPUTED_VALUE"""),93142653)</f>
        <v>93142653</v>
      </c>
      <c r="X541" s="20" t="str">
        <f ca="1">IFERROR(__xludf.DUMMYFUNCTION("""COMPUTED_VALUE""")," MUNICIPALIDAD DE VALDIVIA ")</f>
        <v xml:space="preserve"> MUNICIPALIDAD DE VALDIVIA </v>
      </c>
    </row>
    <row r="542" spans="1:24" ht="15.75" customHeight="1" x14ac:dyDescent="0.25">
      <c r="A542" s="16" t="str">
        <f ca="1">IFERROR(__xludf.DUMMYFUNCTION("""COMPUTED_VALUE""")," REGIÓN DE LOS RÍOS ")</f>
        <v xml:space="preserve"> REGIÓN DE LOS RÍOS </v>
      </c>
      <c r="B542" s="16" t="str">
        <f t="shared" ca="1" si="2"/>
        <v xml:space="preserve"> LOS LAGOS </v>
      </c>
      <c r="C542" s="16" t="str">
        <f ca="1">IFERROR(__xludf.DUMMYFUNCTION("""COMPUTED_VALUE""")," CONSTRUCCIÓN CIERRE PERIMETRAL SEDE SOCIAL LOS AROMOS Y TERRENOS MUNICIPALES SECTOR HOSPITAL ")</f>
        <v xml:space="preserve"> CONSTRUCCIÓN CIERRE PERIMETRAL SEDE SOCIAL LOS AROMOS Y TERRENOS MUNICIPALES SECTOR HOSPITAL </v>
      </c>
      <c r="D542" s="16" t="str">
        <f ca="1">IFERROR(__xludf.DUMMYFUNCTION("""COMPUTED_VALUE""")," 1-B-2024-165 ")</f>
        <v xml:space="preserve"> 1-B-2024-165 </v>
      </c>
      <c r="E542" s="16" t="str">
        <f ca="1">IFERROR(__xludf.DUMMYFUNCTION("""COMPUTED_VALUE""")," 100% Girado ")</f>
        <v xml:space="preserve"> 100% Girado </v>
      </c>
      <c r="F542" s="17">
        <f ca="1">IFERROR(__xludf.DUMMYFUNCTION("""COMPUTED_VALUE"""),45496)</f>
        <v>45496</v>
      </c>
      <c r="G542" s="16">
        <f ca="1">IFERROR(__xludf.DUMMYFUNCTION("""COMPUTED_VALUE"""),101415013)</f>
        <v>101415013</v>
      </c>
      <c r="H542" s="16" t="str">
        <f ca="1">IFERROR(__xludf.DUMMYFUNCTION("""COMPUTED_VALUE""")," 100% Girado ")</f>
        <v xml:space="preserve"> 100% Girado </v>
      </c>
      <c r="I542" s="16">
        <f ca="1">IFERROR(__xludf.DUMMYFUNCTION("""COMPUTED_VALUE"""),101415013)</f>
        <v>101415013</v>
      </c>
      <c r="J542" s="83" t="s">
        <v>48</v>
      </c>
      <c r="K542" s="16"/>
      <c r="L542" s="16"/>
      <c r="M542" s="16"/>
      <c r="N542" s="19"/>
      <c r="O542" s="19"/>
      <c r="P542" s="19"/>
      <c r="Q542" s="21">
        <f ca="1">IFERROR(__xludf.DUMMYFUNCTION("""COMPUTED_VALUE"""),101415013)</f>
        <v>101415013</v>
      </c>
      <c r="R542" s="19"/>
      <c r="S542" s="19"/>
      <c r="T542" s="19"/>
      <c r="U542" s="19"/>
      <c r="V542" s="19"/>
      <c r="W542" s="20">
        <f ca="1">IFERROR(__xludf.DUMMYFUNCTION("""COMPUTED_VALUE"""),101415013)</f>
        <v>101415013</v>
      </c>
      <c r="X542" s="20" t="str">
        <f ca="1">IFERROR(__xludf.DUMMYFUNCTION("""COMPUTED_VALUE""")," MUNICIPALIDAD DE LOS LAGOS ")</f>
        <v xml:space="preserve"> MUNICIPALIDAD DE LOS LAGOS </v>
      </c>
    </row>
    <row r="543" spans="1:24" ht="15.75" customHeight="1" x14ac:dyDescent="0.25">
      <c r="A543" s="16" t="str">
        <f ca="1">IFERROR(__xludf.DUMMYFUNCTION("""COMPUTED_VALUE""")," REGIÓN DE ÑUBLE ")</f>
        <v xml:space="preserve"> REGIÓN DE ÑUBLE </v>
      </c>
      <c r="B543" s="16" t="str">
        <f t="shared" ca="1" si="2"/>
        <v xml:space="preserve"> CHILLÁN VIEJO </v>
      </c>
      <c r="C543" s="16" t="str">
        <f ca="1">IFERROR(__xludf.DUMMYFUNCTION("""COMPUTED_VALUE""")," CONSTRUCCIÓN ÁREA DE CIRCULACIÓN TECHADA Y MEJORAMIENTO LICEO TOMÁS LAGO, CHILLÁN VIEJO ")</f>
        <v xml:space="preserve"> CONSTRUCCIÓN ÁREA DE CIRCULACIÓN TECHADA Y MEJORAMIENTO LICEO TOMÁS LAGO, CHILLÁN VIEJO </v>
      </c>
      <c r="D543" s="16" t="str">
        <f ca="1">IFERROR(__xludf.DUMMYFUNCTION("""COMPUTED_VALUE""")," 1-C-2023-2999 ")</f>
        <v xml:space="preserve"> 1-C-2023-2999 </v>
      </c>
      <c r="E543" s="16" t="str">
        <f ca="1">IFERROR(__xludf.DUMMYFUNCTION("""COMPUTED_VALUE""")," 100% Girado ")</f>
        <v xml:space="preserve"> 100% Girado </v>
      </c>
      <c r="F543" s="17">
        <f ca="1">IFERROR(__xludf.DUMMYFUNCTION("""COMPUTED_VALUE"""),45496)</f>
        <v>45496</v>
      </c>
      <c r="G543" s="16">
        <f ca="1">IFERROR(__xludf.DUMMYFUNCTION("""COMPUTED_VALUE"""),102457520)</f>
        <v>102457520</v>
      </c>
      <c r="H543" s="16" t="str">
        <f ca="1">IFERROR(__xludf.DUMMYFUNCTION("""COMPUTED_VALUE""")," 100% Girado ")</f>
        <v xml:space="preserve"> 100% Girado </v>
      </c>
      <c r="I543" s="16">
        <f ca="1">IFERROR(__xludf.DUMMYFUNCTION("""COMPUTED_VALUE"""),102457520)</f>
        <v>102457520</v>
      </c>
      <c r="J543" s="83" t="s">
        <v>48</v>
      </c>
      <c r="K543" s="16"/>
      <c r="L543" s="16"/>
      <c r="M543" s="16"/>
      <c r="N543" s="19"/>
      <c r="O543" s="19"/>
      <c r="P543" s="19"/>
      <c r="Q543" s="21">
        <f ca="1">IFERROR(__xludf.DUMMYFUNCTION("""COMPUTED_VALUE"""),102457520)</f>
        <v>102457520</v>
      </c>
      <c r="R543" s="19"/>
      <c r="S543" s="19"/>
      <c r="T543" s="19"/>
      <c r="U543" s="19"/>
      <c r="V543" s="19"/>
      <c r="W543" s="20">
        <f ca="1">IFERROR(__xludf.DUMMYFUNCTION("""COMPUTED_VALUE"""),102457520)</f>
        <v>102457520</v>
      </c>
      <c r="X543" s="20" t="str">
        <f ca="1">IFERROR(__xludf.DUMMYFUNCTION("""COMPUTED_VALUE""")," MUNICIPALIDAD DE CHILLÁN VIEJO ")</f>
        <v xml:space="preserve"> MUNICIPALIDAD DE CHILLÁN VIEJO </v>
      </c>
    </row>
    <row r="544" spans="1:24" ht="15.75" customHeight="1" x14ac:dyDescent="0.25">
      <c r="A544" s="16" t="str">
        <f ca="1">IFERROR(__xludf.DUMMYFUNCTION("""COMPUTED_VALUE""")," REGIÓN DE ÑUBLE ")</f>
        <v xml:space="preserve"> REGIÓN DE ÑUBLE </v>
      </c>
      <c r="B544" s="16" t="str">
        <f t="shared" ca="1" si="2"/>
        <v xml:space="preserve"> COBQUECURA </v>
      </c>
      <c r="C544" s="16" t="str">
        <f ca="1">IFERROR(__xludf.DUMMYFUNCTION("""COMPUTED_VALUE""")," CONSTRUCCION POZO PROFUNDO SECTOR LOS MAQUIS, COMUNA DE COBQUECURA ")</f>
        <v xml:space="preserve"> CONSTRUCCION POZO PROFUNDO SECTOR LOS MAQUIS, COMUNA DE COBQUECURA </v>
      </c>
      <c r="D544" s="16" t="str">
        <f ca="1">IFERROR(__xludf.DUMMYFUNCTION("""COMPUTED_VALUE""")," 1-C-2023-3375 ")</f>
        <v xml:space="preserve"> 1-C-2023-3375 </v>
      </c>
      <c r="E544" s="16" t="str">
        <f ca="1">IFERROR(__xludf.DUMMYFUNCTION("""COMPUTED_VALUE""")," 100% Girado ")</f>
        <v xml:space="preserve"> 100% Girado </v>
      </c>
      <c r="F544" s="17">
        <f ca="1">IFERROR(__xludf.DUMMYFUNCTION("""COMPUTED_VALUE"""),45478)</f>
        <v>45478</v>
      </c>
      <c r="G544" s="16">
        <f ca="1">IFERROR(__xludf.DUMMYFUNCTION("""COMPUTED_VALUE"""),135787231)</f>
        <v>135787231</v>
      </c>
      <c r="H544" s="16" t="str">
        <f ca="1">IFERROR(__xludf.DUMMYFUNCTION("""COMPUTED_VALUE""")," 100% Girado ")</f>
        <v xml:space="preserve"> 100% Girado </v>
      </c>
      <c r="I544" s="16">
        <f ca="1">IFERROR(__xludf.DUMMYFUNCTION("""COMPUTED_VALUE"""),135787231)</f>
        <v>135787231</v>
      </c>
      <c r="J544" s="83" t="s">
        <v>48</v>
      </c>
      <c r="K544" s="16"/>
      <c r="L544" s="16"/>
      <c r="M544" s="16"/>
      <c r="N544" s="19"/>
      <c r="O544" s="19"/>
      <c r="P544" s="19"/>
      <c r="Q544" s="21">
        <f ca="1">IFERROR(__xludf.DUMMYFUNCTION("""COMPUTED_VALUE"""),135787231)</f>
        <v>135787231</v>
      </c>
      <c r="R544" s="19"/>
      <c r="S544" s="19"/>
      <c r="T544" s="19"/>
      <c r="U544" s="19"/>
      <c r="V544" s="19"/>
      <c r="W544" s="20">
        <f ca="1">IFERROR(__xludf.DUMMYFUNCTION("""COMPUTED_VALUE"""),135787231)</f>
        <v>135787231</v>
      </c>
      <c r="X544" s="20" t="str">
        <f ca="1">IFERROR(__xludf.DUMMYFUNCTION("""COMPUTED_VALUE""")," MUNICIPALIDAD DE COBQUECURA ")</f>
        <v xml:space="preserve"> MUNICIPALIDAD DE COBQUECURA </v>
      </c>
    </row>
    <row r="545" spans="1:24" ht="15.75" customHeight="1" x14ac:dyDescent="0.25">
      <c r="A545" s="16" t="str">
        <f ca="1">IFERROR(__xludf.DUMMYFUNCTION("""COMPUTED_VALUE""")," REGIÓN DEL LIBERTADOR GENERAL BERNARDO O’HIGGINS ")</f>
        <v xml:space="preserve"> REGIÓN DEL LIBERTADOR GENERAL BERNARDO O’HIGGINS </v>
      </c>
      <c r="B545" s="16" t="str">
        <f t="shared" ca="1" si="2"/>
        <v xml:space="preserve"> COLTAUCO </v>
      </c>
      <c r="C545" s="16" t="str">
        <f ca="1">IFERROR(__xludf.DUMMYFUNCTION("""COMPUTED_VALUE""")," HABILITACIÓN OFICINAS MODULARES , MUNICIPALIDAD DE COLTAUCO ")</f>
        <v xml:space="preserve"> HABILITACIÓN OFICINAS MODULARES , MUNICIPALIDAD DE COLTAUCO </v>
      </c>
      <c r="D545" s="16" t="str">
        <f ca="1">IFERROR(__xludf.DUMMYFUNCTION("""COMPUTED_VALUE""")," 1-C-2021-1704 ")</f>
        <v xml:space="preserve"> 1-C-2021-1704 </v>
      </c>
      <c r="E545" s="16" t="str">
        <f ca="1">IFERROR(__xludf.DUMMYFUNCTION("""COMPUTED_VALUE""")," En Ejecución ")</f>
        <v xml:space="preserve"> En Ejecución </v>
      </c>
      <c r="F545" s="17">
        <f ca="1">IFERROR(__xludf.DUMMYFUNCTION("""COMPUTED_VALUE"""),44620)</f>
        <v>44620</v>
      </c>
      <c r="G545" s="16">
        <f ca="1">IFERROR(__xludf.DUMMYFUNCTION("""COMPUTED_VALUE"""),89809129)</f>
        <v>89809129</v>
      </c>
      <c r="H545" s="16" t="str">
        <f ca="1">IFERROR(__xludf.DUMMYFUNCTION("""COMPUTED_VALUE""")," En Ejecución ")</f>
        <v xml:space="preserve"> En Ejecución </v>
      </c>
      <c r="I545" s="16">
        <f ca="1">IFERROR(__xludf.DUMMYFUNCTION("""COMPUTED_VALUE"""),13167768)</f>
        <v>13167768</v>
      </c>
      <c r="J545" s="83" t="s">
        <v>48</v>
      </c>
      <c r="K545" s="16"/>
      <c r="L545" s="16"/>
      <c r="M545" s="16"/>
      <c r="N545" s="19"/>
      <c r="O545" s="19"/>
      <c r="P545" s="19"/>
      <c r="Q545" s="21">
        <f ca="1">IFERROR(__xludf.DUMMYFUNCTION("""COMPUTED_VALUE"""),13167768)</f>
        <v>13167768</v>
      </c>
      <c r="R545" s="19"/>
      <c r="S545" s="19"/>
      <c r="T545" s="19"/>
      <c r="U545" s="19"/>
      <c r="V545" s="19"/>
      <c r="W545" s="20">
        <f ca="1">IFERROR(__xludf.DUMMYFUNCTION("""COMPUTED_VALUE"""),13167768)</f>
        <v>13167768</v>
      </c>
      <c r="X545" s="20" t="str">
        <f ca="1">IFERROR(__xludf.DUMMYFUNCTION("""COMPUTED_VALUE""")," MUNICIPALIDAD DE COLTAUCO ")</f>
        <v xml:space="preserve"> MUNICIPALIDAD DE COLTAUCO </v>
      </c>
    </row>
    <row r="546" spans="1:24" ht="15.75" customHeight="1" x14ac:dyDescent="0.25">
      <c r="A546" s="16" t="str">
        <f ca="1">IFERROR(__xludf.DUMMYFUNCTION("""COMPUTED_VALUE""")," REGIÓN DEL LIBERTADOR GENERAL BERNARDO O’HIGGINS ")</f>
        <v xml:space="preserve"> REGIÓN DEL LIBERTADOR GENERAL BERNARDO O’HIGGINS </v>
      </c>
      <c r="B546" s="16" t="str">
        <f t="shared" ca="1" si="2"/>
        <v xml:space="preserve"> COLTAUCO </v>
      </c>
      <c r="C546" s="16" t="str">
        <f ca="1">IFERROR(__xludf.DUMMYFUNCTION("""COMPUTED_VALUE""")," SPI CONSTRUCCIÓN SALA DE PROCESOS COMUNA DE COLTAUCO ")</f>
        <v xml:space="preserve"> SPI CONSTRUCCIÓN SALA DE PROCESOS COMUNA DE COLTAUCO </v>
      </c>
      <c r="D546" s="16" t="str">
        <f ca="1">IFERROR(__xludf.DUMMYFUNCTION("""COMPUTED_VALUE""")," 1-C-2021-1978 ")</f>
        <v xml:space="preserve"> 1-C-2021-1978 </v>
      </c>
      <c r="E546" s="16" t="str">
        <f ca="1">IFERROR(__xludf.DUMMYFUNCTION("""COMPUTED_VALUE""")," En Ejecución ")</f>
        <v xml:space="preserve"> En Ejecución </v>
      </c>
      <c r="F546" s="17">
        <f ca="1">IFERROR(__xludf.DUMMYFUNCTION("""COMPUTED_VALUE"""),44586)</f>
        <v>44586</v>
      </c>
      <c r="G546" s="16">
        <f ca="1">IFERROR(__xludf.DUMMYFUNCTION("""COMPUTED_VALUE"""),106196741)</f>
        <v>106196741</v>
      </c>
      <c r="H546" s="16" t="str">
        <f ca="1">IFERROR(__xludf.DUMMYFUNCTION("""COMPUTED_VALUE""")," En Ejecución ")</f>
        <v xml:space="preserve"> En Ejecución </v>
      </c>
      <c r="I546" s="16">
        <f ca="1">IFERROR(__xludf.DUMMYFUNCTION("""COMPUTED_VALUE"""),31155846)</f>
        <v>31155846</v>
      </c>
      <c r="J546" s="83" t="s">
        <v>48</v>
      </c>
      <c r="K546" s="16"/>
      <c r="L546" s="16"/>
      <c r="M546" s="16"/>
      <c r="N546" s="19"/>
      <c r="O546" s="19"/>
      <c r="P546" s="19"/>
      <c r="Q546" s="21">
        <f ca="1">IFERROR(__xludf.DUMMYFUNCTION("""COMPUTED_VALUE"""),31155846)</f>
        <v>31155846</v>
      </c>
      <c r="R546" s="19"/>
      <c r="S546" s="19"/>
      <c r="T546" s="19"/>
      <c r="U546" s="19"/>
      <c r="V546" s="19"/>
      <c r="W546" s="20">
        <f ca="1">IFERROR(__xludf.DUMMYFUNCTION("""COMPUTED_VALUE"""),31155846)</f>
        <v>31155846</v>
      </c>
      <c r="X546" s="20" t="str">
        <f ca="1">IFERROR(__xludf.DUMMYFUNCTION("""COMPUTED_VALUE""")," MUNICIPALIDAD DE COLTAUCO ")</f>
        <v xml:space="preserve"> MUNICIPALIDAD DE COLTAUCO </v>
      </c>
    </row>
    <row r="547" spans="1:24" ht="15.75" customHeight="1" x14ac:dyDescent="0.25">
      <c r="A547" s="16" t="str">
        <f ca="1">IFERROR(__xludf.DUMMYFUNCTION("""COMPUTED_VALUE""")," REGIÓN DE TARAPACÁ ")</f>
        <v xml:space="preserve"> REGIÓN DE TARAPACÁ </v>
      </c>
      <c r="B547" s="16" t="str">
        <f t="shared" ca="1" si="2"/>
        <v xml:space="preserve"> ALTO HOSPICIO </v>
      </c>
      <c r="C547" s="16" t="str">
        <f ca="1">IFERROR(__xludf.DUMMYFUNCTION("""COMPUTED_VALUE""")," MEJORAMIENTO MULTICANCHA J.V. VILLA VISTA AL MAR, COMUNA DE ALTO HOSPICIO ")</f>
        <v xml:space="preserve"> MEJORAMIENTO MULTICANCHA J.V. VILLA VISTA AL MAR, COMUNA DE ALTO HOSPICIO </v>
      </c>
      <c r="D547" s="16" t="str">
        <f ca="1">IFERROR(__xludf.DUMMYFUNCTION("""COMPUTED_VALUE""")," 1-C-2023-2753 ")</f>
        <v xml:space="preserve"> 1-C-2023-2753 </v>
      </c>
      <c r="E547" s="16" t="str">
        <f ca="1">IFERROR(__xludf.DUMMYFUNCTION("""COMPUTED_VALUE""")," 100% Girado ")</f>
        <v xml:space="preserve"> 100% Girado </v>
      </c>
      <c r="F547" s="17">
        <f ca="1">IFERROR(__xludf.DUMMYFUNCTION("""COMPUTED_VALUE"""),45510)</f>
        <v>45510</v>
      </c>
      <c r="G547" s="16">
        <f ca="1">IFERROR(__xludf.DUMMYFUNCTION("""COMPUTED_VALUE"""),154221314)</f>
        <v>154221314</v>
      </c>
      <c r="H547" s="16" t="str">
        <f ca="1">IFERROR(__xludf.DUMMYFUNCTION("""COMPUTED_VALUE""")," 100% Girado ")</f>
        <v xml:space="preserve"> 100% Girado </v>
      </c>
      <c r="I547" s="16">
        <f ca="1">IFERROR(__xludf.DUMMYFUNCTION("""COMPUTED_VALUE"""),154221314)</f>
        <v>154221314</v>
      </c>
      <c r="J547" s="83" t="s">
        <v>48</v>
      </c>
      <c r="K547" s="16"/>
      <c r="L547" s="16"/>
      <c r="M547" s="16"/>
      <c r="N547" s="19"/>
      <c r="O547" s="19"/>
      <c r="P547" s="19"/>
      <c r="Q547" s="19"/>
      <c r="R547" s="21">
        <f ca="1">IFERROR(__xludf.DUMMYFUNCTION("""COMPUTED_VALUE"""),154221314)</f>
        <v>154221314</v>
      </c>
      <c r="S547" s="19"/>
      <c r="T547" s="19"/>
      <c r="U547" s="19"/>
      <c r="V547" s="19"/>
      <c r="W547" s="20">
        <f ca="1">IFERROR(__xludf.DUMMYFUNCTION("""COMPUTED_VALUE"""),154221314)</f>
        <v>154221314</v>
      </c>
      <c r="X547" s="20" t="str">
        <f ca="1">IFERROR(__xludf.DUMMYFUNCTION("""COMPUTED_VALUE""")," MUNICIPALIDAD DE ALTO HOSPICIO ")</f>
        <v xml:space="preserve"> MUNICIPALIDAD DE ALTO HOSPICIO </v>
      </c>
    </row>
    <row r="548" spans="1:24" ht="15.75" customHeight="1" x14ac:dyDescent="0.25">
      <c r="A548" s="16" t="str">
        <f ca="1">IFERROR(__xludf.DUMMYFUNCTION("""COMPUTED_VALUE""")," REGIÓN DE ANTOFAGASTA ")</f>
        <v xml:space="preserve"> REGIÓN DE ANTOFAGASTA </v>
      </c>
      <c r="B548" s="16" t="str">
        <f t="shared" ca="1" si="2"/>
        <v xml:space="preserve"> TOCOPILLA </v>
      </c>
      <c r="C548" s="16" t="str">
        <f ca="1">IFERROR(__xludf.DUMMYFUNCTION("""COMPUTED_VALUE""")," CONSERVACION DE ACERA NORTE CALLE RANCAGUA ")</f>
        <v xml:space="preserve"> CONSERVACION DE ACERA NORTE CALLE RANCAGUA </v>
      </c>
      <c r="D548" s="16" t="str">
        <f ca="1">IFERROR(__xludf.DUMMYFUNCTION("""COMPUTED_VALUE""")," 1-B-2024-114 ")</f>
        <v xml:space="preserve"> 1-B-2024-114 </v>
      </c>
      <c r="E548" s="16" t="str">
        <f ca="1">IFERROR(__xludf.DUMMYFUNCTION("""COMPUTED_VALUE""")," 100% Girado ")</f>
        <v xml:space="preserve"> 100% Girado </v>
      </c>
      <c r="F548" s="17">
        <f ca="1">IFERROR(__xludf.DUMMYFUNCTION("""COMPUTED_VALUE"""),45477)</f>
        <v>45477</v>
      </c>
      <c r="G548" s="16">
        <f ca="1">IFERROR(__xludf.DUMMYFUNCTION("""COMPUTED_VALUE"""),75128145)</f>
        <v>75128145</v>
      </c>
      <c r="H548" s="16" t="str">
        <f ca="1">IFERROR(__xludf.DUMMYFUNCTION("""COMPUTED_VALUE""")," 100% Girado ")</f>
        <v xml:space="preserve"> 100% Girado </v>
      </c>
      <c r="I548" s="16">
        <f ca="1">IFERROR(__xludf.DUMMYFUNCTION("""COMPUTED_VALUE"""),75128145)</f>
        <v>75128145</v>
      </c>
      <c r="J548" s="83" t="s">
        <v>48</v>
      </c>
      <c r="K548" s="16"/>
      <c r="L548" s="16"/>
      <c r="M548" s="16"/>
      <c r="N548" s="19"/>
      <c r="O548" s="19"/>
      <c r="P548" s="19"/>
      <c r="Q548" s="19"/>
      <c r="R548" s="21">
        <f ca="1">IFERROR(__xludf.DUMMYFUNCTION("""COMPUTED_VALUE"""),75128145)</f>
        <v>75128145</v>
      </c>
      <c r="S548" s="19"/>
      <c r="T548" s="19"/>
      <c r="U548" s="19"/>
      <c r="V548" s="19"/>
      <c r="W548" s="20">
        <f ca="1">IFERROR(__xludf.DUMMYFUNCTION("""COMPUTED_VALUE"""),75128145)</f>
        <v>75128145</v>
      </c>
      <c r="X548" s="20" t="str">
        <f ca="1">IFERROR(__xludf.DUMMYFUNCTION("""COMPUTED_VALUE""")," MUNICIPALIDAD DE TOCOPILLA ")</f>
        <v xml:space="preserve"> MUNICIPALIDAD DE TOCOPILLA </v>
      </c>
    </row>
    <row r="549" spans="1:24" ht="15.75" customHeight="1" x14ac:dyDescent="0.25">
      <c r="A549" s="16" t="str">
        <f ca="1">IFERROR(__xludf.DUMMYFUNCTION("""COMPUTED_VALUE""")," REGIÓN DE ANTOFAGASTA ")</f>
        <v xml:space="preserve"> REGIÓN DE ANTOFAGASTA </v>
      </c>
      <c r="B549" s="16" t="str">
        <f t="shared" ca="1" si="2"/>
        <v xml:space="preserve"> MEJILLONES </v>
      </c>
      <c r="C549" s="16" t="str">
        <f ca="1">IFERROR(__xludf.DUMMYFUNCTION("""COMPUTED_VALUE""")," REPOSICION SALON MULTIUSO SEDE CAROL URZUA ")</f>
        <v xml:space="preserve"> REPOSICION SALON MULTIUSO SEDE CAROL URZUA </v>
      </c>
      <c r="D549" s="16" t="str">
        <f ca="1">IFERROR(__xludf.DUMMYFUNCTION("""COMPUTED_VALUE""")," 1-B-2024-350 ")</f>
        <v xml:space="preserve"> 1-B-2024-350 </v>
      </c>
      <c r="E549" s="16" t="str">
        <f ca="1">IFERROR(__xludf.DUMMYFUNCTION("""COMPUTED_VALUE""")," 100% Girado ")</f>
        <v xml:space="preserve"> 100% Girado </v>
      </c>
      <c r="F549" s="17">
        <f ca="1">IFERROR(__xludf.DUMMYFUNCTION("""COMPUTED_VALUE"""),45504)</f>
        <v>45504</v>
      </c>
      <c r="G549" s="16">
        <f ca="1">IFERROR(__xludf.DUMMYFUNCTION("""COMPUTED_VALUE"""),153584307)</f>
        <v>153584307</v>
      </c>
      <c r="H549" s="16" t="str">
        <f ca="1">IFERROR(__xludf.DUMMYFUNCTION("""COMPUTED_VALUE""")," 100% Girado ")</f>
        <v xml:space="preserve"> 100% Girado </v>
      </c>
      <c r="I549" s="16">
        <f ca="1">IFERROR(__xludf.DUMMYFUNCTION("""COMPUTED_VALUE"""),153584307)</f>
        <v>153584307</v>
      </c>
      <c r="J549" s="83" t="s">
        <v>48</v>
      </c>
      <c r="K549" s="16"/>
      <c r="L549" s="16"/>
      <c r="M549" s="16"/>
      <c r="N549" s="19"/>
      <c r="O549" s="19"/>
      <c r="P549" s="19"/>
      <c r="Q549" s="19"/>
      <c r="R549" s="21">
        <f ca="1">IFERROR(__xludf.DUMMYFUNCTION("""COMPUTED_VALUE"""),153584307)</f>
        <v>153584307</v>
      </c>
      <c r="S549" s="19"/>
      <c r="T549" s="19"/>
      <c r="U549" s="19"/>
      <c r="V549" s="19"/>
      <c r="W549" s="20">
        <f ca="1">IFERROR(__xludf.DUMMYFUNCTION("""COMPUTED_VALUE"""),153584307)</f>
        <v>153584307</v>
      </c>
      <c r="X549" s="20" t="str">
        <f ca="1">IFERROR(__xludf.DUMMYFUNCTION("""COMPUTED_VALUE""")," MUNICIPALIDAD DE MEJILLONES ")</f>
        <v xml:space="preserve"> MUNICIPALIDAD DE MEJILLONES </v>
      </c>
    </row>
    <row r="550" spans="1:24" ht="15.75" customHeight="1" x14ac:dyDescent="0.25">
      <c r="A550" s="16" t="str">
        <f ca="1">IFERROR(__xludf.DUMMYFUNCTION("""COMPUTED_VALUE""")," REGIÓN DE COQUIMBO ")</f>
        <v xml:space="preserve"> REGIÓN DE COQUIMBO </v>
      </c>
      <c r="B550" s="16" t="str">
        <f t="shared" ca="1" si="2"/>
        <v xml:space="preserve"> RÍO HURTADO </v>
      </c>
      <c r="C550" s="16" t="str">
        <f ca="1">IFERROR(__xludf.DUMMYFUNCTION("""COMPUTED_VALUE""")," MEJORAMIENTO PLAZA EL ROMERAL ")</f>
        <v xml:space="preserve"> MEJORAMIENTO PLAZA EL ROMERAL </v>
      </c>
      <c r="D550" s="16" t="str">
        <f ca="1">IFERROR(__xludf.DUMMYFUNCTION("""COMPUTED_VALUE""")," 1-B-2024-47 ")</f>
        <v xml:space="preserve"> 1-B-2024-47 </v>
      </c>
      <c r="E550" s="16" t="str">
        <f ca="1">IFERROR(__xludf.DUMMYFUNCTION("""COMPUTED_VALUE""")," 100% Girado ")</f>
        <v xml:space="preserve"> 100% Girado </v>
      </c>
      <c r="F550" s="17">
        <f ca="1">IFERROR(__xludf.DUMMYFUNCTION("""COMPUTED_VALUE"""),45517)</f>
        <v>45517</v>
      </c>
      <c r="G550" s="16">
        <f ca="1">IFERROR(__xludf.DUMMYFUNCTION("""COMPUTED_VALUE"""),153087978)</f>
        <v>153087978</v>
      </c>
      <c r="H550" s="16" t="str">
        <f ca="1">IFERROR(__xludf.DUMMYFUNCTION("""COMPUTED_VALUE""")," 100% Girado ")</f>
        <v xml:space="preserve"> 100% Girado </v>
      </c>
      <c r="I550" s="16">
        <f ca="1">IFERROR(__xludf.DUMMYFUNCTION("""COMPUTED_VALUE"""),153087978)</f>
        <v>153087978</v>
      </c>
      <c r="J550" s="83" t="s">
        <v>48</v>
      </c>
      <c r="K550" s="16"/>
      <c r="L550" s="16"/>
      <c r="M550" s="16"/>
      <c r="N550" s="19"/>
      <c r="O550" s="19"/>
      <c r="P550" s="19"/>
      <c r="Q550" s="19"/>
      <c r="R550" s="21">
        <f ca="1">IFERROR(__xludf.DUMMYFUNCTION("""COMPUTED_VALUE"""),153087978)</f>
        <v>153087978</v>
      </c>
      <c r="S550" s="19"/>
      <c r="T550" s="19"/>
      <c r="U550" s="19"/>
      <c r="V550" s="19"/>
      <c r="W550" s="20">
        <f ca="1">IFERROR(__xludf.DUMMYFUNCTION("""COMPUTED_VALUE"""),153087978)</f>
        <v>153087978</v>
      </c>
      <c r="X550" s="20" t="str">
        <f ca="1">IFERROR(__xludf.DUMMYFUNCTION("""COMPUTED_VALUE""")," MUNICIPALIDAD DE RÍO HURTADO ")</f>
        <v xml:space="preserve"> MUNICIPALIDAD DE RÍO HURTADO </v>
      </c>
    </row>
    <row r="551" spans="1:24" ht="15.75" customHeight="1" x14ac:dyDescent="0.25">
      <c r="A551" s="16" t="str">
        <f ca="1">IFERROR(__xludf.DUMMYFUNCTION("""COMPUTED_VALUE""")," REGIÓN DE COQUIMBO ")</f>
        <v xml:space="preserve"> REGIÓN DE COQUIMBO </v>
      </c>
      <c r="B551" s="16" t="str">
        <f t="shared" ca="1" si="2"/>
        <v xml:space="preserve"> OVALLE </v>
      </c>
      <c r="C551" s="16" t="str">
        <f ca="1">IFERROR(__xludf.DUMMYFUNCTION("""COMPUTED_VALUE""")," CONSTRUCCIÓN DE PAVIMENTACIÓN CALLE RIO HURTADO , LOS LEICES,COMUNA DE OVALLE ")</f>
        <v xml:space="preserve"> CONSTRUCCIÓN DE PAVIMENTACIÓN CALLE RIO HURTADO , LOS LEICES,COMUNA DE OVALLE </v>
      </c>
      <c r="D551" s="16" t="str">
        <f ca="1">IFERROR(__xludf.DUMMYFUNCTION("""COMPUTED_VALUE""")," 1-B-2024-71 ")</f>
        <v xml:space="preserve"> 1-B-2024-71 </v>
      </c>
      <c r="E551" s="16" t="str">
        <f ca="1">IFERROR(__xludf.DUMMYFUNCTION("""COMPUTED_VALUE""")," 100% Girado ")</f>
        <v xml:space="preserve"> 100% Girado </v>
      </c>
      <c r="F551" s="17">
        <f ca="1">IFERROR(__xludf.DUMMYFUNCTION("""COMPUTED_VALUE"""),45512)</f>
        <v>45512</v>
      </c>
      <c r="G551" s="16">
        <f ca="1">IFERROR(__xludf.DUMMYFUNCTION("""COMPUTED_VALUE"""),138157594)</f>
        <v>138157594</v>
      </c>
      <c r="H551" s="16" t="str">
        <f ca="1">IFERROR(__xludf.DUMMYFUNCTION("""COMPUTED_VALUE""")," 100% Girado ")</f>
        <v xml:space="preserve"> 100% Girado </v>
      </c>
      <c r="I551" s="16">
        <f ca="1">IFERROR(__xludf.DUMMYFUNCTION("""COMPUTED_VALUE"""),138157594)</f>
        <v>138157594</v>
      </c>
      <c r="J551" s="83" t="s">
        <v>48</v>
      </c>
      <c r="K551" s="16"/>
      <c r="L551" s="16"/>
      <c r="M551" s="16"/>
      <c r="N551" s="19"/>
      <c r="O551" s="19"/>
      <c r="P551" s="19"/>
      <c r="Q551" s="19"/>
      <c r="R551" s="21">
        <f ca="1">IFERROR(__xludf.DUMMYFUNCTION("""COMPUTED_VALUE"""),138157594)</f>
        <v>138157594</v>
      </c>
      <c r="S551" s="19"/>
      <c r="T551" s="19"/>
      <c r="U551" s="19"/>
      <c r="V551" s="19"/>
      <c r="W551" s="20">
        <f ca="1">IFERROR(__xludf.DUMMYFUNCTION("""COMPUTED_VALUE"""),138157594)</f>
        <v>138157594</v>
      </c>
      <c r="X551" s="20" t="str">
        <f ca="1">IFERROR(__xludf.DUMMYFUNCTION("""COMPUTED_VALUE""")," MUNICIPALIDAD DE OVALLE ")</f>
        <v xml:space="preserve"> MUNICIPALIDAD DE OVALLE </v>
      </c>
    </row>
    <row r="552" spans="1:24" ht="15.75" customHeight="1" x14ac:dyDescent="0.25">
      <c r="A552" s="16" t="str">
        <f ca="1">IFERROR(__xludf.DUMMYFUNCTION("""COMPUTED_VALUE""")," REGIÓN DE COQUIMBO ")</f>
        <v xml:space="preserve"> REGIÓN DE COQUIMBO </v>
      </c>
      <c r="B552" s="16" t="str">
        <f t="shared" ca="1" si="2"/>
        <v xml:space="preserve"> MONTE PATRIA </v>
      </c>
      <c r="C552" s="16" t="str">
        <f ca="1">IFERROR(__xludf.DUMMYFUNCTION("""COMPUTED_VALUE""")," CONSTRUCCIÓN PAVIMENTOS DE CALLE MAIPÚ, CALLE PÚBLICA Y PSJE. RIO MALLECO, COMUNA MONTE PATRIA ")</f>
        <v xml:space="preserve"> CONSTRUCCIÓN PAVIMENTOS DE CALLE MAIPÚ, CALLE PÚBLICA Y PSJE. RIO MALLECO, COMUNA MONTE PATRIA </v>
      </c>
      <c r="D552" s="16" t="str">
        <f ca="1">IFERROR(__xludf.DUMMYFUNCTION("""COMPUTED_VALUE""")," 1-B-2024-80 ")</f>
        <v xml:space="preserve"> 1-B-2024-80 </v>
      </c>
      <c r="E552" s="16" t="str">
        <f ca="1">IFERROR(__xludf.DUMMYFUNCTION("""COMPUTED_VALUE""")," 100% Girado ")</f>
        <v xml:space="preserve"> 100% Girado </v>
      </c>
      <c r="F552" s="17">
        <f ca="1">IFERROR(__xludf.DUMMYFUNCTION("""COMPUTED_VALUE"""),45504)</f>
        <v>45504</v>
      </c>
      <c r="G552" s="16">
        <f ca="1">IFERROR(__xludf.DUMMYFUNCTION("""COMPUTED_VALUE"""),124185226)</f>
        <v>124185226</v>
      </c>
      <c r="H552" s="16" t="str">
        <f ca="1">IFERROR(__xludf.DUMMYFUNCTION("""COMPUTED_VALUE""")," 100% Girado ")</f>
        <v xml:space="preserve"> 100% Girado </v>
      </c>
      <c r="I552" s="16">
        <f ca="1">IFERROR(__xludf.DUMMYFUNCTION("""COMPUTED_VALUE"""),124185226)</f>
        <v>124185226</v>
      </c>
      <c r="J552" s="83" t="s">
        <v>48</v>
      </c>
      <c r="K552" s="16"/>
      <c r="L552" s="16"/>
      <c r="M552" s="16"/>
      <c r="N552" s="19"/>
      <c r="O552" s="19"/>
      <c r="P552" s="19"/>
      <c r="Q552" s="19"/>
      <c r="R552" s="21">
        <f ca="1">IFERROR(__xludf.DUMMYFUNCTION("""COMPUTED_VALUE"""),124185226)</f>
        <v>124185226</v>
      </c>
      <c r="S552" s="19"/>
      <c r="T552" s="19"/>
      <c r="U552" s="19"/>
      <c r="V552" s="19"/>
      <c r="W552" s="20">
        <f ca="1">IFERROR(__xludf.DUMMYFUNCTION("""COMPUTED_VALUE"""),124185226)</f>
        <v>124185226</v>
      </c>
      <c r="X552" s="20" t="str">
        <f ca="1">IFERROR(__xludf.DUMMYFUNCTION("""COMPUTED_VALUE""")," MUNICIPALIDAD DE MONTE PATRIA ")</f>
        <v xml:space="preserve"> MUNICIPALIDAD DE MONTE PATRIA </v>
      </c>
    </row>
    <row r="553" spans="1:24" ht="15.75" customHeight="1" x14ac:dyDescent="0.25">
      <c r="A553" s="16" t="str">
        <f ca="1">IFERROR(__xludf.DUMMYFUNCTION("""COMPUTED_VALUE""")," REGIÓN DE VALPARAÍSO ")</f>
        <v xml:space="preserve"> REGIÓN DE VALPARAÍSO </v>
      </c>
      <c r="B553" s="16" t="str">
        <f t="shared" ca="1" si="2"/>
        <v xml:space="preserve"> QUILLOTA </v>
      </c>
      <c r="C553" s="16" t="str">
        <f ca="1">IFERROR(__xludf.DUMMYFUNCTION("""COMPUTED_VALUE""")," CONSTRUCCION Y REPOSICION SISTEMA DE ALUMBRADO PUBLICO PARQUE MOLINARE, COMUNA DE QUILLOTA ")</f>
        <v xml:space="preserve"> CONSTRUCCION Y REPOSICION SISTEMA DE ALUMBRADO PUBLICO PARQUE MOLINARE, COMUNA DE QUILLOTA </v>
      </c>
      <c r="D553" s="16" t="str">
        <f ca="1">IFERROR(__xludf.DUMMYFUNCTION("""COMPUTED_VALUE""")," 1-C-2021-1647 [CHA] ")</f>
        <v xml:space="preserve"> 1-C-2021-1647 [CHA] </v>
      </c>
      <c r="E553" s="16" t="str">
        <f ca="1">IFERROR(__xludf.DUMMYFUNCTION("""COMPUTED_VALUE""")," 100% Girado ")</f>
        <v xml:space="preserve"> 100% Girado </v>
      </c>
      <c r="F553" s="17">
        <f ca="1">IFERROR(__xludf.DUMMYFUNCTION("""COMPUTED_VALUE"""),44776)</f>
        <v>44776</v>
      </c>
      <c r="G553" s="16">
        <f ca="1">IFERROR(__xludf.DUMMYFUNCTION("""COMPUTED_VALUE"""),48438295)</f>
        <v>48438295</v>
      </c>
      <c r="H553" s="16" t="str">
        <f ca="1">IFERROR(__xludf.DUMMYFUNCTION("""COMPUTED_VALUE""")," 100% Girado ")</f>
        <v xml:space="preserve"> 100% Girado </v>
      </c>
      <c r="I553" s="16">
        <f ca="1">IFERROR(__xludf.DUMMYFUNCTION("""COMPUTED_VALUE"""),10652891)</f>
        <v>10652891</v>
      </c>
      <c r="J553" s="83" t="s">
        <v>48</v>
      </c>
      <c r="K553" s="16"/>
      <c r="L553" s="16"/>
      <c r="M553" s="16"/>
      <c r="N553" s="19"/>
      <c r="O553" s="19"/>
      <c r="P553" s="19"/>
      <c r="Q553" s="19"/>
      <c r="R553" s="21">
        <f ca="1">IFERROR(__xludf.DUMMYFUNCTION("""COMPUTED_VALUE"""),10652891)</f>
        <v>10652891</v>
      </c>
      <c r="S553" s="19"/>
      <c r="T553" s="19"/>
      <c r="U553" s="19"/>
      <c r="V553" s="19"/>
      <c r="W553" s="20">
        <f ca="1">IFERROR(__xludf.DUMMYFUNCTION("""COMPUTED_VALUE"""),10652891)</f>
        <v>10652891</v>
      </c>
      <c r="X553" s="20" t="str">
        <f ca="1">IFERROR(__xludf.DUMMYFUNCTION("""COMPUTED_VALUE""")," MUNICIPALIDAD DE QUILLOTA ")</f>
        <v xml:space="preserve"> MUNICIPALIDAD DE QUILLOTA </v>
      </c>
    </row>
    <row r="554" spans="1:24" ht="15.75" customHeight="1" x14ac:dyDescent="0.25">
      <c r="A554" s="16" t="str">
        <f ca="1">IFERROR(__xludf.DUMMYFUNCTION("""COMPUTED_VALUE""")," REGIÓN DE VALPARAÍSO ")</f>
        <v xml:space="preserve"> REGIÓN DE VALPARAÍSO </v>
      </c>
      <c r="B554" s="16" t="str">
        <f t="shared" ca="1" si="2"/>
        <v xml:space="preserve"> PUCHUNCAVÍ </v>
      </c>
      <c r="C554" s="16" t="str">
        <f ca="1">IFERROR(__xludf.DUMMYFUNCTION("""COMPUTED_VALUE""")," PAVIMENTACIÓN PASAJE SAN CAMILO Y A. BLEST GANA, POBLACIÓN DON SERGIO, PUCHUNCAVÍ ")</f>
        <v xml:space="preserve"> PAVIMENTACIÓN PASAJE SAN CAMILO Y A. BLEST GANA, POBLACIÓN DON SERGIO, PUCHUNCAVÍ </v>
      </c>
      <c r="D554" s="16" t="str">
        <f ca="1">IFERROR(__xludf.DUMMYFUNCTION("""COMPUTED_VALUE""")," 1-C-2022-49 [CHA] ")</f>
        <v xml:space="preserve"> 1-C-2022-49 [CHA] </v>
      </c>
      <c r="E554" s="16" t="str">
        <f ca="1">IFERROR(__xludf.DUMMYFUNCTION("""COMPUTED_VALUE""")," 100% Girado ")</f>
        <v xml:space="preserve"> 100% Girado </v>
      </c>
      <c r="F554" s="17">
        <f ca="1">IFERROR(__xludf.DUMMYFUNCTION("""COMPUTED_VALUE"""),44777)</f>
        <v>44777</v>
      </c>
      <c r="G554" s="16">
        <f ca="1">IFERROR(__xludf.DUMMYFUNCTION("""COMPUTED_VALUE"""),79367513)</f>
        <v>79367513</v>
      </c>
      <c r="H554" s="16" t="str">
        <f ca="1">IFERROR(__xludf.DUMMYFUNCTION("""COMPUTED_VALUE""")," 100% Girado ")</f>
        <v xml:space="preserve"> 100% Girado </v>
      </c>
      <c r="I554" s="16">
        <f ca="1">IFERROR(__xludf.DUMMYFUNCTION("""COMPUTED_VALUE"""),18076015)</f>
        <v>18076015</v>
      </c>
      <c r="J554" s="83" t="s">
        <v>48</v>
      </c>
      <c r="K554" s="16"/>
      <c r="L554" s="16"/>
      <c r="M554" s="16"/>
      <c r="N554" s="19"/>
      <c r="O554" s="19"/>
      <c r="P554" s="19"/>
      <c r="Q554" s="19"/>
      <c r="R554" s="21">
        <f ca="1">IFERROR(__xludf.DUMMYFUNCTION("""COMPUTED_VALUE"""),18076015)</f>
        <v>18076015</v>
      </c>
      <c r="S554" s="19"/>
      <c r="T554" s="19"/>
      <c r="U554" s="19"/>
      <c r="V554" s="19"/>
      <c r="W554" s="20">
        <f ca="1">IFERROR(__xludf.DUMMYFUNCTION("""COMPUTED_VALUE"""),18076015)</f>
        <v>18076015</v>
      </c>
      <c r="X554" s="20" t="str">
        <f ca="1">IFERROR(__xludf.DUMMYFUNCTION("""COMPUTED_VALUE""")," MUNICIPALIDAD DE PUCHUNCAVÍ ")</f>
        <v xml:space="preserve"> MUNICIPALIDAD DE PUCHUNCAVÍ </v>
      </c>
    </row>
    <row r="555" spans="1:24" ht="15.75" customHeight="1" x14ac:dyDescent="0.25">
      <c r="A555" s="16" t="str">
        <f ca="1">IFERROR(__xludf.DUMMYFUNCTION("""COMPUTED_VALUE""")," REGIÓN DE VALPARAÍSO ")</f>
        <v xml:space="preserve"> REGIÓN DE VALPARAÍSO </v>
      </c>
      <c r="B555" s="16" t="str">
        <f t="shared" ca="1" si="2"/>
        <v xml:space="preserve"> QUILPUÉ </v>
      </c>
      <c r="C555" s="16" t="str">
        <f ca="1">IFERROR(__xludf.DUMMYFUNCTION("""COMPUTED_VALUE""")," MEJORAMIENTO ZONA DE JUEGOS PLAZA ARTURO PRAT, QUILPUÉ ")</f>
        <v xml:space="preserve"> MEJORAMIENTO ZONA DE JUEGOS PLAZA ARTURO PRAT, QUILPUÉ </v>
      </c>
      <c r="D555" s="16" t="str">
        <f ca="1">IFERROR(__xludf.DUMMYFUNCTION("""COMPUTED_VALUE""")," 1-C-2023-1636 ")</f>
        <v xml:space="preserve"> 1-C-2023-1636 </v>
      </c>
      <c r="E555" s="16" t="str">
        <f ca="1">IFERROR(__xludf.DUMMYFUNCTION("""COMPUTED_VALUE""")," Con Giro por Anticipo ")</f>
        <v xml:space="preserve"> Con Giro por Anticipo </v>
      </c>
      <c r="F555" s="17">
        <f ca="1">IFERROR(__xludf.DUMMYFUNCTION("""COMPUTED_VALUE"""),45525)</f>
        <v>45525</v>
      </c>
      <c r="G555" s="16">
        <f ca="1">IFERROR(__xludf.DUMMYFUNCTION("""COMPUTED_VALUE"""),154422208)</f>
        <v>154422208</v>
      </c>
      <c r="H555" s="16" t="str">
        <f ca="1">IFERROR(__xludf.DUMMYFUNCTION("""COMPUTED_VALUE""")," Con Giro por Anticipo ")</f>
        <v xml:space="preserve"> Con Giro por Anticipo </v>
      </c>
      <c r="I555" s="16">
        <f ca="1">IFERROR(__xludf.DUMMYFUNCTION("""COMPUTED_VALUE"""),77211104)</f>
        <v>77211104</v>
      </c>
      <c r="J555" s="83" t="s">
        <v>48</v>
      </c>
      <c r="K555" s="16"/>
      <c r="L555" s="16"/>
      <c r="M555" s="16"/>
      <c r="N555" s="19"/>
      <c r="O555" s="19"/>
      <c r="P555" s="19"/>
      <c r="Q555" s="19"/>
      <c r="R555" s="21">
        <f ca="1">IFERROR(__xludf.DUMMYFUNCTION("""COMPUTED_VALUE"""),77211104)</f>
        <v>77211104</v>
      </c>
      <c r="S555" s="19"/>
      <c r="T555" s="19"/>
      <c r="U555" s="19"/>
      <c r="V555" s="19"/>
      <c r="W555" s="20">
        <f ca="1">IFERROR(__xludf.DUMMYFUNCTION("""COMPUTED_VALUE"""),77211104)</f>
        <v>77211104</v>
      </c>
      <c r="X555" s="20" t="str">
        <f ca="1">IFERROR(__xludf.DUMMYFUNCTION("""COMPUTED_VALUE""")," MUNICIPALIDAD DE QUILPUÉ ")</f>
        <v xml:space="preserve"> MUNICIPALIDAD DE QUILPUÉ </v>
      </c>
    </row>
    <row r="556" spans="1:24" ht="15.75" customHeight="1" x14ac:dyDescent="0.25">
      <c r="A556" s="16" t="str">
        <f ca="1">IFERROR(__xludf.DUMMYFUNCTION("""COMPUTED_VALUE""")," REGIÓN DE VALPARAÍSO ")</f>
        <v xml:space="preserve"> REGIÓN DE VALPARAÍSO </v>
      </c>
      <c r="B556" s="16" t="str">
        <f t="shared" ca="1" si="2"/>
        <v xml:space="preserve"> ALGARROBO </v>
      </c>
      <c r="C556" s="16" t="str">
        <f ca="1">IFERROR(__xludf.DUMMYFUNCTION("""COMPUTED_VALUE""")," CONSTRUCCION DE VEREDAS SECTOR LOS ALBATROS ")</f>
        <v xml:space="preserve"> CONSTRUCCION DE VEREDAS SECTOR LOS ALBATROS </v>
      </c>
      <c r="D556" s="16" t="str">
        <f ca="1">IFERROR(__xludf.DUMMYFUNCTION("""COMPUTED_VALUE""")," 1-C-2023-3124 ")</f>
        <v xml:space="preserve"> 1-C-2023-3124 </v>
      </c>
      <c r="E556" s="16" t="str">
        <f ca="1">IFERROR(__xludf.DUMMYFUNCTION("""COMPUTED_VALUE""")," Con Giro por Anticipo ")</f>
        <v xml:space="preserve"> Con Giro por Anticipo </v>
      </c>
      <c r="F556" s="17">
        <f ca="1">IFERROR(__xludf.DUMMYFUNCTION("""COMPUTED_VALUE"""),45517)</f>
        <v>45517</v>
      </c>
      <c r="G556" s="16">
        <f ca="1">IFERROR(__xludf.DUMMYFUNCTION("""COMPUTED_VALUE"""),154421847)</f>
        <v>154421847</v>
      </c>
      <c r="H556" s="16" t="str">
        <f ca="1">IFERROR(__xludf.DUMMYFUNCTION("""COMPUTED_VALUE""")," Con Giro por Anticipo ")</f>
        <v xml:space="preserve"> Con Giro por Anticipo </v>
      </c>
      <c r="I556" s="16">
        <f ca="1">IFERROR(__xludf.DUMMYFUNCTION("""COMPUTED_VALUE"""),77210924)</f>
        <v>77210924</v>
      </c>
      <c r="J556" s="83" t="s">
        <v>48</v>
      </c>
      <c r="K556" s="16"/>
      <c r="L556" s="16"/>
      <c r="M556" s="16"/>
      <c r="N556" s="19"/>
      <c r="O556" s="19"/>
      <c r="P556" s="19"/>
      <c r="Q556" s="19"/>
      <c r="R556" s="21">
        <f ca="1">IFERROR(__xludf.DUMMYFUNCTION("""COMPUTED_VALUE"""),77210924)</f>
        <v>77210924</v>
      </c>
      <c r="S556" s="19"/>
      <c r="T556" s="19"/>
      <c r="U556" s="19"/>
      <c r="V556" s="19"/>
      <c r="W556" s="20">
        <f ca="1">IFERROR(__xludf.DUMMYFUNCTION("""COMPUTED_VALUE"""),77210924)</f>
        <v>77210924</v>
      </c>
      <c r="X556" s="20" t="str">
        <f ca="1">IFERROR(__xludf.DUMMYFUNCTION("""COMPUTED_VALUE""")," MUNICIPALIDAD DE ALGARROBO ")</f>
        <v xml:space="preserve"> MUNICIPALIDAD DE ALGARROBO </v>
      </c>
    </row>
    <row r="557" spans="1:24" ht="15.75" customHeight="1" x14ac:dyDescent="0.25">
      <c r="A557" s="16" t="str">
        <f ca="1">IFERROR(__xludf.DUMMYFUNCTION("""COMPUTED_VALUE""")," REGIÓN DE VALPARAÍSO ")</f>
        <v xml:space="preserve"> REGIÓN DE VALPARAÍSO </v>
      </c>
      <c r="B557" s="16" t="str">
        <f t="shared" ca="1" si="2"/>
        <v xml:space="preserve"> CARTAGENA </v>
      </c>
      <c r="C557" s="16" t="str">
        <f ca="1">IFERROR(__xludf.DUMMYFUNCTION("""COMPUTED_VALUE""")," REPOSICION ACERAS CALLE MARIANO CASANOVA, ENTRE JOSEFINA NIETO Y CARLOS CORSI, COMUNA DE CARTAGENA ")</f>
        <v xml:space="preserve"> REPOSICION ACERAS CALLE MARIANO CASANOVA, ENTRE JOSEFINA NIETO Y CARLOS CORSI, COMUNA DE CARTAGENA </v>
      </c>
      <c r="D557" s="16" t="str">
        <f ca="1">IFERROR(__xludf.DUMMYFUNCTION("""COMPUTED_VALUE""")," 1-B-2024-91 ")</f>
        <v xml:space="preserve"> 1-B-2024-91 </v>
      </c>
      <c r="E557" s="16" t="str">
        <f ca="1">IFERROR(__xludf.DUMMYFUNCTION("""COMPUTED_VALUE""")," 100% Girado ")</f>
        <v xml:space="preserve"> 100% Girado </v>
      </c>
      <c r="F557" s="17">
        <f ca="1">IFERROR(__xludf.DUMMYFUNCTION("""COMPUTED_VALUE"""),45525)</f>
        <v>45525</v>
      </c>
      <c r="G557" s="16">
        <f ca="1">IFERROR(__xludf.DUMMYFUNCTION("""COMPUTED_VALUE"""),116231479)</f>
        <v>116231479</v>
      </c>
      <c r="H557" s="16" t="str">
        <f ca="1">IFERROR(__xludf.DUMMYFUNCTION("""COMPUTED_VALUE""")," 100% Girado ")</f>
        <v xml:space="preserve"> 100% Girado </v>
      </c>
      <c r="I557" s="16">
        <f ca="1">IFERROR(__xludf.DUMMYFUNCTION("""COMPUTED_VALUE"""),116231479)</f>
        <v>116231479</v>
      </c>
      <c r="J557" s="83" t="s">
        <v>48</v>
      </c>
      <c r="K557" s="16"/>
      <c r="L557" s="16"/>
      <c r="M557" s="16"/>
      <c r="N557" s="19"/>
      <c r="O557" s="19"/>
      <c r="P557" s="19"/>
      <c r="Q557" s="19"/>
      <c r="R557" s="21">
        <f ca="1">IFERROR(__xludf.DUMMYFUNCTION("""COMPUTED_VALUE"""),116231479)</f>
        <v>116231479</v>
      </c>
      <c r="S557" s="19"/>
      <c r="T557" s="19"/>
      <c r="U557" s="19"/>
      <c r="V557" s="19"/>
      <c r="W557" s="20">
        <f ca="1">IFERROR(__xludf.DUMMYFUNCTION("""COMPUTED_VALUE"""),116231479)</f>
        <v>116231479</v>
      </c>
      <c r="X557" s="20" t="str">
        <f ca="1">IFERROR(__xludf.DUMMYFUNCTION("""COMPUTED_VALUE""")," MUNICIPALIDAD DE CARTAGENA ")</f>
        <v xml:space="preserve"> MUNICIPALIDAD DE CARTAGENA </v>
      </c>
    </row>
    <row r="558" spans="1:24" ht="15.75" customHeight="1" x14ac:dyDescent="0.25">
      <c r="A558" s="16" t="str">
        <f ca="1">IFERROR(__xludf.DUMMYFUNCTION("""COMPUTED_VALUE""")," REGIÓN DE VALPARAÍSO ")</f>
        <v xml:space="preserve"> REGIÓN DE VALPARAÍSO </v>
      </c>
      <c r="B558" s="16" t="str">
        <f t="shared" ca="1" si="2"/>
        <v xml:space="preserve"> ALGARROBO </v>
      </c>
      <c r="C558" s="16" t="str">
        <f ca="1">IFERROR(__xludf.DUMMYFUNCTION("""COMPUTED_VALUE""")," REPOSICIÓN SISTEMA DE ILUMINACIÓN Y RECAMBIO DE CIERRE PERIMETRAL ESTADIO EL LITRE ")</f>
        <v xml:space="preserve"> REPOSICIÓN SISTEMA DE ILUMINACIÓN Y RECAMBIO DE CIERRE PERIMETRAL ESTADIO EL LITRE </v>
      </c>
      <c r="D558" s="16" t="str">
        <f ca="1">IFERROR(__xludf.DUMMYFUNCTION("""COMPUTED_VALUE""")," 1-B-2024-220 ")</f>
        <v xml:space="preserve"> 1-B-2024-220 </v>
      </c>
      <c r="E558" s="16" t="str">
        <f ca="1">IFERROR(__xludf.DUMMYFUNCTION("""COMPUTED_VALUE""")," 100% Girado ")</f>
        <v xml:space="preserve"> 100% Girado </v>
      </c>
      <c r="F558" s="17">
        <f ca="1">IFERROR(__xludf.DUMMYFUNCTION("""COMPUTED_VALUE"""),45525)</f>
        <v>45525</v>
      </c>
      <c r="G558" s="16">
        <f ca="1">IFERROR(__xludf.DUMMYFUNCTION("""COMPUTED_VALUE"""),107338418)</f>
        <v>107338418</v>
      </c>
      <c r="H558" s="16" t="str">
        <f ca="1">IFERROR(__xludf.DUMMYFUNCTION("""COMPUTED_VALUE""")," 100% Girado ")</f>
        <v xml:space="preserve"> 100% Girado </v>
      </c>
      <c r="I558" s="16">
        <f ca="1">IFERROR(__xludf.DUMMYFUNCTION("""COMPUTED_VALUE"""),107338418)</f>
        <v>107338418</v>
      </c>
      <c r="J558" s="83" t="s">
        <v>48</v>
      </c>
      <c r="K558" s="16"/>
      <c r="L558" s="16"/>
      <c r="M558" s="16"/>
      <c r="N558" s="19"/>
      <c r="O558" s="19"/>
      <c r="P558" s="19"/>
      <c r="Q558" s="19"/>
      <c r="R558" s="21">
        <f ca="1">IFERROR(__xludf.DUMMYFUNCTION("""COMPUTED_VALUE"""),107338418)</f>
        <v>107338418</v>
      </c>
      <c r="S558" s="19"/>
      <c r="T558" s="19"/>
      <c r="U558" s="19"/>
      <c r="V558" s="19"/>
      <c r="W558" s="20">
        <f ca="1">IFERROR(__xludf.DUMMYFUNCTION("""COMPUTED_VALUE"""),107338418)</f>
        <v>107338418</v>
      </c>
      <c r="X558" s="20" t="str">
        <f ca="1">IFERROR(__xludf.DUMMYFUNCTION("""COMPUTED_VALUE""")," MUNICIPALIDAD DE ALGARROBO ")</f>
        <v xml:space="preserve"> MUNICIPALIDAD DE ALGARROBO </v>
      </c>
    </row>
    <row r="559" spans="1:24" ht="15.75" customHeight="1" x14ac:dyDescent="0.25">
      <c r="A559" s="16" t="str">
        <f ca="1">IFERROR(__xludf.DUMMYFUNCTION("""COMPUTED_VALUE""")," REGIÓN DE VALPARAÍSO ")</f>
        <v xml:space="preserve"> REGIÓN DE VALPARAÍSO </v>
      </c>
      <c r="B559" s="16" t="str">
        <f t="shared" ca="1" si="2"/>
        <v xml:space="preserve"> CATEMU </v>
      </c>
      <c r="C559" s="16" t="str">
        <f ca="1">IFERROR(__xludf.DUMMYFUNCTION("""COMPUTED_VALUE""")," CONSTRUCCION ESPACIO RECREATIVO VILLA LICAN RAY, CATEMU ")</f>
        <v xml:space="preserve"> CONSTRUCCION ESPACIO RECREATIVO VILLA LICAN RAY, CATEMU </v>
      </c>
      <c r="D559" s="16" t="str">
        <f ca="1">IFERROR(__xludf.DUMMYFUNCTION("""COMPUTED_VALUE""")," 1-B-2024-273 ")</f>
        <v xml:space="preserve"> 1-B-2024-273 </v>
      </c>
      <c r="E559" s="16" t="str">
        <f ca="1">IFERROR(__xludf.DUMMYFUNCTION("""COMPUTED_VALUE""")," 100% Girado ")</f>
        <v xml:space="preserve"> 100% Girado </v>
      </c>
      <c r="F559" s="17">
        <f ca="1">IFERROR(__xludf.DUMMYFUNCTION("""COMPUTED_VALUE"""),45503)</f>
        <v>45503</v>
      </c>
      <c r="G559" s="16">
        <f ca="1">IFERROR(__xludf.DUMMYFUNCTION("""COMPUTED_VALUE"""),61772513)</f>
        <v>61772513</v>
      </c>
      <c r="H559" s="16" t="str">
        <f ca="1">IFERROR(__xludf.DUMMYFUNCTION("""COMPUTED_VALUE""")," 100% Girado ")</f>
        <v xml:space="preserve"> 100% Girado </v>
      </c>
      <c r="I559" s="16">
        <f ca="1">IFERROR(__xludf.DUMMYFUNCTION("""COMPUTED_VALUE"""),61772513)</f>
        <v>61772513</v>
      </c>
      <c r="J559" s="83" t="s">
        <v>48</v>
      </c>
      <c r="K559" s="16"/>
      <c r="L559" s="16"/>
      <c r="M559" s="16"/>
      <c r="N559" s="19"/>
      <c r="O559" s="19"/>
      <c r="P559" s="19"/>
      <c r="Q559" s="19"/>
      <c r="R559" s="21">
        <f ca="1">IFERROR(__xludf.DUMMYFUNCTION("""COMPUTED_VALUE"""),61772513)</f>
        <v>61772513</v>
      </c>
      <c r="S559" s="19"/>
      <c r="T559" s="19"/>
      <c r="U559" s="19"/>
      <c r="V559" s="19"/>
      <c r="W559" s="20">
        <f ca="1">IFERROR(__xludf.DUMMYFUNCTION("""COMPUTED_VALUE"""),61772513)</f>
        <v>61772513</v>
      </c>
      <c r="X559" s="20" t="str">
        <f ca="1">IFERROR(__xludf.DUMMYFUNCTION("""COMPUTED_VALUE""")," MUNICIPALIDAD DE CATEMU ")</f>
        <v xml:space="preserve"> MUNICIPALIDAD DE CATEMU </v>
      </c>
    </row>
    <row r="560" spans="1:24" ht="15.75" customHeight="1" x14ac:dyDescent="0.25">
      <c r="A560" s="16" t="str">
        <f ca="1">IFERROR(__xludf.DUMMYFUNCTION("""COMPUTED_VALUE""")," REGIÓN DE VALPARAÍSO ")</f>
        <v xml:space="preserve"> REGIÓN DE VALPARAÍSO </v>
      </c>
      <c r="B560" s="16" t="str">
        <f t="shared" ca="1" si="2"/>
        <v xml:space="preserve"> SAN ESTEBAN </v>
      </c>
      <c r="C560" s="16" t="str">
        <f ca="1">IFERROR(__xludf.DUMMYFUNCTION("""COMPUTED_VALUE""")," CONSERVACIÓN CALLES EL ALGARROBO, TTE. JULIO MONTT Y LOS OLMOS, COMUNA DE SAN ESTEBAN ")</f>
        <v xml:space="preserve"> CONSERVACIÓN CALLES EL ALGARROBO, TTE. JULIO MONTT Y LOS OLMOS, COMUNA DE SAN ESTEBAN </v>
      </c>
      <c r="D560" s="16" t="str">
        <f ca="1">IFERROR(__xludf.DUMMYFUNCTION("""COMPUTED_VALUE""")," 1-B-2024-276 ")</f>
        <v xml:space="preserve"> 1-B-2024-276 </v>
      </c>
      <c r="E560" s="16" t="str">
        <f ca="1">IFERROR(__xludf.DUMMYFUNCTION("""COMPUTED_VALUE""")," 100% Girado ")</f>
        <v xml:space="preserve"> 100% Girado </v>
      </c>
      <c r="F560" s="17">
        <f ca="1">IFERROR(__xludf.DUMMYFUNCTION("""COMPUTED_VALUE"""),45503)</f>
        <v>45503</v>
      </c>
      <c r="G560" s="16">
        <f ca="1">IFERROR(__xludf.DUMMYFUNCTION("""COMPUTED_VALUE"""),109831171)</f>
        <v>109831171</v>
      </c>
      <c r="H560" s="16" t="str">
        <f ca="1">IFERROR(__xludf.DUMMYFUNCTION("""COMPUTED_VALUE""")," 100% Girado ")</f>
        <v xml:space="preserve"> 100% Girado </v>
      </c>
      <c r="I560" s="16">
        <f ca="1">IFERROR(__xludf.DUMMYFUNCTION("""COMPUTED_VALUE"""),109831171)</f>
        <v>109831171</v>
      </c>
      <c r="J560" s="83" t="s">
        <v>48</v>
      </c>
      <c r="K560" s="16"/>
      <c r="L560" s="16"/>
      <c r="M560" s="16"/>
      <c r="N560" s="19"/>
      <c r="O560" s="19"/>
      <c r="P560" s="19"/>
      <c r="Q560" s="19"/>
      <c r="R560" s="21">
        <f ca="1">IFERROR(__xludf.DUMMYFUNCTION("""COMPUTED_VALUE"""),109831171)</f>
        <v>109831171</v>
      </c>
      <c r="S560" s="19"/>
      <c r="T560" s="19"/>
      <c r="U560" s="19"/>
      <c r="V560" s="19"/>
      <c r="W560" s="20">
        <f ca="1">IFERROR(__xludf.DUMMYFUNCTION("""COMPUTED_VALUE"""),109831171)</f>
        <v>109831171</v>
      </c>
      <c r="X560" s="20" t="str">
        <f ca="1">IFERROR(__xludf.DUMMYFUNCTION("""COMPUTED_VALUE""")," MUNICIPALIDAD DE SAN ESTEBAN ")</f>
        <v xml:space="preserve"> MUNICIPALIDAD DE SAN ESTEBAN </v>
      </c>
    </row>
    <row r="561" spans="1:24" ht="15.75" customHeight="1" x14ac:dyDescent="0.25">
      <c r="A561" s="16" t="str">
        <f ca="1">IFERROR(__xludf.DUMMYFUNCTION("""COMPUTED_VALUE""")," REGIÓN DEL LIBERTADOR GENERAL BERNARDO O’HIGGINS ")</f>
        <v xml:space="preserve"> REGIÓN DEL LIBERTADOR GENERAL BERNARDO O’HIGGINS </v>
      </c>
      <c r="B561" s="16" t="str">
        <f t="shared" ca="1" si="2"/>
        <v xml:space="preserve"> NAVIDAD </v>
      </c>
      <c r="C561" s="16" t="str">
        <f ca="1">IFERROR(__xludf.DUMMYFUNCTION("""COMPUTED_VALUE""")," [SATE] REPOSICIÓN CARPETA ASFÁLTICA CALLE ISMAEL RUBIO COMUNA DE NAVIDAD ")</f>
        <v xml:space="preserve"> [SATE] REPOSICIÓN CARPETA ASFÁLTICA CALLE ISMAEL RUBIO COMUNA DE NAVIDAD </v>
      </c>
      <c r="D561" s="16" t="str">
        <f ca="1">IFERROR(__xludf.DUMMYFUNCTION("""COMPUTED_VALUE""")," 1-C-2023-1287 ")</f>
        <v xml:space="preserve"> 1-C-2023-1287 </v>
      </c>
      <c r="E561" s="16" t="str">
        <f ca="1">IFERROR(__xludf.DUMMYFUNCTION("""COMPUTED_VALUE""")," 100% Girado ")</f>
        <v xml:space="preserve"> 100% Girado </v>
      </c>
      <c r="F561" s="17">
        <f ca="1">IFERROR(__xludf.DUMMYFUNCTION("""COMPUTED_VALUE"""),45512)</f>
        <v>45512</v>
      </c>
      <c r="G561" s="16">
        <f ca="1">IFERROR(__xludf.DUMMYFUNCTION("""COMPUTED_VALUE"""),151827704)</f>
        <v>151827704</v>
      </c>
      <c r="H561" s="16" t="str">
        <f ca="1">IFERROR(__xludf.DUMMYFUNCTION("""COMPUTED_VALUE""")," 100% Girado ")</f>
        <v xml:space="preserve"> 100% Girado </v>
      </c>
      <c r="I561" s="16">
        <f ca="1">IFERROR(__xludf.DUMMYFUNCTION("""COMPUTED_VALUE"""),151827704)</f>
        <v>151827704</v>
      </c>
      <c r="J561" s="83" t="s">
        <v>48</v>
      </c>
      <c r="K561" s="16"/>
      <c r="L561" s="16"/>
      <c r="M561" s="16"/>
      <c r="N561" s="19"/>
      <c r="O561" s="19"/>
      <c r="P561" s="19"/>
      <c r="Q561" s="19"/>
      <c r="R561" s="21">
        <f ca="1">IFERROR(__xludf.DUMMYFUNCTION("""COMPUTED_VALUE"""),151827704)</f>
        <v>151827704</v>
      </c>
      <c r="S561" s="19"/>
      <c r="T561" s="19"/>
      <c r="U561" s="19"/>
      <c r="V561" s="19"/>
      <c r="W561" s="20">
        <f ca="1">IFERROR(__xludf.DUMMYFUNCTION("""COMPUTED_VALUE"""),151827704)</f>
        <v>151827704</v>
      </c>
      <c r="X561" s="20" t="str">
        <f ca="1">IFERROR(__xludf.DUMMYFUNCTION("""COMPUTED_VALUE""")," MUNICIPALIDAD DE NAVIDAD ")</f>
        <v xml:space="preserve"> MUNICIPALIDAD DE NAVIDAD </v>
      </c>
    </row>
    <row r="562" spans="1:24" ht="15.75" customHeight="1" x14ac:dyDescent="0.25">
      <c r="A562" s="16" t="str">
        <f ca="1">IFERROR(__xludf.DUMMYFUNCTION("""COMPUTED_VALUE""")," REGIÓN DEL MAULE ")</f>
        <v xml:space="preserve"> REGIÓN DEL MAULE </v>
      </c>
      <c r="B562" s="16" t="str">
        <f t="shared" ca="1" si="2"/>
        <v xml:space="preserve"> PELLUHUE </v>
      </c>
      <c r="C562" s="16" t="str">
        <f ca="1">IFERROR(__xludf.DUMMYFUNCTION("""COMPUTED_VALUE""")," CONSTRUCCION Y REPOSICIÓN VEREDAS SECTOR CARDONAL, COMUNA DE PELLUHUE ")</f>
        <v xml:space="preserve"> CONSTRUCCION Y REPOSICIÓN VEREDAS SECTOR CARDONAL, COMUNA DE PELLUHUE </v>
      </c>
      <c r="D562" s="16" t="str">
        <f ca="1">IFERROR(__xludf.DUMMYFUNCTION("""COMPUTED_VALUE""")," 1-B-2024-54 ")</f>
        <v xml:space="preserve"> 1-B-2024-54 </v>
      </c>
      <c r="E562" s="16" t="str">
        <f ca="1">IFERROR(__xludf.DUMMYFUNCTION("""COMPUTED_VALUE""")," 100% Girado ")</f>
        <v xml:space="preserve"> 100% Girado </v>
      </c>
      <c r="F562" s="17">
        <f ca="1">IFERROR(__xludf.DUMMYFUNCTION("""COMPUTED_VALUE"""),45504)</f>
        <v>45504</v>
      </c>
      <c r="G562" s="16">
        <f ca="1">IFERROR(__xludf.DUMMYFUNCTION("""COMPUTED_VALUE"""),105326610)</f>
        <v>105326610</v>
      </c>
      <c r="H562" s="16" t="str">
        <f ca="1">IFERROR(__xludf.DUMMYFUNCTION("""COMPUTED_VALUE""")," 100% Girado ")</f>
        <v xml:space="preserve"> 100% Girado </v>
      </c>
      <c r="I562" s="16">
        <f ca="1">IFERROR(__xludf.DUMMYFUNCTION("""COMPUTED_VALUE"""),105326610)</f>
        <v>105326610</v>
      </c>
      <c r="J562" s="83" t="s">
        <v>48</v>
      </c>
      <c r="K562" s="16"/>
      <c r="L562" s="16"/>
      <c r="M562" s="16"/>
      <c r="N562" s="19"/>
      <c r="O562" s="19"/>
      <c r="P562" s="19"/>
      <c r="Q562" s="19"/>
      <c r="R562" s="21">
        <f ca="1">IFERROR(__xludf.DUMMYFUNCTION("""COMPUTED_VALUE"""),105326610)</f>
        <v>105326610</v>
      </c>
      <c r="S562" s="19"/>
      <c r="T562" s="19"/>
      <c r="U562" s="19"/>
      <c r="V562" s="19"/>
      <c r="W562" s="20">
        <f ca="1">IFERROR(__xludf.DUMMYFUNCTION("""COMPUTED_VALUE"""),105326610)</f>
        <v>105326610</v>
      </c>
      <c r="X562" s="20" t="str">
        <f ca="1">IFERROR(__xludf.DUMMYFUNCTION("""COMPUTED_VALUE""")," MUNICIPALIDAD DE PELLUHUE ")</f>
        <v xml:space="preserve"> MUNICIPALIDAD DE PELLUHUE </v>
      </c>
    </row>
    <row r="563" spans="1:24" ht="15.75" customHeight="1" x14ac:dyDescent="0.25">
      <c r="A563" s="16" t="str">
        <f ca="1">IFERROR(__xludf.DUMMYFUNCTION("""COMPUTED_VALUE""")," REGIÓN DEL MAULE ")</f>
        <v xml:space="preserve"> REGIÓN DEL MAULE </v>
      </c>
      <c r="B563" s="16" t="str">
        <f t="shared" ca="1" si="2"/>
        <v xml:space="preserve"> YERBAS BUENAS </v>
      </c>
      <c r="C563" s="16" t="str">
        <f ca="1">IFERROR(__xludf.DUMMYFUNCTION("""COMPUTED_VALUE""")," REPOSICION DE VEREDAS SECTOR ABRANQUIL COMUNA DE YERBAS BUENAS ")</f>
        <v xml:space="preserve"> REPOSICION DE VEREDAS SECTOR ABRANQUIL COMUNA DE YERBAS BUENAS </v>
      </c>
      <c r="D563" s="16" t="str">
        <f ca="1">IFERROR(__xludf.DUMMYFUNCTION("""COMPUTED_VALUE""")," 1-B-2024-88 ")</f>
        <v xml:space="preserve"> 1-B-2024-88 </v>
      </c>
      <c r="E563" s="16" t="str">
        <f ca="1">IFERROR(__xludf.DUMMYFUNCTION("""COMPUTED_VALUE""")," 100% Girado ")</f>
        <v xml:space="preserve"> 100% Girado </v>
      </c>
      <c r="F563" s="17">
        <f ca="1">IFERROR(__xludf.DUMMYFUNCTION("""COMPUTED_VALUE"""),45517)</f>
        <v>45517</v>
      </c>
      <c r="G563" s="16">
        <f ca="1">IFERROR(__xludf.DUMMYFUNCTION("""COMPUTED_VALUE"""),125929728)</f>
        <v>125929728</v>
      </c>
      <c r="H563" s="16" t="str">
        <f ca="1">IFERROR(__xludf.DUMMYFUNCTION("""COMPUTED_VALUE""")," 100% Girado ")</f>
        <v xml:space="preserve"> 100% Girado </v>
      </c>
      <c r="I563" s="16">
        <f ca="1">IFERROR(__xludf.DUMMYFUNCTION("""COMPUTED_VALUE"""),125929728)</f>
        <v>125929728</v>
      </c>
      <c r="J563" s="83" t="s">
        <v>48</v>
      </c>
      <c r="K563" s="16"/>
      <c r="L563" s="16"/>
      <c r="M563" s="16"/>
      <c r="N563" s="19"/>
      <c r="O563" s="19"/>
      <c r="P563" s="19"/>
      <c r="Q563" s="19"/>
      <c r="R563" s="21">
        <f ca="1">IFERROR(__xludf.DUMMYFUNCTION("""COMPUTED_VALUE"""),125929728)</f>
        <v>125929728</v>
      </c>
      <c r="S563" s="19"/>
      <c r="T563" s="19"/>
      <c r="U563" s="19"/>
      <c r="V563" s="19"/>
      <c r="W563" s="20">
        <f ca="1">IFERROR(__xludf.DUMMYFUNCTION("""COMPUTED_VALUE"""),125929728)</f>
        <v>125929728</v>
      </c>
      <c r="X563" s="20" t="str">
        <f ca="1">IFERROR(__xludf.DUMMYFUNCTION("""COMPUTED_VALUE""")," MUNICIPALIDAD DE YERBAS BUENAS ")</f>
        <v xml:space="preserve"> MUNICIPALIDAD DE YERBAS BUENAS </v>
      </c>
    </row>
    <row r="564" spans="1:24" ht="15.75" customHeight="1" x14ac:dyDescent="0.25">
      <c r="A564" s="16" t="str">
        <f ca="1">IFERROR(__xludf.DUMMYFUNCTION("""COMPUTED_VALUE""")," REGIÓN DEL MAULE ")</f>
        <v xml:space="preserve"> REGIÓN DEL MAULE </v>
      </c>
      <c r="B564" s="16" t="str">
        <f t="shared" ca="1" si="2"/>
        <v xml:space="preserve"> EMPEDRADO </v>
      </c>
      <c r="C564" s="16" t="str">
        <f ca="1">IFERROR(__xludf.DUMMYFUNCTION("""COMPUTED_VALUE""")," CONSTRUCCIÓN CERCO PERIMETRAL TERRENO MUNICIPAL PROBOSTE COLMENARES, EMPEDRADO ")</f>
        <v xml:space="preserve"> CONSTRUCCIÓN CERCO PERIMETRAL TERRENO MUNICIPAL PROBOSTE COLMENARES, EMPEDRADO </v>
      </c>
      <c r="D564" s="16" t="str">
        <f ca="1">IFERROR(__xludf.DUMMYFUNCTION("""COMPUTED_VALUE""")," 1-B-2024-395 ")</f>
        <v xml:space="preserve"> 1-B-2024-395 </v>
      </c>
      <c r="E564" s="16" t="str">
        <f ca="1">IFERROR(__xludf.DUMMYFUNCTION("""COMPUTED_VALUE""")," 100% Girado ")</f>
        <v xml:space="preserve"> 100% Girado </v>
      </c>
      <c r="F564" s="17">
        <f ca="1">IFERROR(__xludf.DUMMYFUNCTION("""COMPUTED_VALUE"""),45504)</f>
        <v>45504</v>
      </c>
      <c r="G564" s="16">
        <f ca="1">IFERROR(__xludf.DUMMYFUNCTION("""COMPUTED_VALUE"""),125929730)</f>
        <v>125929730</v>
      </c>
      <c r="H564" s="16" t="str">
        <f ca="1">IFERROR(__xludf.DUMMYFUNCTION("""COMPUTED_VALUE""")," 100% Girado ")</f>
        <v xml:space="preserve"> 100% Girado </v>
      </c>
      <c r="I564" s="16">
        <f ca="1">IFERROR(__xludf.DUMMYFUNCTION("""COMPUTED_VALUE"""),125929730)</f>
        <v>125929730</v>
      </c>
      <c r="J564" s="83" t="s">
        <v>48</v>
      </c>
      <c r="K564" s="16"/>
      <c r="L564" s="16"/>
      <c r="M564" s="16"/>
      <c r="N564" s="19"/>
      <c r="O564" s="19"/>
      <c r="P564" s="19"/>
      <c r="Q564" s="19"/>
      <c r="R564" s="21">
        <f ca="1">IFERROR(__xludf.DUMMYFUNCTION("""COMPUTED_VALUE"""),125929730)</f>
        <v>125929730</v>
      </c>
      <c r="S564" s="19"/>
      <c r="T564" s="19"/>
      <c r="U564" s="19"/>
      <c r="V564" s="19"/>
      <c r="W564" s="20">
        <f ca="1">IFERROR(__xludf.DUMMYFUNCTION("""COMPUTED_VALUE"""),125929730)</f>
        <v>125929730</v>
      </c>
      <c r="X564" s="20" t="str">
        <f ca="1">IFERROR(__xludf.DUMMYFUNCTION("""COMPUTED_VALUE""")," MUNICIPALIDAD DE EMPEDRADO ")</f>
        <v xml:space="preserve"> MUNICIPALIDAD DE EMPEDRADO </v>
      </c>
    </row>
    <row r="565" spans="1:24" ht="15.75" customHeight="1" x14ac:dyDescent="0.25">
      <c r="A565" s="16" t="str">
        <f ca="1">IFERROR(__xludf.DUMMYFUNCTION("""COMPUTED_VALUE""")," REGIÓN DEL BIOBÍO ")</f>
        <v xml:space="preserve"> REGIÓN DEL BIOBÍO </v>
      </c>
      <c r="B565" s="16" t="str">
        <f t="shared" ca="1" si="2"/>
        <v xml:space="preserve"> ALTO BIOBÍO </v>
      </c>
      <c r="C565" s="16" t="str">
        <f ca="1">IFERROR(__xludf.DUMMYFUNCTION("""COMPUTED_VALUE""")," REPOSICION PUENTE COMUNIDAD MALLA MALLA ALTO BIOBIO ")</f>
        <v xml:space="preserve"> REPOSICION PUENTE COMUNIDAD MALLA MALLA ALTO BIOBIO </v>
      </c>
      <c r="D565" s="16" t="str">
        <f ca="1">IFERROR(__xludf.DUMMYFUNCTION("""COMPUTED_VALUE""")," 1-C-2023-2076 ")</f>
        <v xml:space="preserve"> 1-C-2023-2076 </v>
      </c>
      <c r="E565" s="16" t="str">
        <f ca="1">IFERROR(__xludf.DUMMYFUNCTION("""COMPUTED_VALUE""")," Con Giro por Anticipo ")</f>
        <v xml:space="preserve"> Con Giro por Anticipo </v>
      </c>
      <c r="F565" s="17">
        <f ca="1">IFERROR(__xludf.DUMMYFUNCTION("""COMPUTED_VALUE"""),45513)</f>
        <v>45513</v>
      </c>
      <c r="G565" s="16">
        <f ca="1">IFERROR(__xludf.DUMMYFUNCTION("""COMPUTED_VALUE"""),160786547)</f>
        <v>160786547</v>
      </c>
      <c r="H565" s="16" t="str">
        <f ca="1">IFERROR(__xludf.DUMMYFUNCTION("""COMPUTED_VALUE""")," Con Giro por Anticipo ")</f>
        <v xml:space="preserve"> Con Giro por Anticipo </v>
      </c>
      <c r="I565" s="16">
        <f ca="1">IFERROR(__xludf.DUMMYFUNCTION("""COMPUTED_VALUE"""),80393274)</f>
        <v>80393274</v>
      </c>
      <c r="J565" s="83" t="s">
        <v>48</v>
      </c>
      <c r="K565" s="16"/>
      <c r="L565" s="16"/>
      <c r="M565" s="16"/>
      <c r="N565" s="19"/>
      <c r="O565" s="19"/>
      <c r="P565" s="19"/>
      <c r="Q565" s="19"/>
      <c r="R565" s="21">
        <f ca="1">IFERROR(__xludf.DUMMYFUNCTION("""COMPUTED_VALUE"""),80393274)</f>
        <v>80393274</v>
      </c>
      <c r="S565" s="19"/>
      <c r="T565" s="19"/>
      <c r="U565" s="19"/>
      <c r="V565" s="19"/>
      <c r="W565" s="20">
        <f ca="1">IFERROR(__xludf.DUMMYFUNCTION("""COMPUTED_VALUE"""),80393274)</f>
        <v>80393274</v>
      </c>
      <c r="X565" s="20" t="str">
        <f ca="1">IFERROR(__xludf.DUMMYFUNCTION("""COMPUTED_VALUE""")," MUNICIPALIDAD DE ALTO BIOBÍO ")</f>
        <v xml:space="preserve"> MUNICIPALIDAD DE ALTO BIOBÍO </v>
      </c>
    </row>
    <row r="566" spans="1:24" ht="15.75" customHeight="1" x14ac:dyDescent="0.25">
      <c r="A566" s="16" t="str">
        <f ca="1">IFERROR(__xludf.DUMMYFUNCTION("""COMPUTED_VALUE""")," REGIÓN DEL BIOBÍO ")</f>
        <v xml:space="preserve"> REGIÓN DEL BIOBÍO </v>
      </c>
      <c r="B566" s="16" t="str">
        <f t="shared" ca="1" si="2"/>
        <v xml:space="preserve"> ALTO BIOBÍO </v>
      </c>
      <c r="C566" s="16" t="str">
        <f ca="1">IFERROR(__xludf.DUMMYFUNCTION("""COMPUTED_VALUE""")," CONSTRUCCION PASARELA CAUÑICU ALTO BIOBIO ")</f>
        <v xml:space="preserve"> CONSTRUCCION PASARELA CAUÑICU ALTO BIOBIO </v>
      </c>
      <c r="D566" s="16" t="str">
        <f ca="1">IFERROR(__xludf.DUMMYFUNCTION("""COMPUTED_VALUE""")," 1-C-2023-2077 ")</f>
        <v xml:space="preserve"> 1-C-2023-2077 </v>
      </c>
      <c r="E566" s="16" t="str">
        <f ca="1">IFERROR(__xludf.DUMMYFUNCTION("""COMPUTED_VALUE""")," Con Giro por Anticipo ")</f>
        <v xml:space="preserve"> Con Giro por Anticipo </v>
      </c>
      <c r="F566" s="17">
        <f ca="1">IFERROR(__xludf.DUMMYFUNCTION("""COMPUTED_VALUE"""),45513)</f>
        <v>45513</v>
      </c>
      <c r="G566" s="16">
        <f ca="1">IFERROR(__xludf.DUMMYFUNCTION("""COMPUTED_VALUE"""),160404346)</f>
        <v>160404346</v>
      </c>
      <c r="H566" s="16" t="str">
        <f ca="1">IFERROR(__xludf.DUMMYFUNCTION("""COMPUTED_VALUE""")," Con Giro por Anticipo ")</f>
        <v xml:space="preserve"> Con Giro por Anticipo </v>
      </c>
      <c r="I566" s="16">
        <f ca="1">IFERROR(__xludf.DUMMYFUNCTION("""COMPUTED_VALUE"""),80202173)</f>
        <v>80202173</v>
      </c>
      <c r="J566" s="83" t="s">
        <v>48</v>
      </c>
      <c r="K566" s="16"/>
      <c r="L566" s="16"/>
      <c r="M566" s="16"/>
      <c r="N566" s="19"/>
      <c r="O566" s="19"/>
      <c r="P566" s="19"/>
      <c r="Q566" s="19"/>
      <c r="R566" s="21">
        <f ca="1">IFERROR(__xludf.DUMMYFUNCTION("""COMPUTED_VALUE"""),80202173)</f>
        <v>80202173</v>
      </c>
      <c r="S566" s="19"/>
      <c r="T566" s="19"/>
      <c r="U566" s="19"/>
      <c r="V566" s="19"/>
      <c r="W566" s="20">
        <f ca="1">IFERROR(__xludf.DUMMYFUNCTION("""COMPUTED_VALUE"""),80202173)</f>
        <v>80202173</v>
      </c>
      <c r="X566" s="20" t="str">
        <f ca="1">IFERROR(__xludf.DUMMYFUNCTION("""COMPUTED_VALUE""")," MUNICIPALIDAD DE ALTO BIOBÍO ")</f>
        <v xml:space="preserve"> MUNICIPALIDAD DE ALTO BIOBÍO </v>
      </c>
    </row>
    <row r="567" spans="1:24" ht="15.75" customHeight="1" x14ac:dyDescent="0.25">
      <c r="A567" s="16" t="str">
        <f ca="1">IFERROR(__xludf.DUMMYFUNCTION("""COMPUTED_VALUE""")," REGIÓN DEL BIOBÍO ")</f>
        <v xml:space="preserve"> REGIÓN DEL BIOBÍO </v>
      </c>
      <c r="B567" s="16" t="str">
        <f t="shared" ca="1" si="2"/>
        <v xml:space="preserve"> CONCEPCIÓN </v>
      </c>
      <c r="C567" s="16" t="str">
        <f ca="1">IFERROR(__xludf.DUMMYFUNCTION("""COMPUTED_VALUE""")," MEJORAMIENTO RECINTO DEPORTIVO CHAIMÁVIDA ")</f>
        <v xml:space="preserve"> MEJORAMIENTO RECINTO DEPORTIVO CHAIMÁVIDA </v>
      </c>
      <c r="D567" s="16" t="str">
        <f ca="1">IFERROR(__xludf.DUMMYFUNCTION("""COMPUTED_VALUE""")," 1-C-2023-2782 ")</f>
        <v xml:space="preserve"> 1-C-2023-2782 </v>
      </c>
      <c r="E567" s="16" t="str">
        <f ca="1">IFERROR(__xludf.DUMMYFUNCTION("""COMPUTED_VALUE""")," 100% Girado ")</f>
        <v xml:space="preserve"> 100% Girado </v>
      </c>
      <c r="F567" s="17">
        <f ca="1">IFERROR(__xludf.DUMMYFUNCTION("""COMPUTED_VALUE"""),45504)</f>
        <v>45504</v>
      </c>
      <c r="G567" s="16">
        <f ca="1">IFERROR(__xludf.DUMMYFUNCTION("""COMPUTED_VALUE"""),153619196)</f>
        <v>153619196</v>
      </c>
      <c r="H567" s="16" t="str">
        <f ca="1">IFERROR(__xludf.DUMMYFUNCTION("""COMPUTED_VALUE""")," 100% Girado ")</f>
        <v xml:space="preserve"> 100% Girado </v>
      </c>
      <c r="I567" s="16">
        <f ca="1">IFERROR(__xludf.DUMMYFUNCTION("""COMPUTED_VALUE"""),153619196)</f>
        <v>153619196</v>
      </c>
      <c r="J567" s="83" t="s">
        <v>48</v>
      </c>
      <c r="K567" s="16"/>
      <c r="L567" s="16"/>
      <c r="M567" s="16"/>
      <c r="N567" s="19"/>
      <c r="O567" s="19"/>
      <c r="P567" s="19"/>
      <c r="Q567" s="19"/>
      <c r="R567" s="21">
        <f ca="1">IFERROR(__xludf.DUMMYFUNCTION("""COMPUTED_VALUE"""),153619196)</f>
        <v>153619196</v>
      </c>
      <c r="S567" s="19"/>
      <c r="T567" s="19"/>
      <c r="U567" s="19"/>
      <c r="V567" s="19"/>
      <c r="W567" s="20">
        <f ca="1">IFERROR(__xludf.DUMMYFUNCTION("""COMPUTED_VALUE"""),153619196)</f>
        <v>153619196</v>
      </c>
      <c r="X567" s="20" t="str">
        <f ca="1">IFERROR(__xludf.DUMMYFUNCTION("""COMPUTED_VALUE""")," MUNICIPALIDAD DE CONCEPCIÓN ")</f>
        <v xml:space="preserve"> MUNICIPALIDAD DE CONCEPCIÓN </v>
      </c>
    </row>
    <row r="568" spans="1:24" ht="15.75" customHeight="1" x14ac:dyDescent="0.25">
      <c r="A568" s="16" t="str">
        <f ca="1">IFERROR(__xludf.DUMMYFUNCTION("""COMPUTED_VALUE""")," REGIÓN DEL BIOBÍO ")</f>
        <v xml:space="preserve"> REGIÓN DEL BIOBÍO </v>
      </c>
      <c r="B568" s="16" t="str">
        <f t="shared" ca="1" si="2"/>
        <v xml:space="preserve"> ALTO BIOBÍO </v>
      </c>
      <c r="C568" s="16" t="str">
        <f ca="1">IFERROR(__xludf.DUMMYFUNCTION("""COMPUTED_VALUE""")," CONSTRUCCION PUENTE Y MEJORAMIENTO PASARELA COMUNIDAD DE BUTALELBUN ")</f>
        <v xml:space="preserve"> CONSTRUCCION PUENTE Y MEJORAMIENTO PASARELA COMUNIDAD DE BUTALELBUN </v>
      </c>
      <c r="D568" s="16" t="str">
        <f ca="1">IFERROR(__xludf.DUMMYFUNCTION("""COMPUTED_VALUE""")," 1-C-2023-3162 ")</f>
        <v xml:space="preserve"> 1-C-2023-3162 </v>
      </c>
      <c r="E568" s="16" t="str">
        <f ca="1">IFERROR(__xludf.DUMMYFUNCTION("""COMPUTED_VALUE""")," 100% Girado ")</f>
        <v xml:space="preserve"> 100% Girado </v>
      </c>
      <c r="F568" s="17">
        <f ca="1">IFERROR(__xludf.DUMMYFUNCTION("""COMPUTED_VALUE"""),45503)</f>
        <v>45503</v>
      </c>
      <c r="G568" s="16">
        <f ca="1">IFERROR(__xludf.DUMMYFUNCTION("""COMPUTED_VALUE"""),90030509)</f>
        <v>90030509</v>
      </c>
      <c r="H568" s="16" t="str">
        <f ca="1">IFERROR(__xludf.DUMMYFUNCTION("""COMPUTED_VALUE""")," 100% Girado ")</f>
        <v xml:space="preserve"> 100% Girado </v>
      </c>
      <c r="I568" s="16">
        <f ca="1">IFERROR(__xludf.DUMMYFUNCTION("""COMPUTED_VALUE"""),90030509)</f>
        <v>90030509</v>
      </c>
      <c r="J568" s="83" t="s">
        <v>48</v>
      </c>
      <c r="K568" s="16"/>
      <c r="L568" s="16"/>
      <c r="M568" s="16"/>
      <c r="N568" s="19"/>
      <c r="O568" s="19"/>
      <c r="P568" s="19"/>
      <c r="Q568" s="19"/>
      <c r="R568" s="21">
        <f ca="1">IFERROR(__xludf.DUMMYFUNCTION("""COMPUTED_VALUE"""),90030509)</f>
        <v>90030509</v>
      </c>
      <c r="S568" s="19"/>
      <c r="T568" s="19"/>
      <c r="U568" s="19"/>
      <c r="V568" s="19"/>
      <c r="W568" s="20">
        <f ca="1">IFERROR(__xludf.DUMMYFUNCTION("""COMPUTED_VALUE"""),90030509)</f>
        <v>90030509</v>
      </c>
      <c r="X568" s="20" t="str">
        <f ca="1">IFERROR(__xludf.DUMMYFUNCTION("""COMPUTED_VALUE""")," MUNICIPALIDAD DE ALTO BIOBÍO ")</f>
        <v xml:space="preserve"> MUNICIPALIDAD DE ALTO BIOBÍO </v>
      </c>
    </row>
    <row r="569" spans="1:24" ht="15.75" customHeight="1" x14ac:dyDescent="0.25">
      <c r="A569" s="16" t="str">
        <f ca="1">IFERROR(__xludf.DUMMYFUNCTION("""COMPUTED_VALUE""")," REGIÓN DEL BIOBÍO ")</f>
        <v xml:space="preserve"> REGIÓN DEL BIOBÍO </v>
      </c>
      <c r="B569" s="16" t="str">
        <f t="shared" ca="1" si="2"/>
        <v xml:space="preserve"> CURANILAHUE </v>
      </c>
      <c r="C569" s="16" t="str">
        <f ca="1">IFERROR(__xludf.DUMMYFUNCTION("""COMPUTED_VALUE""")," MEJORAMIENTO ENTORNO ESCALERA MARTÍNEZ DE ROZAS ENTRE CALLE SARGENTO ALDEA Y PASAJE CRUZ BAJA ")</f>
        <v xml:space="preserve"> MEJORAMIENTO ENTORNO ESCALERA MARTÍNEZ DE ROZAS ENTRE CALLE SARGENTO ALDEA Y PASAJE CRUZ BAJA </v>
      </c>
      <c r="D569" s="16" t="str">
        <f ca="1">IFERROR(__xludf.DUMMYFUNCTION("""COMPUTED_VALUE""")," 1-B-2024-193 ")</f>
        <v xml:space="preserve"> 1-B-2024-193 </v>
      </c>
      <c r="E569" s="16" t="str">
        <f ca="1">IFERROR(__xludf.DUMMYFUNCTION("""COMPUTED_VALUE""")," 100% Girado ")</f>
        <v xml:space="preserve"> 100% Girado </v>
      </c>
      <c r="F569" s="17">
        <f ca="1">IFERROR(__xludf.DUMMYFUNCTION("""COMPUTED_VALUE"""),45504)</f>
        <v>45504</v>
      </c>
      <c r="G569" s="16">
        <f ca="1">IFERROR(__xludf.DUMMYFUNCTION("""COMPUTED_VALUE"""),156756518)</f>
        <v>156756518</v>
      </c>
      <c r="H569" s="16" t="str">
        <f ca="1">IFERROR(__xludf.DUMMYFUNCTION("""COMPUTED_VALUE""")," 100% Girado ")</f>
        <v xml:space="preserve"> 100% Girado </v>
      </c>
      <c r="I569" s="16">
        <f ca="1">IFERROR(__xludf.DUMMYFUNCTION("""COMPUTED_VALUE"""),156756518)</f>
        <v>156756518</v>
      </c>
      <c r="J569" s="83" t="s">
        <v>48</v>
      </c>
      <c r="K569" s="16"/>
      <c r="L569" s="16"/>
      <c r="M569" s="16"/>
      <c r="N569" s="19"/>
      <c r="O569" s="19"/>
      <c r="P569" s="19"/>
      <c r="Q569" s="19"/>
      <c r="R569" s="21">
        <f ca="1">IFERROR(__xludf.DUMMYFUNCTION("""COMPUTED_VALUE"""),156756518)</f>
        <v>156756518</v>
      </c>
      <c r="S569" s="19"/>
      <c r="T569" s="19"/>
      <c r="U569" s="19"/>
      <c r="V569" s="19"/>
      <c r="W569" s="20">
        <f ca="1">IFERROR(__xludf.DUMMYFUNCTION("""COMPUTED_VALUE"""),156756518)</f>
        <v>156756518</v>
      </c>
      <c r="X569" s="20" t="str">
        <f ca="1">IFERROR(__xludf.DUMMYFUNCTION("""COMPUTED_VALUE""")," MUNICIPALIDAD DE CURANILAHUE ")</f>
        <v xml:space="preserve"> MUNICIPALIDAD DE CURANILAHUE </v>
      </c>
    </row>
    <row r="570" spans="1:24" ht="15.75" customHeight="1" x14ac:dyDescent="0.25">
      <c r="A570" s="16" t="str">
        <f ca="1">IFERROR(__xludf.DUMMYFUNCTION("""COMPUTED_VALUE""")," REGIÓN DEL BIOBÍO ")</f>
        <v xml:space="preserve"> REGIÓN DEL BIOBÍO </v>
      </c>
      <c r="B570" s="16" t="str">
        <f t="shared" ca="1" si="2"/>
        <v xml:space="preserve"> CURANILAHUE </v>
      </c>
      <c r="C570" s="16" t="str">
        <f ca="1">IFERROR(__xludf.DUMMYFUNCTION("""COMPUTED_VALUE""")," REPOSICIÓN VEREDAS E INSTALACIÓN DE VALLAS PEATONALES PASAJE PEDRO LAGOS ")</f>
        <v xml:space="preserve"> REPOSICIÓN VEREDAS E INSTALACIÓN DE VALLAS PEATONALES PASAJE PEDRO LAGOS </v>
      </c>
      <c r="D570" s="16" t="str">
        <f ca="1">IFERROR(__xludf.DUMMYFUNCTION("""COMPUTED_VALUE""")," 1-B-2024-202 ")</f>
        <v xml:space="preserve"> 1-B-2024-202 </v>
      </c>
      <c r="E570" s="16" t="str">
        <f ca="1">IFERROR(__xludf.DUMMYFUNCTION("""COMPUTED_VALUE""")," 100% Girado ")</f>
        <v xml:space="preserve"> 100% Girado </v>
      </c>
      <c r="F570" s="17">
        <f ca="1">IFERROR(__xludf.DUMMYFUNCTION("""COMPUTED_VALUE"""),45504)</f>
        <v>45504</v>
      </c>
      <c r="G570" s="16">
        <f ca="1">IFERROR(__xludf.DUMMYFUNCTION("""COMPUTED_VALUE"""),151983560)</f>
        <v>151983560</v>
      </c>
      <c r="H570" s="16" t="str">
        <f ca="1">IFERROR(__xludf.DUMMYFUNCTION("""COMPUTED_VALUE""")," 100% Girado ")</f>
        <v xml:space="preserve"> 100% Girado </v>
      </c>
      <c r="I570" s="16">
        <f ca="1">IFERROR(__xludf.DUMMYFUNCTION("""COMPUTED_VALUE"""),151983560)</f>
        <v>151983560</v>
      </c>
      <c r="J570" s="83" t="s">
        <v>48</v>
      </c>
      <c r="K570" s="16"/>
      <c r="L570" s="16"/>
      <c r="M570" s="16"/>
      <c r="N570" s="19"/>
      <c r="O570" s="19"/>
      <c r="P570" s="19"/>
      <c r="Q570" s="19"/>
      <c r="R570" s="21">
        <f ca="1">IFERROR(__xludf.DUMMYFUNCTION("""COMPUTED_VALUE"""),151983560)</f>
        <v>151983560</v>
      </c>
      <c r="S570" s="19"/>
      <c r="T570" s="19"/>
      <c r="U570" s="19"/>
      <c r="V570" s="19"/>
      <c r="W570" s="20">
        <f ca="1">IFERROR(__xludf.DUMMYFUNCTION("""COMPUTED_VALUE"""),151983560)</f>
        <v>151983560</v>
      </c>
      <c r="X570" s="20" t="str">
        <f ca="1">IFERROR(__xludf.DUMMYFUNCTION("""COMPUTED_VALUE""")," MUNICIPALIDAD DE CURANILAHUE ")</f>
        <v xml:space="preserve"> MUNICIPALIDAD DE CURANILAHUE </v>
      </c>
    </row>
    <row r="571" spans="1:24" ht="15.75" customHeight="1" x14ac:dyDescent="0.25">
      <c r="A571" s="16" t="str">
        <f ca="1">IFERROR(__xludf.DUMMYFUNCTION("""COMPUTED_VALUE""")," REGIÓN DEL BIOBÍO ")</f>
        <v xml:space="preserve"> REGIÓN DEL BIOBÍO </v>
      </c>
      <c r="B571" s="16" t="str">
        <f t="shared" ca="1" si="2"/>
        <v xml:space="preserve"> CURANILAHUE </v>
      </c>
      <c r="C571" s="16" t="str">
        <f ca="1">IFERROR(__xludf.DUMMYFUNCTION("""COMPUTED_VALUE""")," MEJORAMIENTO ZONA DE JUEGOS INFANTILES FRENTE A ESCUELA GABRIELA MISTRAL ")</f>
        <v xml:space="preserve"> MEJORAMIENTO ZONA DE JUEGOS INFANTILES FRENTE A ESCUELA GABRIELA MISTRAL </v>
      </c>
      <c r="D571" s="16" t="str">
        <f ca="1">IFERROR(__xludf.DUMMYFUNCTION("""COMPUTED_VALUE""")," 1-B-2024-203 ")</f>
        <v xml:space="preserve"> 1-B-2024-203 </v>
      </c>
      <c r="E571" s="16" t="str">
        <f ca="1">IFERROR(__xludf.DUMMYFUNCTION("""COMPUTED_VALUE""")," 100% Girado ")</f>
        <v xml:space="preserve"> 100% Girado </v>
      </c>
      <c r="F571" s="17">
        <f ca="1">IFERROR(__xludf.DUMMYFUNCTION("""COMPUTED_VALUE"""),45504)</f>
        <v>45504</v>
      </c>
      <c r="G571" s="16">
        <f ca="1">IFERROR(__xludf.DUMMYFUNCTION("""COMPUTED_VALUE"""),152167260)</f>
        <v>152167260</v>
      </c>
      <c r="H571" s="16" t="str">
        <f ca="1">IFERROR(__xludf.DUMMYFUNCTION("""COMPUTED_VALUE""")," 100% Girado ")</f>
        <v xml:space="preserve"> 100% Girado </v>
      </c>
      <c r="I571" s="16">
        <f ca="1">IFERROR(__xludf.DUMMYFUNCTION("""COMPUTED_VALUE"""),152167260)</f>
        <v>152167260</v>
      </c>
      <c r="J571" s="83" t="s">
        <v>48</v>
      </c>
      <c r="K571" s="16"/>
      <c r="L571" s="16"/>
      <c r="M571" s="16"/>
      <c r="N571" s="19"/>
      <c r="O571" s="19"/>
      <c r="P571" s="19"/>
      <c r="Q571" s="19"/>
      <c r="R571" s="21">
        <f ca="1">IFERROR(__xludf.DUMMYFUNCTION("""COMPUTED_VALUE"""),152167260)</f>
        <v>152167260</v>
      </c>
      <c r="S571" s="19"/>
      <c r="T571" s="19"/>
      <c r="U571" s="19"/>
      <c r="V571" s="19"/>
      <c r="W571" s="20">
        <f ca="1">IFERROR(__xludf.DUMMYFUNCTION("""COMPUTED_VALUE"""),152167260)</f>
        <v>152167260</v>
      </c>
      <c r="X571" s="20" t="str">
        <f ca="1">IFERROR(__xludf.DUMMYFUNCTION("""COMPUTED_VALUE""")," MUNICIPALIDAD DE CURANILAHUE ")</f>
        <v xml:space="preserve"> MUNICIPALIDAD DE CURANILAHUE </v>
      </c>
    </row>
    <row r="572" spans="1:24" ht="15.75" customHeight="1" x14ac:dyDescent="0.25">
      <c r="A572" s="16" t="str">
        <f ca="1">IFERROR(__xludf.DUMMYFUNCTION("""COMPUTED_VALUE""")," REGIÓN DEL BIOBÍO ")</f>
        <v xml:space="preserve"> REGIÓN DEL BIOBÍO </v>
      </c>
      <c r="B572" s="16" t="str">
        <f t="shared" ca="1" si="2"/>
        <v xml:space="preserve"> PENCO </v>
      </c>
      <c r="C572" s="16" t="str">
        <f ca="1">IFERROR(__xludf.DUMMYFUNCTION("""COMPUTED_VALUE""")," CONSTRUCCION MURO DE CONTENCION,CALLE LOS SAUCES ESQUINA R.SCHNEIDER, POBLACION SANTA ROSA ")</f>
        <v xml:space="preserve"> CONSTRUCCION MURO DE CONTENCION,CALLE LOS SAUCES ESQUINA R.SCHNEIDER, POBLACION SANTA ROSA </v>
      </c>
      <c r="D572" s="16" t="str">
        <f ca="1">IFERROR(__xludf.DUMMYFUNCTION("""COMPUTED_VALUE""")," 1-K-2024-17 ")</f>
        <v xml:space="preserve"> 1-K-2024-17 </v>
      </c>
      <c r="E572" s="16" t="str">
        <f ca="1">IFERROR(__xludf.DUMMYFUNCTION("""COMPUTED_VALUE""")," En Ejecución ")</f>
        <v xml:space="preserve"> En Ejecución </v>
      </c>
      <c r="F572" s="17">
        <f ca="1">IFERROR(__xludf.DUMMYFUNCTION("""COMPUTED_VALUE"""),45504)</f>
        <v>45504</v>
      </c>
      <c r="G572" s="16">
        <f ca="1">IFERROR(__xludf.DUMMYFUNCTION("""COMPUTED_VALUE"""),92148134)</f>
        <v>92148134</v>
      </c>
      <c r="H572" s="16" t="str">
        <f ca="1">IFERROR(__xludf.DUMMYFUNCTION("""COMPUTED_VALUE""")," En Ejecución ")</f>
        <v xml:space="preserve"> En Ejecución </v>
      </c>
      <c r="I572" s="16">
        <f ca="1">IFERROR(__xludf.DUMMYFUNCTION("""COMPUTED_VALUE"""),46074067)</f>
        <v>46074067</v>
      </c>
      <c r="J572" s="83" t="s">
        <v>48</v>
      </c>
      <c r="K572" s="16"/>
      <c r="L572" s="16"/>
      <c r="M572" s="16"/>
      <c r="N572" s="19"/>
      <c r="O572" s="19"/>
      <c r="P572" s="19"/>
      <c r="Q572" s="19"/>
      <c r="R572" s="21">
        <f ca="1">IFERROR(__xludf.DUMMYFUNCTION("""COMPUTED_VALUE"""),46074067)</f>
        <v>46074067</v>
      </c>
      <c r="S572" s="19"/>
      <c r="T572" s="19"/>
      <c r="U572" s="19"/>
      <c r="V572" s="19"/>
      <c r="W572" s="20">
        <f ca="1">IFERROR(__xludf.DUMMYFUNCTION("""COMPUTED_VALUE"""),46074067)</f>
        <v>46074067</v>
      </c>
      <c r="X572" s="20" t="str">
        <f ca="1">IFERROR(__xludf.DUMMYFUNCTION("""COMPUTED_VALUE""")," MUNICIPALIDAD DE PENCO ")</f>
        <v xml:space="preserve"> MUNICIPALIDAD DE PENCO </v>
      </c>
    </row>
    <row r="573" spans="1:24" ht="15.75" customHeight="1" x14ac:dyDescent="0.25">
      <c r="A573" s="16" t="str">
        <f ca="1">IFERROR(__xludf.DUMMYFUNCTION("""COMPUTED_VALUE""")," REGIÓN DEL BIOBÍO ")</f>
        <v xml:space="preserve"> REGIÓN DEL BIOBÍO </v>
      </c>
      <c r="B573" s="16" t="str">
        <f t="shared" ca="1" si="2"/>
        <v xml:space="preserve"> PENCO </v>
      </c>
      <c r="C573" s="16" t="str">
        <f ca="1">IFERROR(__xludf.DUMMYFUNCTION("""COMPUTED_VALUE""")," REPOSICION DE ACERAS, CALLE ROBLES ENTRE OHIGGINS Y CARRERA (ACERA NORTE) ")</f>
        <v xml:space="preserve"> REPOSICION DE ACERAS, CALLE ROBLES ENTRE OHIGGINS Y CARRERA (ACERA NORTE) </v>
      </c>
      <c r="D573" s="16" t="str">
        <f ca="1">IFERROR(__xludf.DUMMYFUNCTION("""COMPUTED_VALUE""")," 1-K-2024-18 ")</f>
        <v xml:space="preserve"> 1-K-2024-18 </v>
      </c>
      <c r="E573" s="16" t="str">
        <f ca="1">IFERROR(__xludf.DUMMYFUNCTION("""COMPUTED_VALUE""")," En Ejecución ")</f>
        <v xml:space="preserve"> En Ejecución </v>
      </c>
      <c r="F573" s="17">
        <f ca="1">IFERROR(__xludf.DUMMYFUNCTION("""COMPUTED_VALUE"""),45504)</f>
        <v>45504</v>
      </c>
      <c r="G573" s="16">
        <f ca="1">IFERROR(__xludf.DUMMYFUNCTION("""COMPUTED_VALUE"""),80988635)</f>
        <v>80988635</v>
      </c>
      <c r="H573" s="16" t="str">
        <f ca="1">IFERROR(__xludf.DUMMYFUNCTION("""COMPUTED_VALUE""")," En Ejecución ")</f>
        <v xml:space="preserve"> En Ejecución </v>
      </c>
      <c r="I573" s="16">
        <f ca="1">IFERROR(__xludf.DUMMYFUNCTION("""COMPUTED_VALUE"""),40494318)</f>
        <v>40494318</v>
      </c>
      <c r="J573" s="83" t="s">
        <v>48</v>
      </c>
      <c r="K573" s="16"/>
      <c r="L573" s="16"/>
      <c r="M573" s="16"/>
      <c r="N573" s="19"/>
      <c r="O573" s="19"/>
      <c r="P573" s="19"/>
      <c r="Q573" s="19"/>
      <c r="R573" s="21">
        <f ca="1">IFERROR(__xludf.DUMMYFUNCTION("""COMPUTED_VALUE"""),40494318)</f>
        <v>40494318</v>
      </c>
      <c r="S573" s="19"/>
      <c r="T573" s="19"/>
      <c r="U573" s="19"/>
      <c r="V573" s="19"/>
      <c r="W573" s="20">
        <f ca="1">IFERROR(__xludf.DUMMYFUNCTION("""COMPUTED_VALUE"""),40494318)</f>
        <v>40494318</v>
      </c>
      <c r="X573" s="20" t="str">
        <f ca="1">IFERROR(__xludf.DUMMYFUNCTION("""COMPUTED_VALUE""")," MUNICIPALIDAD DE PENCO ")</f>
        <v xml:space="preserve"> MUNICIPALIDAD DE PENCO </v>
      </c>
    </row>
    <row r="574" spans="1:24" ht="15.75" customHeight="1" x14ac:dyDescent="0.25">
      <c r="A574" s="16" t="str">
        <f ca="1">IFERROR(__xludf.DUMMYFUNCTION("""COMPUTED_VALUE""")," REGIÓN DEL BIOBÍO ")</f>
        <v xml:space="preserve"> REGIÓN DEL BIOBÍO </v>
      </c>
      <c r="B574" s="16" t="str">
        <f t="shared" ca="1" si="2"/>
        <v xml:space="preserve"> PENCO </v>
      </c>
      <c r="C574" s="16" t="str">
        <f ca="1">IFERROR(__xludf.DUMMYFUNCTION("""COMPUTED_VALUE""")," RECUPERACION DE AREA VERDE,DESDE PASARELA A PSJE.SAN ANDRES, POBLACION SAN JORGE ")</f>
        <v xml:space="preserve"> RECUPERACION DE AREA VERDE,DESDE PASARELA A PSJE.SAN ANDRES, POBLACION SAN JORGE </v>
      </c>
      <c r="D574" s="16" t="str">
        <f ca="1">IFERROR(__xludf.DUMMYFUNCTION("""COMPUTED_VALUE""")," 1-K-2024-19 ")</f>
        <v xml:space="preserve"> 1-K-2024-19 </v>
      </c>
      <c r="E574" s="16" t="str">
        <f ca="1">IFERROR(__xludf.DUMMYFUNCTION("""COMPUTED_VALUE""")," En Ejecución ")</f>
        <v xml:space="preserve"> En Ejecución </v>
      </c>
      <c r="F574" s="17">
        <f ca="1">IFERROR(__xludf.DUMMYFUNCTION("""COMPUTED_VALUE"""),45504)</f>
        <v>45504</v>
      </c>
      <c r="G574" s="16">
        <f ca="1">IFERROR(__xludf.DUMMYFUNCTION("""COMPUTED_VALUE"""),62395730)</f>
        <v>62395730</v>
      </c>
      <c r="H574" s="16" t="str">
        <f ca="1">IFERROR(__xludf.DUMMYFUNCTION("""COMPUTED_VALUE""")," En Ejecución ")</f>
        <v xml:space="preserve"> En Ejecución </v>
      </c>
      <c r="I574" s="16">
        <f ca="1">IFERROR(__xludf.DUMMYFUNCTION("""COMPUTED_VALUE"""),31197865)</f>
        <v>31197865</v>
      </c>
      <c r="J574" s="83" t="s">
        <v>48</v>
      </c>
      <c r="K574" s="16"/>
      <c r="L574" s="16"/>
      <c r="M574" s="16"/>
      <c r="N574" s="19"/>
      <c r="O574" s="19"/>
      <c r="P574" s="19"/>
      <c r="Q574" s="19"/>
      <c r="R574" s="21">
        <f ca="1">IFERROR(__xludf.DUMMYFUNCTION("""COMPUTED_VALUE"""),31197865)</f>
        <v>31197865</v>
      </c>
      <c r="S574" s="19"/>
      <c r="T574" s="19"/>
      <c r="U574" s="19"/>
      <c r="V574" s="19"/>
      <c r="W574" s="20">
        <f ca="1">IFERROR(__xludf.DUMMYFUNCTION("""COMPUTED_VALUE"""),31197865)</f>
        <v>31197865</v>
      </c>
      <c r="X574" s="20" t="str">
        <f ca="1">IFERROR(__xludf.DUMMYFUNCTION("""COMPUTED_VALUE""")," MUNICIPALIDAD DE PENCO ")</f>
        <v xml:space="preserve"> MUNICIPALIDAD DE PENCO </v>
      </c>
    </row>
    <row r="575" spans="1:24" ht="15.75" customHeight="1" x14ac:dyDescent="0.25">
      <c r="A575" s="16" t="str">
        <f ca="1">IFERROR(__xludf.DUMMYFUNCTION("""COMPUTED_VALUE""")," REGIÓN DEL BIOBÍO ")</f>
        <v xml:space="preserve"> REGIÓN DEL BIOBÍO </v>
      </c>
      <c r="B575" s="16" t="str">
        <f t="shared" ca="1" si="2"/>
        <v xml:space="preserve"> PENCO </v>
      </c>
      <c r="C575" s="16" t="str">
        <f ca="1">IFERROR(__xludf.DUMMYFUNCTION("""COMPUTED_VALUE""")," CONSTRUCCION DE AREA VERDE, PROLONGACION CALLE 4, ACCESO VILLA BELEN ")</f>
        <v xml:space="preserve"> CONSTRUCCION DE AREA VERDE, PROLONGACION CALLE 4, ACCESO VILLA BELEN </v>
      </c>
      <c r="D575" s="16" t="str">
        <f ca="1">IFERROR(__xludf.DUMMYFUNCTION("""COMPUTED_VALUE""")," 1-K-2024-20 ")</f>
        <v xml:space="preserve"> 1-K-2024-20 </v>
      </c>
      <c r="E575" s="16" t="str">
        <f ca="1">IFERROR(__xludf.DUMMYFUNCTION("""COMPUTED_VALUE""")," En Ejecución ")</f>
        <v xml:space="preserve"> En Ejecución </v>
      </c>
      <c r="F575" s="17">
        <f ca="1">IFERROR(__xludf.DUMMYFUNCTION("""COMPUTED_VALUE"""),45504)</f>
        <v>45504</v>
      </c>
      <c r="G575" s="16">
        <f ca="1">IFERROR(__xludf.DUMMYFUNCTION("""COMPUTED_VALUE"""),73967506)</f>
        <v>73967506</v>
      </c>
      <c r="H575" s="16" t="str">
        <f ca="1">IFERROR(__xludf.DUMMYFUNCTION("""COMPUTED_VALUE""")," En Ejecución ")</f>
        <v xml:space="preserve"> En Ejecución </v>
      </c>
      <c r="I575" s="16">
        <f ca="1">IFERROR(__xludf.DUMMYFUNCTION("""COMPUTED_VALUE"""),36983753)</f>
        <v>36983753</v>
      </c>
      <c r="J575" s="83" t="s">
        <v>48</v>
      </c>
      <c r="K575" s="16"/>
      <c r="L575" s="16"/>
      <c r="M575" s="16"/>
      <c r="N575" s="19"/>
      <c r="O575" s="19"/>
      <c r="P575" s="19"/>
      <c r="Q575" s="19"/>
      <c r="R575" s="21">
        <f ca="1">IFERROR(__xludf.DUMMYFUNCTION("""COMPUTED_VALUE"""),36983753)</f>
        <v>36983753</v>
      </c>
      <c r="S575" s="19"/>
      <c r="T575" s="19"/>
      <c r="U575" s="19"/>
      <c r="V575" s="19"/>
      <c r="W575" s="20">
        <f ca="1">IFERROR(__xludf.DUMMYFUNCTION("""COMPUTED_VALUE"""),36983753)</f>
        <v>36983753</v>
      </c>
      <c r="X575" s="20" t="str">
        <f ca="1">IFERROR(__xludf.DUMMYFUNCTION("""COMPUTED_VALUE""")," MUNICIPALIDAD DE PENCO ")</f>
        <v xml:space="preserve"> MUNICIPALIDAD DE PENCO </v>
      </c>
    </row>
    <row r="576" spans="1:24" ht="15.75" customHeight="1" x14ac:dyDescent="0.25">
      <c r="A576" s="16" t="str">
        <f ca="1">IFERROR(__xludf.DUMMYFUNCTION("""COMPUTED_VALUE""")," REGIÓN DEL BIOBÍO ")</f>
        <v xml:space="preserve"> REGIÓN DEL BIOBÍO </v>
      </c>
      <c r="B576" s="16" t="str">
        <f t="shared" ca="1" si="2"/>
        <v xml:space="preserve"> PENCO </v>
      </c>
      <c r="C576" s="16" t="str">
        <f ca="1">IFERROR(__xludf.DUMMYFUNCTION("""COMPUTED_VALUE""")," RECUPERACION DE AREA VERDE, ACERA CALLE FRESIA, ENTRE RENE MENDOZA Y DAVID QUIROGA ")</f>
        <v xml:space="preserve"> RECUPERACION DE AREA VERDE, ACERA CALLE FRESIA, ENTRE RENE MENDOZA Y DAVID QUIROGA </v>
      </c>
      <c r="D576" s="16" t="str">
        <f ca="1">IFERROR(__xludf.DUMMYFUNCTION("""COMPUTED_VALUE""")," 1-K-2024-21 ")</f>
        <v xml:space="preserve"> 1-K-2024-21 </v>
      </c>
      <c r="E576" s="16" t="str">
        <f ca="1">IFERROR(__xludf.DUMMYFUNCTION("""COMPUTED_VALUE""")," En Ejecución ")</f>
        <v xml:space="preserve"> En Ejecución </v>
      </c>
      <c r="F576" s="17">
        <f ca="1">IFERROR(__xludf.DUMMYFUNCTION("""COMPUTED_VALUE"""),45504)</f>
        <v>45504</v>
      </c>
      <c r="G576" s="16">
        <f ca="1">IFERROR(__xludf.DUMMYFUNCTION("""COMPUTED_VALUE"""),86660350)</f>
        <v>86660350</v>
      </c>
      <c r="H576" s="16" t="str">
        <f ca="1">IFERROR(__xludf.DUMMYFUNCTION("""COMPUTED_VALUE""")," En Ejecución ")</f>
        <v xml:space="preserve"> En Ejecución </v>
      </c>
      <c r="I576" s="16">
        <f ca="1">IFERROR(__xludf.DUMMYFUNCTION("""COMPUTED_VALUE"""),43330175)</f>
        <v>43330175</v>
      </c>
      <c r="J576" s="83" t="s">
        <v>48</v>
      </c>
      <c r="K576" s="16"/>
      <c r="L576" s="16"/>
      <c r="M576" s="16"/>
      <c r="N576" s="19"/>
      <c r="O576" s="19"/>
      <c r="P576" s="19"/>
      <c r="Q576" s="19"/>
      <c r="R576" s="21">
        <f ca="1">IFERROR(__xludf.DUMMYFUNCTION("""COMPUTED_VALUE"""),43330175)</f>
        <v>43330175</v>
      </c>
      <c r="S576" s="19"/>
      <c r="T576" s="19"/>
      <c r="U576" s="19"/>
      <c r="V576" s="19"/>
      <c r="W576" s="20">
        <f ca="1">IFERROR(__xludf.DUMMYFUNCTION("""COMPUTED_VALUE"""),43330175)</f>
        <v>43330175</v>
      </c>
      <c r="X576" s="20" t="str">
        <f ca="1">IFERROR(__xludf.DUMMYFUNCTION("""COMPUTED_VALUE""")," MUNICIPALIDAD DE PENCO ")</f>
        <v xml:space="preserve"> MUNICIPALIDAD DE PENCO </v>
      </c>
    </row>
    <row r="577" spans="1:24" ht="15.75" customHeight="1" x14ac:dyDescent="0.25">
      <c r="A577" s="16" t="str">
        <f ca="1">IFERROR(__xludf.DUMMYFUNCTION("""COMPUTED_VALUE""")," REGIÓN DEL BIOBÍO ")</f>
        <v xml:space="preserve"> REGIÓN DEL BIOBÍO </v>
      </c>
      <c r="B577" s="16" t="str">
        <f t="shared" ca="1" si="2"/>
        <v xml:space="preserve"> LOTA </v>
      </c>
      <c r="C577" s="16" t="str">
        <f ca="1">IFERROR(__xludf.DUMMYFUNCTION("""COMPUTED_VALUE""")," MEJORAMIENTO ACERA, PABELLÓN CLODOMIRO VELOSO, LOTA. ")</f>
        <v xml:space="preserve"> MEJORAMIENTO ACERA, PABELLÓN CLODOMIRO VELOSO, LOTA. </v>
      </c>
      <c r="D577" s="16" t="str">
        <f ca="1">IFERROR(__xludf.DUMMYFUNCTION("""COMPUTED_VALUE""")," 1-K-2024-24 ")</f>
        <v xml:space="preserve"> 1-K-2024-24 </v>
      </c>
      <c r="E577" s="16" t="str">
        <f ca="1">IFERROR(__xludf.DUMMYFUNCTION("""COMPUTED_VALUE""")," En Ejecución ")</f>
        <v xml:space="preserve"> En Ejecución </v>
      </c>
      <c r="F577" s="17">
        <f ca="1">IFERROR(__xludf.DUMMYFUNCTION("""COMPUTED_VALUE"""),45504)</f>
        <v>45504</v>
      </c>
      <c r="G577" s="16">
        <f ca="1">IFERROR(__xludf.DUMMYFUNCTION("""COMPUTED_VALUE"""),158182521)</f>
        <v>158182521</v>
      </c>
      <c r="H577" s="16" t="str">
        <f ca="1">IFERROR(__xludf.DUMMYFUNCTION("""COMPUTED_VALUE""")," En Ejecución ")</f>
        <v xml:space="preserve"> En Ejecución </v>
      </c>
      <c r="I577" s="16">
        <f ca="1">IFERROR(__xludf.DUMMYFUNCTION("""COMPUTED_VALUE"""),79091261)</f>
        <v>79091261</v>
      </c>
      <c r="J577" s="83" t="s">
        <v>48</v>
      </c>
      <c r="K577" s="16"/>
      <c r="L577" s="16"/>
      <c r="M577" s="16"/>
      <c r="N577" s="19"/>
      <c r="O577" s="19"/>
      <c r="P577" s="19"/>
      <c r="Q577" s="19"/>
      <c r="R577" s="21">
        <f ca="1">IFERROR(__xludf.DUMMYFUNCTION("""COMPUTED_VALUE"""),79091261)</f>
        <v>79091261</v>
      </c>
      <c r="S577" s="19"/>
      <c r="T577" s="19"/>
      <c r="U577" s="19"/>
      <c r="V577" s="19"/>
      <c r="W577" s="20">
        <f ca="1">IFERROR(__xludf.DUMMYFUNCTION("""COMPUTED_VALUE"""),79091261)</f>
        <v>79091261</v>
      </c>
      <c r="X577" s="20" t="str">
        <f ca="1">IFERROR(__xludf.DUMMYFUNCTION("""COMPUTED_VALUE""")," MUNICIPALIDAD DE LOTA ")</f>
        <v xml:space="preserve"> MUNICIPALIDAD DE LOTA </v>
      </c>
    </row>
    <row r="578" spans="1:24" ht="15.75" customHeight="1" x14ac:dyDescent="0.25">
      <c r="A578" s="16" t="str">
        <f ca="1">IFERROR(__xludf.DUMMYFUNCTION("""COMPUTED_VALUE""")," REGIÓN DEL BIOBÍO ")</f>
        <v xml:space="preserve"> REGIÓN DEL BIOBÍO </v>
      </c>
      <c r="B578" s="16" t="str">
        <f t="shared" ca="1" si="2"/>
        <v xml:space="preserve"> LOTA </v>
      </c>
      <c r="C578" s="16" t="str">
        <f ca="1">IFERROR(__xludf.DUMMYFUNCTION("""COMPUTED_VALUE""")," REPARACIÓN BACHE PJE. D. GODOY Y CALLE CHILOÉ; PBL. VILLA ISIDORA, LOTA. ")</f>
        <v xml:space="preserve"> REPARACIÓN BACHE PJE. D. GODOY Y CALLE CHILOÉ; PBL. VILLA ISIDORA, LOTA. </v>
      </c>
      <c r="D578" s="16" t="str">
        <f ca="1">IFERROR(__xludf.DUMMYFUNCTION("""COMPUTED_VALUE""")," 1-K-2024-25 ")</f>
        <v xml:space="preserve"> 1-K-2024-25 </v>
      </c>
      <c r="E578" s="16" t="str">
        <f ca="1">IFERROR(__xludf.DUMMYFUNCTION("""COMPUTED_VALUE""")," En Ejecución ")</f>
        <v xml:space="preserve"> En Ejecución </v>
      </c>
      <c r="F578" s="17">
        <f ca="1">IFERROR(__xludf.DUMMYFUNCTION("""COMPUTED_VALUE"""),45504)</f>
        <v>45504</v>
      </c>
      <c r="G578" s="16">
        <f ca="1">IFERROR(__xludf.DUMMYFUNCTION("""COMPUTED_VALUE"""),149786438)</f>
        <v>149786438</v>
      </c>
      <c r="H578" s="16" t="str">
        <f ca="1">IFERROR(__xludf.DUMMYFUNCTION("""COMPUTED_VALUE""")," En Ejecución ")</f>
        <v xml:space="preserve"> En Ejecución </v>
      </c>
      <c r="I578" s="16">
        <f ca="1">IFERROR(__xludf.DUMMYFUNCTION("""COMPUTED_VALUE"""),74893219)</f>
        <v>74893219</v>
      </c>
      <c r="J578" s="83" t="s">
        <v>48</v>
      </c>
      <c r="K578" s="16"/>
      <c r="L578" s="16"/>
      <c r="M578" s="16"/>
      <c r="N578" s="19"/>
      <c r="O578" s="19"/>
      <c r="P578" s="19"/>
      <c r="Q578" s="19"/>
      <c r="R578" s="21">
        <f ca="1">IFERROR(__xludf.DUMMYFUNCTION("""COMPUTED_VALUE"""),74893219)</f>
        <v>74893219</v>
      </c>
      <c r="S578" s="19"/>
      <c r="T578" s="19"/>
      <c r="U578" s="19"/>
      <c r="V578" s="19"/>
      <c r="W578" s="20">
        <f ca="1">IFERROR(__xludf.DUMMYFUNCTION("""COMPUTED_VALUE"""),74893219)</f>
        <v>74893219</v>
      </c>
      <c r="X578" s="20" t="str">
        <f ca="1">IFERROR(__xludf.DUMMYFUNCTION("""COMPUTED_VALUE""")," MUNICIPALIDAD DE LOTA ")</f>
        <v xml:space="preserve"> MUNICIPALIDAD DE LOTA </v>
      </c>
    </row>
    <row r="579" spans="1:24" ht="15.75" customHeight="1" x14ac:dyDescent="0.25">
      <c r="A579" s="16" t="str">
        <f ca="1">IFERROR(__xludf.DUMMYFUNCTION("""COMPUTED_VALUE""")," REGIÓN DEL BIOBÍO ")</f>
        <v xml:space="preserve"> REGIÓN DEL BIOBÍO </v>
      </c>
      <c r="B579" s="16" t="str">
        <f t="shared" ca="1" si="2"/>
        <v xml:space="preserve"> LOTA </v>
      </c>
      <c r="C579" s="16" t="str">
        <f ca="1">IFERROR(__xludf.DUMMYFUNCTION("""COMPUTED_VALUE""")," CONSTRUCIÓN DE RESALTOS REUDCTORES DE VELOCIDAD EN: AVDA. DEL PARQUE, LOTA ")</f>
        <v xml:space="preserve"> CONSTRUCIÓN DE RESALTOS REUDCTORES DE VELOCIDAD EN: AVDA. DEL PARQUE, LOTA </v>
      </c>
      <c r="D579" s="16" t="str">
        <f ca="1">IFERROR(__xludf.DUMMYFUNCTION("""COMPUTED_VALUE""")," 1-K-2024-26 ")</f>
        <v xml:space="preserve"> 1-K-2024-26 </v>
      </c>
      <c r="E579" s="16" t="str">
        <f ca="1">IFERROR(__xludf.DUMMYFUNCTION("""COMPUTED_VALUE""")," En Ejecución ")</f>
        <v xml:space="preserve"> En Ejecución </v>
      </c>
      <c r="F579" s="17">
        <f ca="1">IFERROR(__xludf.DUMMYFUNCTION("""COMPUTED_VALUE"""),45504)</f>
        <v>45504</v>
      </c>
      <c r="G579" s="16">
        <f ca="1">IFERROR(__xludf.DUMMYFUNCTION("""COMPUTED_VALUE"""),155237469)</f>
        <v>155237469</v>
      </c>
      <c r="H579" s="16" t="str">
        <f ca="1">IFERROR(__xludf.DUMMYFUNCTION("""COMPUTED_VALUE""")," En Ejecución ")</f>
        <v xml:space="preserve"> En Ejecución </v>
      </c>
      <c r="I579" s="16">
        <f ca="1">IFERROR(__xludf.DUMMYFUNCTION("""COMPUTED_VALUE"""),77618735)</f>
        <v>77618735</v>
      </c>
      <c r="J579" s="83" t="s">
        <v>48</v>
      </c>
      <c r="K579" s="16"/>
      <c r="L579" s="16"/>
      <c r="M579" s="16"/>
      <c r="N579" s="19"/>
      <c r="O579" s="19"/>
      <c r="P579" s="19"/>
      <c r="Q579" s="19"/>
      <c r="R579" s="21">
        <f ca="1">IFERROR(__xludf.DUMMYFUNCTION("""COMPUTED_VALUE"""),77618735)</f>
        <v>77618735</v>
      </c>
      <c r="S579" s="19"/>
      <c r="T579" s="19"/>
      <c r="U579" s="19"/>
      <c r="V579" s="19"/>
      <c r="W579" s="20">
        <f ca="1">IFERROR(__xludf.DUMMYFUNCTION("""COMPUTED_VALUE"""),77618735)</f>
        <v>77618735</v>
      </c>
      <c r="X579" s="20" t="str">
        <f ca="1">IFERROR(__xludf.DUMMYFUNCTION("""COMPUTED_VALUE""")," MUNICIPALIDAD DE LOTA ")</f>
        <v xml:space="preserve"> MUNICIPALIDAD DE LOTA </v>
      </c>
    </row>
    <row r="580" spans="1:24" ht="15.75" customHeight="1" x14ac:dyDescent="0.25">
      <c r="A580" s="16" t="str">
        <f ca="1">IFERROR(__xludf.DUMMYFUNCTION("""COMPUTED_VALUE""")," REGIÓN DEL BIOBÍO ")</f>
        <v xml:space="preserve"> REGIÓN DEL BIOBÍO </v>
      </c>
      <c r="B580" s="16" t="str">
        <f t="shared" ca="1" si="2"/>
        <v xml:space="preserve"> LOTA </v>
      </c>
      <c r="C580" s="16" t="str">
        <f ca="1">IFERROR(__xludf.DUMMYFUNCTION("""COMPUTED_VALUE""")," COLOCACIÓN CIERRE DE PROTECCIÓN, CALLE LOS AVELLANOS POBL. G. MISTRAL, LOTA. ")</f>
        <v xml:space="preserve"> COLOCACIÓN CIERRE DE PROTECCIÓN, CALLE LOS AVELLANOS POBL. G. MISTRAL, LOTA. </v>
      </c>
      <c r="D580" s="16" t="str">
        <f ca="1">IFERROR(__xludf.DUMMYFUNCTION("""COMPUTED_VALUE""")," 1-K-2024-27 ")</f>
        <v xml:space="preserve"> 1-K-2024-27 </v>
      </c>
      <c r="E580" s="16" t="str">
        <f ca="1">IFERROR(__xludf.DUMMYFUNCTION("""COMPUTED_VALUE""")," En Ejecución ")</f>
        <v xml:space="preserve"> En Ejecución </v>
      </c>
      <c r="F580" s="17">
        <f ca="1">IFERROR(__xludf.DUMMYFUNCTION("""COMPUTED_VALUE"""),45504)</f>
        <v>45504</v>
      </c>
      <c r="G580" s="16">
        <f ca="1">IFERROR(__xludf.DUMMYFUNCTION("""COMPUTED_VALUE"""),153941467)</f>
        <v>153941467</v>
      </c>
      <c r="H580" s="16" t="str">
        <f ca="1">IFERROR(__xludf.DUMMYFUNCTION("""COMPUTED_VALUE""")," En Ejecución ")</f>
        <v xml:space="preserve"> En Ejecución </v>
      </c>
      <c r="I580" s="16">
        <f ca="1">IFERROR(__xludf.DUMMYFUNCTION("""COMPUTED_VALUE"""),38485367)</f>
        <v>38485367</v>
      </c>
      <c r="J580" s="83" t="s">
        <v>48</v>
      </c>
      <c r="K580" s="16"/>
      <c r="L580" s="16"/>
      <c r="M580" s="16"/>
      <c r="N580" s="19"/>
      <c r="O580" s="19"/>
      <c r="P580" s="19"/>
      <c r="Q580" s="19"/>
      <c r="R580" s="21">
        <f ca="1">IFERROR(__xludf.DUMMYFUNCTION("""COMPUTED_VALUE"""),38485367)</f>
        <v>38485367</v>
      </c>
      <c r="S580" s="19"/>
      <c r="T580" s="19"/>
      <c r="U580" s="19"/>
      <c r="V580" s="19"/>
      <c r="W580" s="20">
        <f ca="1">IFERROR(__xludf.DUMMYFUNCTION("""COMPUTED_VALUE"""),38485367)</f>
        <v>38485367</v>
      </c>
      <c r="X580" s="20" t="str">
        <f ca="1">IFERROR(__xludf.DUMMYFUNCTION("""COMPUTED_VALUE""")," MUNICIPALIDAD DE LOTA ")</f>
        <v xml:space="preserve"> MUNICIPALIDAD DE LOTA </v>
      </c>
    </row>
    <row r="581" spans="1:24" ht="15.75" customHeight="1" x14ac:dyDescent="0.25">
      <c r="A581" s="16" t="str">
        <f ca="1">IFERROR(__xludf.DUMMYFUNCTION("""COMPUTED_VALUE""")," REGIÓN DEL BIOBÍO ")</f>
        <v xml:space="preserve"> REGIÓN DEL BIOBÍO </v>
      </c>
      <c r="B581" s="16" t="str">
        <f t="shared" ca="1" si="2"/>
        <v xml:space="preserve"> LOTA </v>
      </c>
      <c r="C581" s="16" t="str">
        <f ca="1">IFERROR(__xludf.DUMMYFUNCTION("""COMPUTED_VALUE""")," COLOCACIÓN CIERRE DE PROTECCIÓN, CALLE LOS AVELLANOS POBL. G. MISTRAL, LOTA. ")</f>
        <v xml:space="preserve"> COLOCACIÓN CIERRE DE PROTECCIÓN, CALLE LOS AVELLANOS POBL. G. MISTRAL, LOTA. </v>
      </c>
      <c r="D581" s="16" t="str">
        <f ca="1">IFERROR(__xludf.DUMMYFUNCTION("""COMPUTED_VALUE""")," 1-K-2024-27 ")</f>
        <v xml:space="preserve"> 1-K-2024-27 </v>
      </c>
      <c r="E581" s="16" t="str">
        <f ca="1">IFERROR(__xludf.DUMMYFUNCTION("""COMPUTED_VALUE""")," En Ejecución ")</f>
        <v xml:space="preserve"> En Ejecución </v>
      </c>
      <c r="F581" s="17">
        <f ca="1">IFERROR(__xludf.DUMMYFUNCTION("""COMPUTED_VALUE"""),45504)</f>
        <v>45504</v>
      </c>
      <c r="G581" s="16">
        <f ca="1">IFERROR(__xludf.DUMMYFUNCTION("""COMPUTED_VALUE"""),153941467)</f>
        <v>153941467</v>
      </c>
      <c r="H581" s="16" t="str">
        <f ca="1">IFERROR(__xludf.DUMMYFUNCTION("""COMPUTED_VALUE""")," En Ejecución ")</f>
        <v xml:space="preserve"> En Ejecución </v>
      </c>
      <c r="I581" s="16">
        <f ca="1">IFERROR(__xludf.DUMMYFUNCTION("""COMPUTED_VALUE"""),38485366)</f>
        <v>38485366</v>
      </c>
      <c r="J581" s="83" t="s">
        <v>48</v>
      </c>
      <c r="K581" s="16"/>
      <c r="L581" s="16"/>
      <c r="M581" s="16"/>
      <c r="N581" s="19"/>
      <c r="O581" s="19"/>
      <c r="P581" s="19"/>
      <c r="Q581" s="19"/>
      <c r="R581" s="21">
        <f ca="1">IFERROR(__xludf.DUMMYFUNCTION("""COMPUTED_VALUE"""),38485366)</f>
        <v>38485366</v>
      </c>
      <c r="S581" s="19"/>
      <c r="T581" s="19"/>
      <c r="U581" s="19"/>
      <c r="V581" s="19"/>
      <c r="W581" s="20">
        <f ca="1">IFERROR(__xludf.DUMMYFUNCTION("""COMPUTED_VALUE"""),38485366)</f>
        <v>38485366</v>
      </c>
      <c r="X581" s="20" t="str">
        <f ca="1">IFERROR(__xludf.DUMMYFUNCTION("""COMPUTED_VALUE""")," MUNICIPALIDAD DE LOTA ")</f>
        <v xml:space="preserve"> MUNICIPALIDAD DE LOTA </v>
      </c>
    </row>
    <row r="582" spans="1:24" ht="15.75" customHeight="1" x14ac:dyDescent="0.25">
      <c r="A582" s="16" t="str">
        <f ca="1">IFERROR(__xludf.DUMMYFUNCTION("""COMPUTED_VALUE""")," REGIÓN DEL BIOBÍO ")</f>
        <v xml:space="preserve"> REGIÓN DEL BIOBÍO </v>
      </c>
      <c r="B582" s="16" t="str">
        <f t="shared" ca="1" si="2"/>
        <v xml:space="preserve"> LOTA </v>
      </c>
      <c r="C582" s="16" t="str">
        <f ca="1">IFERROR(__xludf.DUMMYFUNCTION("""COMPUTED_VALUE""")," MEJORAMIENTO VIAL ENTRE: CALLE PIQUE ALBERTO Y PJE. VICTORIA POBL. VILLA LOS HÉROES, LOTA. ")</f>
        <v xml:space="preserve"> MEJORAMIENTO VIAL ENTRE: CALLE PIQUE ALBERTO Y PJE. VICTORIA POBL. VILLA LOS HÉROES, LOTA. </v>
      </c>
      <c r="D582" s="16" t="str">
        <f ca="1">IFERROR(__xludf.DUMMYFUNCTION("""COMPUTED_VALUE""")," 1-K-2024-28 ")</f>
        <v xml:space="preserve"> 1-K-2024-28 </v>
      </c>
      <c r="E582" s="16" t="str">
        <f ca="1">IFERROR(__xludf.DUMMYFUNCTION("""COMPUTED_VALUE""")," En Ejecución ")</f>
        <v xml:space="preserve"> En Ejecución </v>
      </c>
      <c r="F582" s="17">
        <f ca="1">IFERROR(__xludf.DUMMYFUNCTION("""COMPUTED_VALUE"""),45504)</f>
        <v>45504</v>
      </c>
      <c r="G582" s="16">
        <f ca="1">IFERROR(__xludf.DUMMYFUNCTION("""COMPUTED_VALUE"""),159710160)</f>
        <v>159710160</v>
      </c>
      <c r="H582" s="16" t="str">
        <f ca="1">IFERROR(__xludf.DUMMYFUNCTION("""COMPUTED_VALUE""")," En Ejecución ")</f>
        <v xml:space="preserve"> En Ejecución </v>
      </c>
      <c r="I582" s="16">
        <f ca="1">IFERROR(__xludf.DUMMYFUNCTION("""COMPUTED_VALUE"""),79855080)</f>
        <v>79855080</v>
      </c>
      <c r="J582" s="83" t="s">
        <v>48</v>
      </c>
      <c r="K582" s="16"/>
      <c r="L582" s="16"/>
      <c r="M582" s="16"/>
      <c r="N582" s="19"/>
      <c r="O582" s="19"/>
      <c r="P582" s="19"/>
      <c r="Q582" s="19"/>
      <c r="R582" s="21">
        <f ca="1">IFERROR(__xludf.DUMMYFUNCTION("""COMPUTED_VALUE"""),79855080)</f>
        <v>79855080</v>
      </c>
      <c r="S582" s="19"/>
      <c r="T582" s="19"/>
      <c r="U582" s="19"/>
      <c r="V582" s="19"/>
      <c r="W582" s="20">
        <f ca="1">IFERROR(__xludf.DUMMYFUNCTION("""COMPUTED_VALUE"""),79855080)</f>
        <v>79855080</v>
      </c>
      <c r="X582" s="20" t="str">
        <f ca="1">IFERROR(__xludf.DUMMYFUNCTION("""COMPUTED_VALUE""")," MUNICIPALIDAD DE LOTA ")</f>
        <v xml:space="preserve"> MUNICIPALIDAD DE LOTA </v>
      </c>
    </row>
    <row r="583" spans="1:24" ht="15.75" customHeight="1" x14ac:dyDescent="0.25">
      <c r="A583" s="16" t="str">
        <f ca="1">IFERROR(__xludf.DUMMYFUNCTION("""COMPUTED_VALUE""")," REGIÓN DEL BIOBÍO ")</f>
        <v xml:space="preserve"> REGIÓN DEL BIOBÍO </v>
      </c>
      <c r="B583" s="16" t="str">
        <f t="shared" ca="1" si="2"/>
        <v xml:space="preserve"> LOTA </v>
      </c>
      <c r="C583" s="16" t="str">
        <f ca="1">IFERROR(__xludf.DUMMYFUNCTION("""COMPUTED_VALUE""")," COLOCACIÓN BARRERA DE CONTENCIÓN Y PASAMANOS PJE. SAN MARTÍN Y SENDA BIO-BIO POBL. SOTOMAYOR, LOTA. ")</f>
        <v xml:space="preserve"> COLOCACIÓN BARRERA DE CONTENCIÓN Y PASAMANOS PJE. SAN MARTÍN Y SENDA BIO-BIO POBL. SOTOMAYOR, LOTA. </v>
      </c>
      <c r="D583" s="16" t="str">
        <f ca="1">IFERROR(__xludf.DUMMYFUNCTION("""COMPUTED_VALUE""")," 1-K-2024-34 ")</f>
        <v xml:space="preserve"> 1-K-2024-34 </v>
      </c>
      <c r="E583" s="16" t="str">
        <f ca="1">IFERROR(__xludf.DUMMYFUNCTION("""COMPUTED_VALUE""")," En Ejecución ")</f>
        <v xml:space="preserve"> En Ejecución </v>
      </c>
      <c r="F583" s="17">
        <f ca="1">IFERROR(__xludf.DUMMYFUNCTION("""COMPUTED_VALUE"""),45504)</f>
        <v>45504</v>
      </c>
      <c r="G583" s="16">
        <f ca="1">IFERROR(__xludf.DUMMYFUNCTION("""COMPUTED_VALUE"""),150959737)</f>
        <v>150959737</v>
      </c>
      <c r="H583" s="16" t="str">
        <f ca="1">IFERROR(__xludf.DUMMYFUNCTION("""COMPUTED_VALUE""")," En Ejecución ")</f>
        <v xml:space="preserve"> En Ejecución </v>
      </c>
      <c r="I583" s="16">
        <f ca="1">IFERROR(__xludf.DUMMYFUNCTION("""COMPUTED_VALUE"""),75479869)</f>
        <v>75479869</v>
      </c>
      <c r="J583" s="83" t="s">
        <v>48</v>
      </c>
      <c r="K583" s="16"/>
      <c r="L583" s="16"/>
      <c r="M583" s="16"/>
      <c r="N583" s="19"/>
      <c r="O583" s="19"/>
      <c r="P583" s="19"/>
      <c r="Q583" s="19"/>
      <c r="R583" s="21">
        <f ca="1">IFERROR(__xludf.DUMMYFUNCTION("""COMPUTED_VALUE"""),75479869)</f>
        <v>75479869</v>
      </c>
      <c r="S583" s="19"/>
      <c r="T583" s="19"/>
      <c r="U583" s="19"/>
      <c r="V583" s="19"/>
      <c r="W583" s="20">
        <f ca="1">IFERROR(__xludf.DUMMYFUNCTION("""COMPUTED_VALUE"""),75479869)</f>
        <v>75479869</v>
      </c>
      <c r="X583" s="20" t="str">
        <f ca="1">IFERROR(__xludf.DUMMYFUNCTION("""COMPUTED_VALUE""")," MUNICIPALIDAD DE LOTA ")</f>
        <v xml:space="preserve"> MUNICIPALIDAD DE LOTA </v>
      </c>
    </row>
    <row r="584" spans="1:24" ht="15.75" customHeight="1" x14ac:dyDescent="0.25">
      <c r="A584" s="16" t="str">
        <f ca="1">IFERROR(__xludf.DUMMYFUNCTION("""COMPUTED_VALUE""")," REGIÓN DEL BIOBÍO ")</f>
        <v xml:space="preserve"> REGIÓN DEL BIOBÍO </v>
      </c>
      <c r="B584" s="16" t="str">
        <f t="shared" ca="1" si="2"/>
        <v xml:space="preserve"> LOTA </v>
      </c>
      <c r="C584" s="16" t="str">
        <f ca="1">IFERROR(__xludf.DUMMYFUNCTION("""COMPUTED_VALUE""")," REPARACIÓN BACHE PJE. AVDA. EL MORRO, POBL. EL MORRO, LOTA. ")</f>
        <v xml:space="preserve"> REPARACIÓN BACHE PJE. AVDA. EL MORRO, POBL. EL MORRO, LOTA. </v>
      </c>
      <c r="D584" s="16" t="str">
        <f ca="1">IFERROR(__xludf.DUMMYFUNCTION("""COMPUTED_VALUE""")," 1-K-2024-35 ")</f>
        <v xml:space="preserve"> 1-K-2024-35 </v>
      </c>
      <c r="E584" s="16" t="str">
        <f ca="1">IFERROR(__xludf.DUMMYFUNCTION("""COMPUTED_VALUE""")," En Ejecución ")</f>
        <v xml:space="preserve"> En Ejecución </v>
      </c>
      <c r="F584" s="17">
        <f ca="1">IFERROR(__xludf.DUMMYFUNCTION("""COMPUTED_VALUE"""),45504)</f>
        <v>45504</v>
      </c>
      <c r="G584" s="16">
        <f ca="1">IFERROR(__xludf.DUMMYFUNCTION("""COMPUTED_VALUE"""),150846943)</f>
        <v>150846943</v>
      </c>
      <c r="H584" s="16" t="str">
        <f ca="1">IFERROR(__xludf.DUMMYFUNCTION("""COMPUTED_VALUE""")," En Ejecución ")</f>
        <v xml:space="preserve"> En Ejecución </v>
      </c>
      <c r="I584" s="16">
        <f ca="1">IFERROR(__xludf.DUMMYFUNCTION("""COMPUTED_VALUE"""),75423472)</f>
        <v>75423472</v>
      </c>
      <c r="J584" s="83" t="s">
        <v>48</v>
      </c>
      <c r="K584" s="16"/>
      <c r="L584" s="16"/>
      <c r="M584" s="16"/>
      <c r="N584" s="19"/>
      <c r="O584" s="19"/>
      <c r="P584" s="19"/>
      <c r="Q584" s="19"/>
      <c r="R584" s="21">
        <f ca="1">IFERROR(__xludf.DUMMYFUNCTION("""COMPUTED_VALUE"""),75423472)</f>
        <v>75423472</v>
      </c>
      <c r="S584" s="19"/>
      <c r="T584" s="19"/>
      <c r="U584" s="19"/>
      <c r="V584" s="19"/>
      <c r="W584" s="20">
        <f ca="1">IFERROR(__xludf.DUMMYFUNCTION("""COMPUTED_VALUE"""),75423472)</f>
        <v>75423472</v>
      </c>
      <c r="X584" s="20" t="str">
        <f ca="1">IFERROR(__xludf.DUMMYFUNCTION("""COMPUTED_VALUE""")," MUNICIPALIDAD DE LOTA ")</f>
        <v xml:space="preserve"> MUNICIPALIDAD DE LOTA </v>
      </c>
    </row>
    <row r="585" spans="1:24" ht="15.75" customHeight="1" x14ac:dyDescent="0.25">
      <c r="A585" s="16" t="str">
        <f ca="1">IFERROR(__xludf.DUMMYFUNCTION("""COMPUTED_VALUE""")," REGIÓN DEL BIOBÍO ")</f>
        <v xml:space="preserve"> REGIÓN DEL BIOBÍO </v>
      </c>
      <c r="B585" s="16" t="str">
        <f t="shared" ca="1" si="2"/>
        <v xml:space="preserve"> LOTA </v>
      </c>
      <c r="C585" s="16" t="str">
        <f ca="1">IFERROR(__xludf.DUMMYFUNCTION("""COMPUTED_VALUE""")," CONSTRUCCIÓN DE REFUGIO PEATONAL CALLE BALDOMERO LILLO SECTOR CESFAM SAR LOTA ALTO, LOTA. ")</f>
        <v xml:space="preserve"> CONSTRUCCIÓN DE REFUGIO PEATONAL CALLE BALDOMERO LILLO SECTOR CESFAM SAR LOTA ALTO, LOTA. </v>
      </c>
      <c r="D585" s="16" t="str">
        <f ca="1">IFERROR(__xludf.DUMMYFUNCTION("""COMPUTED_VALUE""")," 1-K-2024-39 ")</f>
        <v xml:space="preserve"> 1-K-2024-39 </v>
      </c>
      <c r="E585" s="16" t="str">
        <f ca="1">IFERROR(__xludf.DUMMYFUNCTION("""COMPUTED_VALUE""")," En Ejecución ")</f>
        <v xml:space="preserve"> En Ejecución </v>
      </c>
      <c r="F585" s="17">
        <f ca="1">IFERROR(__xludf.DUMMYFUNCTION("""COMPUTED_VALUE"""),45504)</f>
        <v>45504</v>
      </c>
      <c r="G585" s="16">
        <f ca="1">IFERROR(__xludf.DUMMYFUNCTION("""COMPUTED_VALUE"""),159799961)</f>
        <v>159799961</v>
      </c>
      <c r="H585" s="16" t="str">
        <f ca="1">IFERROR(__xludf.DUMMYFUNCTION("""COMPUTED_VALUE""")," En Ejecución ")</f>
        <v xml:space="preserve"> En Ejecución </v>
      </c>
      <c r="I585" s="16">
        <f ca="1">IFERROR(__xludf.DUMMYFUNCTION("""COMPUTED_VALUE"""),79899981)</f>
        <v>79899981</v>
      </c>
      <c r="J585" s="83" t="s">
        <v>48</v>
      </c>
      <c r="K585" s="16"/>
      <c r="L585" s="16"/>
      <c r="M585" s="16"/>
      <c r="N585" s="19"/>
      <c r="O585" s="19"/>
      <c r="P585" s="19"/>
      <c r="Q585" s="19"/>
      <c r="R585" s="21">
        <f ca="1">IFERROR(__xludf.DUMMYFUNCTION("""COMPUTED_VALUE"""),79899981)</f>
        <v>79899981</v>
      </c>
      <c r="S585" s="19"/>
      <c r="T585" s="19"/>
      <c r="U585" s="19"/>
      <c r="V585" s="19"/>
      <c r="W585" s="20">
        <f ca="1">IFERROR(__xludf.DUMMYFUNCTION("""COMPUTED_VALUE"""),79899981)</f>
        <v>79899981</v>
      </c>
      <c r="X585" s="20" t="str">
        <f ca="1">IFERROR(__xludf.DUMMYFUNCTION("""COMPUTED_VALUE""")," MUNICIPALIDAD DE LOTA ")</f>
        <v xml:space="preserve"> MUNICIPALIDAD DE LOTA </v>
      </c>
    </row>
    <row r="586" spans="1:24" ht="15.75" customHeight="1" x14ac:dyDescent="0.25">
      <c r="A586" s="16" t="str">
        <f ca="1">IFERROR(__xludf.DUMMYFUNCTION("""COMPUTED_VALUE""")," REGIÓN DEL BIOBÍO ")</f>
        <v xml:space="preserve"> REGIÓN DEL BIOBÍO </v>
      </c>
      <c r="B586" s="16" t="str">
        <f t="shared" ca="1" si="2"/>
        <v xml:space="preserve"> LOTA </v>
      </c>
      <c r="C586" s="16" t="str">
        <f ca="1">IFERROR(__xludf.DUMMYFUNCTION("""COMPUTED_VALUE""")," MEJORAMIENTO DE PASAMANOS PJE. O´HIGGINS SECTOR CALERO SUR, LOTA. ")</f>
        <v xml:space="preserve"> MEJORAMIENTO DE PASAMANOS PJE. O´HIGGINS SECTOR CALERO SUR, LOTA. </v>
      </c>
      <c r="D586" s="16" t="str">
        <f ca="1">IFERROR(__xludf.DUMMYFUNCTION("""COMPUTED_VALUE""")," 1-K-2024-40 ")</f>
        <v xml:space="preserve"> 1-K-2024-40 </v>
      </c>
      <c r="E586" s="16" t="str">
        <f ca="1">IFERROR(__xludf.DUMMYFUNCTION("""COMPUTED_VALUE""")," En Ejecución ")</f>
        <v xml:space="preserve"> En Ejecución </v>
      </c>
      <c r="F586" s="17">
        <f ca="1">IFERROR(__xludf.DUMMYFUNCTION("""COMPUTED_VALUE"""),45504)</f>
        <v>45504</v>
      </c>
      <c r="G586" s="16">
        <f ca="1">IFERROR(__xludf.DUMMYFUNCTION("""COMPUTED_VALUE"""),154350494)</f>
        <v>154350494</v>
      </c>
      <c r="H586" s="16" t="str">
        <f ca="1">IFERROR(__xludf.DUMMYFUNCTION("""COMPUTED_VALUE""")," En Ejecución ")</f>
        <v xml:space="preserve"> En Ejecución </v>
      </c>
      <c r="I586" s="16">
        <f ca="1">IFERROR(__xludf.DUMMYFUNCTION("""COMPUTED_VALUE"""),77175247)</f>
        <v>77175247</v>
      </c>
      <c r="J586" s="83" t="s">
        <v>48</v>
      </c>
      <c r="K586" s="16"/>
      <c r="L586" s="16"/>
      <c r="M586" s="16"/>
      <c r="N586" s="19"/>
      <c r="O586" s="19"/>
      <c r="P586" s="19"/>
      <c r="Q586" s="19"/>
      <c r="R586" s="21">
        <f ca="1">IFERROR(__xludf.DUMMYFUNCTION("""COMPUTED_VALUE"""),77175247)</f>
        <v>77175247</v>
      </c>
      <c r="S586" s="19"/>
      <c r="T586" s="19"/>
      <c r="U586" s="19"/>
      <c r="V586" s="19"/>
      <c r="W586" s="20">
        <f ca="1">IFERROR(__xludf.DUMMYFUNCTION("""COMPUTED_VALUE"""),77175247)</f>
        <v>77175247</v>
      </c>
      <c r="X586" s="20" t="str">
        <f ca="1">IFERROR(__xludf.DUMMYFUNCTION("""COMPUTED_VALUE""")," MUNICIPALIDAD DE LOTA ")</f>
        <v xml:space="preserve"> MUNICIPALIDAD DE LOTA </v>
      </c>
    </row>
    <row r="587" spans="1:24" ht="15.75" customHeight="1" x14ac:dyDescent="0.25">
      <c r="A587" s="16" t="str">
        <f ca="1">IFERROR(__xludf.DUMMYFUNCTION("""COMPUTED_VALUE""")," REGIÓN DEL BIOBÍO ")</f>
        <v xml:space="preserve"> REGIÓN DEL BIOBÍO </v>
      </c>
      <c r="B587" s="16" t="str">
        <f t="shared" ca="1" si="2"/>
        <v xml:space="preserve"> LOTA </v>
      </c>
      <c r="C587" s="16" t="str">
        <f ca="1">IFERROR(__xludf.DUMMYFUNCTION("""COMPUTED_VALUE""")," MEJORAMIENTO DEFENSA CAMINERA SECTOR SAN MARTÍN, LOTA. ")</f>
        <v xml:space="preserve"> MEJORAMIENTO DEFENSA CAMINERA SECTOR SAN MARTÍN, LOTA. </v>
      </c>
      <c r="D587" s="16" t="str">
        <f ca="1">IFERROR(__xludf.DUMMYFUNCTION("""COMPUTED_VALUE""")," 1-K-2024-41 ")</f>
        <v xml:space="preserve"> 1-K-2024-41 </v>
      </c>
      <c r="E587" s="16" t="str">
        <f ca="1">IFERROR(__xludf.DUMMYFUNCTION("""COMPUTED_VALUE""")," En Ejecución ")</f>
        <v xml:space="preserve"> En Ejecución </v>
      </c>
      <c r="F587" s="17">
        <f ca="1">IFERROR(__xludf.DUMMYFUNCTION("""COMPUTED_VALUE"""),45504)</f>
        <v>45504</v>
      </c>
      <c r="G587" s="16">
        <f ca="1">IFERROR(__xludf.DUMMYFUNCTION("""COMPUTED_VALUE"""),156989864)</f>
        <v>156989864</v>
      </c>
      <c r="H587" s="16" t="str">
        <f ca="1">IFERROR(__xludf.DUMMYFUNCTION("""COMPUTED_VALUE""")," En Ejecución ")</f>
        <v xml:space="preserve"> En Ejecución </v>
      </c>
      <c r="I587" s="16">
        <f ca="1">IFERROR(__xludf.DUMMYFUNCTION("""COMPUTED_VALUE"""),78494932)</f>
        <v>78494932</v>
      </c>
      <c r="J587" s="83" t="s">
        <v>48</v>
      </c>
      <c r="K587" s="16"/>
      <c r="L587" s="16"/>
      <c r="M587" s="16"/>
      <c r="N587" s="19"/>
      <c r="O587" s="19"/>
      <c r="P587" s="19"/>
      <c r="Q587" s="19"/>
      <c r="R587" s="21">
        <f ca="1">IFERROR(__xludf.DUMMYFUNCTION("""COMPUTED_VALUE"""),78494932)</f>
        <v>78494932</v>
      </c>
      <c r="S587" s="19"/>
      <c r="T587" s="19"/>
      <c r="U587" s="19"/>
      <c r="V587" s="19"/>
      <c r="W587" s="20">
        <f ca="1">IFERROR(__xludf.DUMMYFUNCTION("""COMPUTED_VALUE"""),78494932)</f>
        <v>78494932</v>
      </c>
      <c r="X587" s="20" t="str">
        <f ca="1">IFERROR(__xludf.DUMMYFUNCTION("""COMPUTED_VALUE""")," MUNICIPALIDAD DE LOTA ")</f>
        <v xml:space="preserve"> MUNICIPALIDAD DE LOTA </v>
      </c>
    </row>
    <row r="588" spans="1:24" ht="15.75" customHeight="1" x14ac:dyDescent="0.25">
      <c r="A588" s="16" t="str">
        <f ca="1">IFERROR(__xludf.DUMMYFUNCTION("""COMPUTED_VALUE""")," REGIÓN DEL BIOBÍO ")</f>
        <v xml:space="preserve"> REGIÓN DEL BIOBÍO </v>
      </c>
      <c r="B588" s="16" t="str">
        <f t="shared" ca="1" si="2"/>
        <v xml:space="preserve"> LOTA </v>
      </c>
      <c r="C588" s="16" t="str">
        <f ca="1">IFERROR(__xludf.DUMMYFUNCTION("""COMPUTED_VALUE""")," MEJORAMIENTO PASAMANOS SECTOR LAUTARO, LOTA. ")</f>
        <v xml:space="preserve"> MEJORAMIENTO PASAMANOS SECTOR LAUTARO, LOTA. </v>
      </c>
      <c r="D588" s="16" t="str">
        <f ca="1">IFERROR(__xludf.DUMMYFUNCTION("""COMPUTED_VALUE""")," 1-K-2024-42 ")</f>
        <v xml:space="preserve"> 1-K-2024-42 </v>
      </c>
      <c r="E588" s="16" t="str">
        <f ca="1">IFERROR(__xludf.DUMMYFUNCTION("""COMPUTED_VALUE""")," En Ejecución ")</f>
        <v xml:space="preserve"> En Ejecución </v>
      </c>
      <c r="F588" s="17">
        <f ca="1">IFERROR(__xludf.DUMMYFUNCTION("""COMPUTED_VALUE"""),45504)</f>
        <v>45504</v>
      </c>
      <c r="G588" s="16">
        <f ca="1">IFERROR(__xludf.DUMMYFUNCTION("""COMPUTED_VALUE"""),151307217)</f>
        <v>151307217</v>
      </c>
      <c r="H588" s="16" t="str">
        <f ca="1">IFERROR(__xludf.DUMMYFUNCTION("""COMPUTED_VALUE""")," En Ejecución ")</f>
        <v xml:space="preserve"> En Ejecución </v>
      </c>
      <c r="I588" s="16">
        <f ca="1">IFERROR(__xludf.DUMMYFUNCTION("""COMPUTED_VALUE"""),75653609)</f>
        <v>75653609</v>
      </c>
      <c r="J588" s="83" t="s">
        <v>48</v>
      </c>
      <c r="K588" s="16"/>
      <c r="L588" s="16"/>
      <c r="M588" s="16"/>
      <c r="N588" s="19"/>
      <c r="O588" s="19"/>
      <c r="P588" s="19"/>
      <c r="Q588" s="19"/>
      <c r="R588" s="21">
        <f ca="1">IFERROR(__xludf.DUMMYFUNCTION("""COMPUTED_VALUE"""),75653609)</f>
        <v>75653609</v>
      </c>
      <c r="S588" s="19"/>
      <c r="T588" s="19"/>
      <c r="U588" s="19"/>
      <c r="V588" s="19"/>
      <c r="W588" s="20">
        <f ca="1">IFERROR(__xludf.DUMMYFUNCTION("""COMPUTED_VALUE"""),75653609)</f>
        <v>75653609</v>
      </c>
      <c r="X588" s="20" t="str">
        <f ca="1">IFERROR(__xludf.DUMMYFUNCTION("""COMPUTED_VALUE""")," MUNICIPALIDAD DE LOTA ")</f>
        <v xml:space="preserve"> MUNICIPALIDAD DE LOTA </v>
      </c>
    </row>
    <row r="589" spans="1:24" ht="15.75" customHeight="1" x14ac:dyDescent="0.25">
      <c r="A589" s="16" t="str">
        <f ca="1">IFERROR(__xludf.DUMMYFUNCTION("""COMPUTED_VALUE""")," REGIÓN DEL BIOBÍO ")</f>
        <v xml:space="preserve"> REGIÓN DEL BIOBÍO </v>
      </c>
      <c r="B589" s="16" t="str">
        <f t="shared" ca="1" si="2"/>
        <v xml:space="preserve"> LOTA </v>
      </c>
      <c r="C589" s="16" t="str">
        <f ca="1">IFERROR(__xludf.DUMMYFUNCTION("""COMPUTED_VALUE""")," MEJORAMIENTO MURO DE CONTENCIÓN CALLE L. MEDEL SECTOR ISIDORA GOYENECHEA, LOTA. ")</f>
        <v xml:space="preserve"> MEJORAMIENTO MURO DE CONTENCIÓN CALLE L. MEDEL SECTOR ISIDORA GOYENECHEA, LOTA. </v>
      </c>
      <c r="D589" s="16" t="str">
        <f ca="1">IFERROR(__xludf.DUMMYFUNCTION("""COMPUTED_VALUE""")," 1-K-2024-43 ")</f>
        <v xml:space="preserve"> 1-K-2024-43 </v>
      </c>
      <c r="E589" s="16" t="str">
        <f ca="1">IFERROR(__xludf.DUMMYFUNCTION("""COMPUTED_VALUE""")," En Ejecución ")</f>
        <v xml:space="preserve"> En Ejecución </v>
      </c>
      <c r="F589" s="17">
        <f ca="1">IFERROR(__xludf.DUMMYFUNCTION("""COMPUTED_VALUE"""),45504)</f>
        <v>45504</v>
      </c>
      <c r="G589" s="16">
        <f ca="1">IFERROR(__xludf.DUMMYFUNCTION("""COMPUTED_VALUE"""),160758351)</f>
        <v>160758351</v>
      </c>
      <c r="H589" s="16" t="str">
        <f ca="1">IFERROR(__xludf.DUMMYFUNCTION("""COMPUTED_VALUE""")," En Ejecución ")</f>
        <v xml:space="preserve"> En Ejecución </v>
      </c>
      <c r="I589" s="16">
        <f ca="1">IFERROR(__xludf.DUMMYFUNCTION("""COMPUTED_VALUE"""),80379176)</f>
        <v>80379176</v>
      </c>
      <c r="J589" s="83" t="s">
        <v>48</v>
      </c>
      <c r="K589" s="16"/>
      <c r="L589" s="16"/>
      <c r="M589" s="16"/>
      <c r="N589" s="19"/>
      <c r="O589" s="19"/>
      <c r="P589" s="19"/>
      <c r="Q589" s="19"/>
      <c r="R589" s="21">
        <f ca="1">IFERROR(__xludf.DUMMYFUNCTION("""COMPUTED_VALUE"""),80379176)</f>
        <v>80379176</v>
      </c>
      <c r="S589" s="19"/>
      <c r="T589" s="19"/>
      <c r="U589" s="19"/>
      <c r="V589" s="19"/>
      <c r="W589" s="20">
        <f ca="1">IFERROR(__xludf.DUMMYFUNCTION("""COMPUTED_VALUE"""),80379176)</f>
        <v>80379176</v>
      </c>
      <c r="X589" s="20" t="str">
        <f ca="1">IFERROR(__xludf.DUMMYFUNCTION("""COMPUTED_VALUE""")," MUNICIPALIDAD DE LOTA ")</f>
        <v xml:space="preserve"> MUNICIPALIDAD DE LOTA </v>
      </c>
    </row>
    <row r="590" spans="1:24" ht="15.75" customHeight="1" x14ac:dyDescent="0.25">
      <c r="A590" s="16" t="str">
        <f ca="1">IFERROR(__xludf.DUMMYFUNCTION("""COMPUTED_VALUE""")," REGIÓN DEL BIOBÍO ")</f>
        <v xml:space="preserve"> REGIÓN DEL BIOBÍO </v>
      </c>
      <c r="B590" s="16" t="str">
        <f t="shared" ca="1" si="2"/>
        <v xml:space="preserve"> LOTA </v>
      </c>
      <c r="C590" s="16" t="str">
        <f ca="1">IFERROR(__xludf.DUMMYFUNCTION("""COMPUTED_VALUE""")," REPOSICIÓN DE ACERA Y CONSTRUCCIÓN DE PASAMANOS PASAJE LAS LILAS SECTOR VISTA HERMOSA, LOTA. ")</f>
        <v xml:space="preserve"> REPOSICIÓN DE ACERA Y CONSTRUCCIÓN DE PASAMANOS PASAJE LAS LILAS SECTOR VISTA HERMOSA, LOTA. </v>
      </c>
      <c r="D590" s="16" t="str">
        <f ca="1">IFERROR(__xludf.DUMMYFUNCTION("""COMPUTED_VALUE""")," 1-K-2024-44 ")</f>
        <v xml:space="preserve"> 1-K-2024-44 </v>
      </c>
      <c r="E590" s="16" t="str">
        <f ca="1">IFERROR(__xludf.DUMMYFUNCTION("""COMPUTED_VALUE""")," En Ejecución ")</f>
        <v xml:space="preserve"> En Ejecución </v>
      </c>
      <c r="F590" s="17">
        <f ca="1">IFERROR(__xludf.DUMMYFUNCTION("""COMPUTED_VALUE"""),45504)</f>
        <v>45504</v>
      </c>
      <c r="G590" s="16">
        <f ca="1">IFERROR(__xludf.DUMMYFUNCTION("""COMPUTED_VALUE"""),153513674)</f>
        <v>153513674</v>
      </c>
      <c r="H590" s="16" t="str">
        <f ca="1">IFERROR(__xludf.DUMMYFUNCTION("""COMPUTED_VALUE""")," En Ejecución ")</f>
        <v xml:space="preserve"> En Ejecución </v>
      </c>
      <c r="I590" s="16">
        <f ca="1">IFERROR(__xludf.DUMMYFUNCTION("""COMPUTED_VALUE"""),76756837)</f>
        <v>76756837</v>
      </c>
      <c r="J590" s="83" t="s">
        <v>48</v>
      </c>
      <c r="K590" s="16"/>
      <c r="L590" s="16"/>
      <c r="M590" s="16"/>
      <c r="N590" s="19"/>
      <c r="O590" s="19"/>
      <c r="P590" s="19"/>
      <c r="Q590" s="19"/>
      <c r="R590" s="21">
        <f ca="1">IFERROR(__xludf.DUMMYFUNCTION("""COMPUTED_VALUE"""),76756837)</f>
        <v>76756837</v>
      </c>
      <c r="S590" s="19"/>
      <c r="T590" s="19"/>
      <c r="U590" s="19"/>
      <c r="V590" s="19"/>
      <c r="W590" s="20">
        <f ca="1">IFERROR(__xludf.DUMMYFUNCTION("""COMPUTED_VALUE"""),76756837)</f>
        <v>76756837</v>
      </c>
      <c r="X590" s="20" t="str">
        <f ca="1">IFERROR(__xludf.DUMMYFUNCTION("""COMPUTED_VALUE""")," MUNICIPALIDAD DE LOTA ")</f>
        <v xml:space="preserve"> MUNICIPALIDAD DE LOTA </v>
      </c>
    </row>
    <row r="591" spans="1:24" ht="15.75" customHeight="1" x14ac:dyDescent="0.25">
      <c r="A591" s="16" t="str">
        <f ca="1">IFERROR(__xludf.DUMMYFUNCTION("""COMPUTED_VALUE""")," REGIÓN DEL BIOBÍO ")</f>
        <v xml:space="preserve"> REGIÓN DEL BIOBÍO </v>
      </c>
      <c r="B591" s="16" t="str">
        <f t="shared" ca="1" si="2"/>
        <v xml:space="preserve"> LOTA </v>
      </c>
      <c r="C591" s="16" t="str">
        <f ca="1">IFERROR(__xludf.DUMMYFUNCTION("""COMPUTED_VALUE""")," CONSTRUCCIÓN PASAMANOS CALLE N°2 SECTOR SAN MARTÍN, LOTA. ")</f>
        <v xml:space="preserve"> CONSTRUCCIÓN PASAMANOS CALLE N°2 SECTOR SAN MARTÍN, LOTA. </v>
      </c>
      <c r="D591" s="16" t="str">
        <f ca="1">IFERROR(__xludf.DUMMYFUNCTION("""COMPUTED_VALUE""")," 1-K-2024-46 ")</f>
        <v xml:space="preserve"> 1-K-2024-46 </v>
      </c>
      <c r="E591" s="16" t="str">
        <f ca="1">IFERROR(__xludf.DUMMYFUNCTION("""COMPUTED_VALUE""")," En Ejecución ")</f>
        <v xml:space="preserve"> En Ejecución </v>
      </c>
      <c r="F591" s="17">
        <f ca="1">IFERROR(__xludf.DUMMYFUNCTION("""COMPUTED_VALUE"""),45504)</f>
        <v>45504</v>
      </c>
      <c r="G591" s="16">
        <f ca="1">IFERROR(__xludf.DUMMYFUNCTION("""COMPUTED_VALUE"""),151622215)</f>
        <v>151622215</v>
      </c>
      <c r="H591" s="16" t="str">
        <f ca="1">IFERROR(__xludf.DUMMYFUNCTION("""COMPUTED_VALUE""")," En Ejecución ")</f>
        <v xml:space="preserve"> En Ejecución </v>
      </c>
      <c r="I591" s="16">
        <f ca="1">IFERROR(__xludf.DUMMYFUNCTION("""COMPUTED_VALUE"""),75811108)</f>
        <v>75811108</v>
      </c>
      <c r="J591" s="83" t="s">
        <v>48</v>
      </c>
      <c r="K591" s="16"/>
      <c r="L591" s="16"/>
      <c r="M591" s="16"/>
      <c r="N591" s="19"/>
      <c r="O591" s="19"/>
      <c r="P591" s="19"/>
      <c r="Q591" s="19"/>
      <c r="R591" s="21">
        <f ca="1">IFERROR(__xludf.DUMMYFUNCTION("""COMPUTED_VALUE"""),75811108)</f>
        <v>75811108</v>
      </c>
      <c r="S591" s="19"/>
      <c r="T591" s="19"/>
      <c r="U591" s="19"/>
      <c r="V591" s="19"/>
      <c r="W591" s="20">
        <f ca="1">IFERROR(__xludf.DUMMYFUNCTION("""COMPUTED_VALUE"""),75811108)</f>
        <v>75811108</v>
      </c>
      <c r="X591" s="20" t="str">
        <f ca="1">IFERROR(__xludf.DUMMYFUNCTION("""COMPUTED_VALUE""")," MUNICIPALIDAD DE LOTA ")</f>
        <v xml:space="preserve"> MUNICIPALIDAD DE LOTA </v>
      </c>
    </row>
    <row r="592" spans="1:24" ht="15.75" customHeight="1" x14ac:dyDescent="0.25">
      <c r="A592" s="16" t="str">
        <f ca="1">IFERROR(__xludf.DUMMYFUNCTION("""COMPUTED_VALUE""")," REGIÓN DEL BIOBÍO ")</f>
        <v xml:space="preserve"> REGIÓN DEL BIOBÍO </v>
      </c>
      <c r="B592" s="16" t="str">
        <f t="shared" ca="1" si="2"/>
        <v xml:space="preserve"> LOTA </v>
      </c>
      <c r="C592" s="16" t="str">
        <f ca="1">IFERROR(__xludf.DUMMYFUNCTION("""COMPUTED_VALUE""")," CONSTRUCCIÓN DEFENSA CAMIONERA Y REPOSICIÓN DE PASAMANOS CALLE GALVARINO SECTOR CENTRO DE LOTA. ")</f>
        <v xml:space="preserve"> CONSTRUCCIÓN DEFENSA CAMIONERA Y REPOSICIÓN DE PASAMANOS CALLE GALVARINO SECTOR CENTRO DE LOTA. </v>
      </c>
      <c r="D592" s="16" t="str">
        <f ca="1">IFERROR(__xludf.DUMMYFUNCTION("""COMPUTED_VALUE""")," 1-K-2024-47 ")</f>
        <v xml:space="preserve"> 1-K-2024-47 </v>
      </c>
      <c r="E592" s="16" t="str">
        <f ca="1">IFERROR(__xludf.DUMMYFUNCTION("""COMPUTED_VALUE""")," En Ejecución ")</f>
        <v xml:space="preserve"> En Ejecución </v>
      </c>
      <c r="F592" s="17">
        <f ca="1">IFERROR(__xludf.DUMMYFUNCTION("""COMPUTED_VALUE"""),45504)</f>
        <v>45504</v>
      </c>
      <c r="G592" s="16">
        <f ca="1">IFERROR(__xludf.DUMMYFUNCTION("""COMPUTED_VALUE"""),156335325)</f>
        <v>156335325</v>
      </c>
      <c r="H592" s="16" t="str">
        <f ca="1">IFERROR(__xludf.DUMMYFUNCTION("""COMPUTED_VALUE""")," En Ejecución ")</f>
        <v xml:space="preserve"> En Ejecución </v>
      </c>
      <c r="I592" s="16">
        <f ca="1">IFERROR(__xludf.DUMMYFUNCTION("""COMPUTED_VALUE"""),78167663)</f>
        <v>78167663</v>
      </c>
      <c r="J592" s="83" t="s">
        <v>48</v>
      </c>
      <c r="K592" s="16"/>
      <c r="L592" s="16"/>
      <c r="M592" s="16"/>
      <c r="N592" s="19"/>
      <c r="O592" s="19"/>
      <c r="P592" s="19"/>
      <c r="Q592" s="19"/>
      <c r="R592" s="21">
        <f ca="1">IFERROR(__xludf.DUMMYFUNCTION("""COMPUTED_VALUE"""),78167663)</f>
        <v>78167663</v>
      </c>
      <c r="S592" s="19"/>
      <c r="T592" s="19"/>
      <c r="U592" s="19"/>
      <c r="V592" s="19"/>
      <c r="W592" s="20">
        <f ca="1">IFERROR(__xludf.DUMMYFUNCTION("""COMPUTED_VALUE"""),78167663)</f>
        <v>78167663</v>
      </c>
      <c r="X592" s="20" t="str">
        <f ca="1">IFERROR(__xludf.DUMMYFUNCTION("""COMPUTED_VALUE""")," MUNICIPALIDAD DE LOTA ")</f>
        <v xml:space="preserve"> MUNICIPALIDAD DE LOTA </v>
      </c>
    </row>
    <row r="593" spans="1:24" ht="15.75" customHeight="1" x14ac:dyDescent="0.25">
      <c r="A593" s="16" t="str">
        <f ca="1">IFERROR(__xludf.DUMMYFUNCTION("""COMPUTED_VALUE""")," REGIÓN DEL BIOBÍO ")</f>
        <v xml:space="preserve"> REGIÓN DEL BIOBÍO </v>
      </c>
      <c r="B593" s="16" t="str">
        <f t="shared" ca="1" si="2"/>
        <v xml:space="preserve"> LOTA </v>
      </c>
      <c r="C593" s="16" t="str">
        <f ca="1">IFERROR(__xludf.DUMMYFUNCTION("""COMPUTED_VALUE""")," CONSTRUCCIÓN MIRADOR JULIO MONTT SECTOR CALERO SUR, LOTA. ")</f>
        <v xml:space="preserve"> CONSTRUCCIÓN MIRADOR JULIO MONTT SECTOR CALERO SUR, LOTA. </v>
      </c>
      <c r="D593" s="16" t="str">
        <f ca="1">IFERROR(__xludf.DUMMYFUNCTION("""COMPUTED_VALUE""")," 1-K-2024-48 ")</f>
        <v xml:space="preserve"> 1-K-2024-48 </v>
      </c>
      <c r="E593" s="16" t="str">
        <f ca="1">IFERROR(__xludf.DUMMYFUNCTION("""COMPUTED_VALUE""")," En Ejecución ")</f>
        <v xml:space="preserve"> En Ejecución </v>
      </c>
      <c r="F593" s="17">
        <f ca="1">IFERROR(__xludf.DUMMYFUNCTION("""COMPUTED_VALUE"""),45504)</f>
        <v>45504</v>
      </c>
      <c r="G593" s="16">
        <f ca="1">IFERROR(__xludf.DUMMYFUNCTION("""COMPUTED_VALUE"""),159159152)</f>
        <v>159159152</v>
      </c>
      <c r="H593" s="16" t="str">
        <f ca="1">IFERROR(__xludf.DUMMYFUNCTION("""COMPUTED_VALUE""")," En Ejecución ")</f>
        <v xml:space="preserve"> En Ejecución </v>
      </c>
      <c r="I593" s="16">
        <f ca="1">IFERROR(__xludf.DUMMYFUNCTION("""COMPUTED_VALUE"""),79579576)</f>
        <v>79579576</v>
      </c>
      <c r="J593" s="83" t="s">
        <v>48</v>
      </c>
      <c r="K593" s="16"/>
      <c r="L593" s="16"/>
      <c r="M593" s="16"/>
      <c r="N593" s="19"/>
      <c r="O593" s="19"/>
      <c r="P593" s="19"/>
      <c r="Q593" s="19"/>
      <c r="R593" s="21">
        <f ca="1">IFERROR(__xludf.DUMMYFUNCTION("""COMPUTED_VALUE"""),79579576)</f>
        <v>79579576</v>
      </c>
      <c r="S593" s="19"/>
      <c r="T593" s="19"/>
      <c r="U593" s="19"/>
      <c r="V593" s="19"/>
      <c r="W593" s="20">
        <f ca="1">IFERROR(__xludf.DUMMYFUNCTION("""COMPUTED_VALUE"""),79579576)</f>
        <v>79579576</v>
      </c>
      <c r="X593" s="20" t="str">
        <f ca="1">IFERROR(__xludf.DUMMYFUNCTION("""COMPUTED_VALUE""")," MUNICIPALIDAD DE LOTA ")</f>
        <v xml:space="preserve"> MUNICIPALIDAD DE LOTA </v>
      </c>
    </row>
    <row r="594" spans="1:24" ht="15.75" customHeight="1" x14ac:dyDescent="0.25">
      <c r="A594" s="16" t="str">
        <f ca="1">IFERROR(__xludf.DUMMYFUNCTION("""COMPUTED_VALUE""")," REGIÓN DEL BIOBÍO ")</f>
        <v xml:space="preserve"> REGIÓN DEL BIOBÍO </v>
      </c>
      <c r="B594" s="16" t="str">
        <f t="shared" ca="1" si="2"/>
        <v xml:space="preserve"> LOTA </v>
      </c>
      <c r="C594" s="16" t="str">
        <f ca="1">IFERROR(__xludf.DUMMYFUNCTION("""COMPUTED_VALUE""")," CONSTRUCCIÓN MURO DE CONTENCIÓN Y MEJORAMIENTO DE ACERA ENTRE CALLES LAS GOLONDRINAS Y LOS ZORZALES SECTOR CANTERA, LOTA. ")</f>
        <v xml:space="preserve"> CONSTRUCCIÓN MURO DE CONTENCIÓN Y MEJORAMIENTO DE ACERA ENTRE CALLES LAS GOLONDRINAS Y LOS ZORZALES SECTOR CANTERA, LOTA. </v>
      </c>
      <c r="D594" s="16" t="str">
        <f ca="1">IFERROR(__xludf.DUMMYFUNCTION("""COMPUTED_VALUE""")," 1-K-2024-49 ")</f>
        <v xml:space="preserve"> 1-K-2024-49 </v>
      </c>
      <c r="E594" s="16" t="str">
        <f ca="1">IFERROR(__xludf.DUMMYFUNCTION("""COMPUTED_VALUE""")," En Ejecución ")</f>
        <v xml:space="preserve"> En Ejecución </v>
      </c>
      <c r="F594" s="17">
        <f ca="1">IFERROR(__xludf.DUMMYFUNCTION("""COMPUTED_VALUE"""),45504)</f>
        <v>45504</v>
      </c>
      <c r="G594" s="16">
        <f ca="1">IFERROR(__xludf.DUMMYFUNCTION("""COMPUTED_VALUE"""),157657476)</f>
        <v>157657476</v>
      </c>
      <c r="H594" s="16" t="str">
        <f ca="1">IFERROR(__xludf.DUMMYFUNCTION("""COMPUTED_VALUE""")," En Ejecución ")</f>
        <v xml:space="preserve"> En Ejecución </v>
      </c>
      <c r="I594" s="16">
        <f ca="1">IFERROR(__xludf.DUMMYFUNCTION("""COMPUTED_VALUE"""),78828738)</f>
        <v>78828738</v>
      </c>
      <c r="J594" s="83" t="s">
        <v>48</v>
      </c>
      <c r="K594" s="16"/>
      <c r="L594" s="16"/>
      <c r="M594" s="16"/>
      <c r="N594" s="19"/>
      <c r="O594" s="19"/>
      <c r="P594" s="19"/>
      <c r="Q594" s="19"/>
      <c r="R594" s="21">
        <f ca="1">IFERROR(__xludf.DUMMYFUNCTION("""COMPUTED_VALUE"""),78828738)</f>
        <v>78828738</v>
      </c>
      <c r="S594" s="19"/>
      <c r="T594" s="19"/>
      <c r="U594" s="19"/>
      <c r="V594" s="19"/>
      <c r="W594" s="20">
        <f ca="1">IFERROR(__xludf.DUMMYFUNCTION("""COMPUTED_VALUE"""),78828738)</f>
        <v>78828738</v>
      </c>
      <c r="X594" s="20" t="str">
        <f ca="1">IFERROR(__xludf.DUMMYFUNCTION("""COMPUTED_VALUE""")," MUNICIPALIDAD DE LOTA ")</f>
        <v xml:space="preserve"> MUNICIPALIDAD DE LOTA </v>
      </c>
    </row>
    <row r="595" spans="1:24" ht="15.75" customHeight="1" x14ac:dyDescent="0.25">
      <c r="A595" s="16" t="str">
        <f ca="1">IFERROR(__xludf.DUMMYFUNCTION("""COMPUTED_VALUE""")," REGIÓN DEL BIOBÍO ")</f>
        <v xml:space="preserve"> REGIÓN DEL BIOBÍO </v>
      </c>
      <c r="B595" s="16" t="str">
        <f t="shared" ca="1" si="2"/>
        <v xml:space="preserve"> LOTA </v>
      </c>
      <c r="C595" s="16" t="str">
        <f ca="1">IFERROR(__xludf.DUMMYFUNCTION("""COMPUTED_VALUE""")," CONSTRUCCIÓN PASAMANOS SECTOR 21 DE MAYO, LOTA. ")</f>
        <v xml:space="preserve"> CONSTRUCCIÓN PASAMANOS SECTOR 21 DE MAYO, LOTA. </v>
      </c>
      <c r="D595" s="16" t="str">
        <f ca="1">IFERROR(__xludf.DUMMYFUNCTION("""COMPUTED_VALUE""")," 1-K-2024-50 ")</f>
        <v xml:space="preserve"> 1-K-2024-50 </v>
      </c>
      <c r="E595" s="16" t="str">
        <f ca="1">IFERROR(__xludf.DUMMYFUNCTION("""COMPUTED_VALUE""")," En Ejecución ")</f>
        <v xml:space="preserve"> En Ejecución </v>
      </c>
      <c r="F595" s="17">
        <f ca="1">IFERROR(__xludf.DUMMYFUNCTION("""COMPUTED_VALUE"""),45504)</f>
        <v>45504</v>
      </c>
      <c r="G595" s="16">
        <f ca="1">IFERROR(__xludf.DUMMYFUNCTION("""COMPUTED_VALUE"""),150836261)</f>
        <v>150836261</v>
      </c>
      <c r="H595" s="16" t="str">
        <f ca="1">IFERROR(__xludf.DUMMYFUNCTION("""COMPUTED_VALUE""")," En Ejecución ")</f>
        <v xml:space="preserve"> En Ejecución </v>
      </c>
      <c r="I595" s="16">
        <f ca="1">IFERROR(__xludf.DUMMYFUNCTION("""COMPUTED_VALUE"""),30167252)</f>
        <v>30167252</v>
      </c>
      <c r="J595" s="83" t="s">
        <v>48</v>
      </c>
      <c r="K595" s="16"/>
      <c r="L595" s="16"/>
      <c r="M595" s="16"/>
      <c r="N595" s="19"/>
      <c r="O595" s="19"/>
      <c r="P595" s="19"/>
      <c r="Q595" s="19"/>
      <c r="R595" s="21">
        <f ca="1">IFERROR(__xludf.DUMMYFUNCTION("""COMPUTED_VALUE"""),30167252)</f>
        <v>30167252</v>
      </c>
      <c r="S595" s="19"/>
      <c r="T595" s="19"/>
      <c r="U595" s="19"/>
      <c r="V595" s="19"/>
      <c r="W595" s="20">
        <f ca="1">IFERROR(__xludf.DUMMYFUNCTION("""COMPUTED_VALUE"""),30167252)</f>
        <v>30167252</v>
      </c>
      <c r="X595" s="20" t="str">
        <f ca="1">IFERROR(__xludf.DUMMYFUNCTION("""COMPUTED_VALUE""")," MUNICIPALIDAD DE LOTA ")</f>
        <v xml:space="preserve"> MUNICIPALIDAD DE LOTA </v>
      </c>
    </row>
    <row r="596" spans="1:24" ht="15.75" customHeight="1" x14ac:dyDescent="0.25">
      <c r="A596" s="16" t="str">
        <f ca="1">IFERROR(__xludf.DUMMYFUNCTION("""COMPUTED_VALUE""")," REGIÓN DEL BIOBÍO ")</f>
        <v xml:space="preserve"> REGIÓN DEL BIOBÍO </v>
      </c>
      <c r="B596" s="16" t="str">
        <f t="shared" ca="1" si="2"/>
        <v xml:space="preserve"> LOTA </v>
      </c>
      <c r="C596" s="16" t="str">
        <f ca="1">IFERROR(__xludf.DUMMYFUNCTION("""COMPUTED_VALUE""")," CONSTRUCCIÓN PASAMANOS SECTOR 21 DE MAYO, LOTA. ")</f>
        <v xml:space="preserve"> CONSTRUCCIÓN PASAMANOS SECTOR 21 DE MAYO, LOTA. </v>
      </c>
      <c r="D596" s="16" t="str">
        <f ca="1">IFERROR(__xludf.DUMMYFUNCTION("""COMPUTED_VALUE""")," 1-K-2024-50 ")</f>
        <v xml:space="preserve"> 1-K-2024-50 </v>
      </c>
      <c r="E596" s="16" t="str">
        <f ca="1">IFERROR(__xludf.DUMMYFUNCTION("""COMPUTED_VALUE""")," En Ejecución ")</f>
        <v xml:space="preserve"> En Ejecución </v>
      </c>
      <c r="F596" s="17">
        <f ca="1">IFERROR(__xludf.DUMMYFUNCTION("""COMPUTED_VALUE"""),45504)</f>
        <v>45504</v>
      </c>
      <c r="G596" s="16">
        <f ca="1">IFERROR(__xludf.DUMMYFUNCTION("""COMPUTED_VALUE"""),150836261)</f>
        <v>150836261</v>
      </c>
      <c r="H596" s="16" t="str">
        <f ca="1">IFERROR(__xludf.DUMMYFUNCTION("""COMPUTED_VALUE""")," En Ejecución ")</f>
        <v xml:space="preserve"> En Ejecución </v>
      </c>
      <c r="I596" s="16">
        <f ca="1">IFERROR(__xludf.DUMMYFUNCTION("""COMPUTED_VALUE"""),45250878)</f>
        <v>45250878</v>
      </c>
      <c r="J596" s="83" t="s">
        <v>48</v>
      </c>
      <c r="K596" s="16"/>
      <c r="L596" s="16"/>
      <c r="M596" s="16"/>
      <c r="N596" s="19"/>
      <c r="O596" s="19"/>
      <c r="P596" s="19"/>
      <c r="Q596" s="19"/>
      <c r="R596" s="21">
        <f ca="1">IFERROR(__xludf.DUMMYFUNCTION("""COMPUTED_VALUE"""),45250878)</f>
        <v>45250878</v>
      </c>
      <c r="S596" s="19"/>
      <c r="T596" s="19"/>
      <c r="U596" s="19"/>
      <c r="V596" s="19"/>
      <c r="W596" s="20">
        <f ca="1">IFERROR(__xludf.DUMMYFUNCTION("""COMPUTED_VALUE"""),45250878)</f>
        <v>45250878</v>
      </c>
      <c r="X596" s="20" t="str">
        <f ca="1">IFERROR(__xludf.DUMMYFUNCTION("""COMPUTED_VALUE""")," MUNICIPALIDAD DE LOTA ")</f>
        <v xml:space="preserve"> MUNICIPALIDAD DE LOTA </v>
      </c>
    </row>
    <row r="597" spans="1:24" ht="15.75" customHeight="1" x14ac:dyDescent="0.25">
      <c r="A597" s="16" t="str">
        <f ca="1">IFERROR(__xludf.DUMMYFUNCTION("""COMPUTED_VALUE""")," REGIÓN DEL BIOBÍO ")</f>
        <v xml:space="preserve"> REGIÓN DEL BIOBÍO </v>
      </c>
      <c r="B597" s="16" t="str">
        <f t="shared" ca="1" si="2"/>
        <v xml:space="preserve"> LOTA </v>
      </c>
      <c r="C597" s="16" t="str">
        <f ca="1">IFERROR(__xludf.DUMMYFUNCTION("""COMPUTED_VALUE""")," CONSTRUCCIÓNM REDUCTOR DE VELOCIDAD CALLE CAUPOLICAN SECTOR SAN MARTIN, LOTA. ")</f>
        <v xml:space="preserve"> CONSTRUCCIÓNM REDUCTOR DE VELOCIDAD CALLE CAUPOLICAN SECTOR SAN MARTIN, LOTA. </v>
      </c>
      <c r="D597" s="16" t="str">
        <f ca="1">IFERROR(__xludf.DUMMYFUNCTION("""COMPUTED_VALUE""")," 1-K-2024-51 ")</f>
        <v xml:space="preserve"> 1-K-2024-51 </v>
      </c>
      <c r="E597" s="16" t="str">
        <f ca="1">IFERROR(__xludf.DUMMYFUNCTION("""COMPUTED_VALUE""")," En Ejecución ")</f>
        <v xml:space="preserve"> En Ejecución </v>
      </c>
      <c r="F597" s="17">
        <f ca="1">IFERROR(__xludf.DUMMYFUNCTION("""COMPUTED_VALUE"""),45504)</f>
        <v>45504</v>
      </c>
      <c r="G597" s="16">
        <f ca="1">IFERROR(__xludf.DUMMYFUNCTION("""COMPUTED_VALUE"""),154021775)</f>
        <v>154021775</v>
      </c>
      <c r="H597" s="16" t="str">
        <f ca="1">IFERROR(__xludf.DUMMYFUNCTION("""COMPUTED_VALUE""")," En Ejecución ")</f>
        <v xml:space="preserve"> En Ejecución </v>
      </c>
      <c r="I597" s="16">
        <f ca="1">IFERROR(__xludf.DUMMYFUNCTION("""COMPUTED_VALUE"""),30804355)</f>
        <v>30804355</v>
      </c>
      <c r="J597" s="83" t="s">
        <v>48</v>
      </c>
      <c r="K597" s="16"/>
      <c r="L597" s="16"/>
      <c r="M597" s="16"/>
      <c r="N597" s="19"/>
      <c r="O597" s="19"/>
      <c r="P597" s="19"/>
      <c r="Q597" s="19"/>
      <c r="R597" s="21">
        <f ca="1">IFERROR(__xludf.DUMMYFUNCTION("""COMPUTED_VALUE"""),30804355)</f>
        <v>30804355</v>
      </c>
      <c r="S597" s="19"/>
      <c r="T597" s="19"/>
      <c r="U597" s="19"/>
      <c r="V597" s="19"/>
      <c r="W597" s="20">
        <f ca="1">IFERROR(__xludf.DUMMYFUNCTION("""COMPUTED_VALUE"""),30804355)</f>
        <v>30804355</v>
      </c>
      <c r="X597" s="20" t="str">
        <f ca="1">IFERROR(__xludf.DUMMYFUNCTION("""COMPUTED_VALUE""")," MUNICIPALIDAD DE LOTA ")</f>
        <v xml:space="preserve"> MUNICIPALIDAD DE LOTA </v>
      </c>
    </row>
    <row r="598" spans="1:24" ht="15.75" customHeight="1" x14ac:dyDescent="0.25">
      <c r="A598" s="16" t="str">
        <f ca="1">IFERROR(__xludf.DUMMYFUNCTION("""COMPUTED_VALUE""")," REGIÓN DEL BIOBÍO ")</f>
        <v xml:space="preserve"> REGIÓN DEL BIOBÍO </v>
      </c>
      <c r="B598" s="16" t="str">
        <f t="shared" ca="1" si="2"/>
        <v xml:space="preserve"> LOTA </v>
      </c>
      <c r="C598" s="16" t="str">
        <f ca="1">IFERROR(__xludf.DUMMYFUNCTION("""COMPUTED_VALUE""")," CONSTRUCCIÓNM REDUCTOR DE VELOCIDAD CALLE CAUPOLICAN SECTOR SAN MARTIN, LOTA. ")</f>
        <v xml:space="preserve"> CONSTRUCCIÓNM REDUCTOR DE VELOCIDAD CALLE CAUPOLICAN SECTOR SAN MARTIN, LOTA. </v>
      </c>
      <c r="D598" s="16" t="str">
        <f ca="1">IFERROR(__xludf.DUMMYFUNCTION("""COMPUTED_VALUE""")," 1-K-2024-51 ")</f>
        <v xml:space="preserve"> 1-K-2024-51 </v>
      </c>
      <c r="E598" s="16" t="str">
        <f ca="1">IFERROR(__xludf.DUMMYFUNCTION("""COMPUTED_VALUE""")," En Ejecución ")</f>
        <v xml:space="preserve"> En Ejecución </v>
      </c>
      <c r="F598" s="17">
        <f ca="1">IFERROR(__xludf.DUMMYFUNCTION("""COMPUTED_VALUE"""),45504)</f>
        <v>45504</v>
      </c>
      <c r="G598" s="16">
        <f ca="1">IFERROR(__xludf.DUMMYFUNCTION("""COMPUTED_VALUE"""),154021775)</f>
        <v>154021775</v>
      </c>
      <c r="H598" s="16" t="str">
        <f ca="1">IFERROR(__xludf.DUMMYFUNCTION("""COMPUTED_VALUE""")," En Ejecución ")</f>
        <v xml:space="preserve"> En Ejecución </v>
      </c>
      <c r="I598" s="16">
        <f ca="1">IFERROR(__xludf.DUMMYFUNCTION("""COMPUTED_VALUE"""),46206524)</f>
        <v>46206524</v>
      </c>
      <c r="J598" s="83" t="s">
        <v>48</v>
      </c>
      <c r="K598" s="16"/>
      <c r="L598" s="16"/>
      <c r="M598" s="16"/>
      <c r="N598" s="19"/>
      <c r="O598" s="19"/>
      <c r="P598" s="19"/>
      <c r="Q598" s="19"/>
      <c r="R598" s="21">
        <f ca="1">IFERROR(__xludf.DUMMYFUNCTION("""COMPUTED_VALUE"""),46206524)</f>
        <v>46206524</v>
      </c>
      <c r="S598" s="19"/>
      <c r="T598" s="19"/>
      <c r="U598" s="19"/>
      <c r="V598" s="19"/>
      <c r="W598" s="20">
        <f ca="1">IFERROR(__xludf.DUMMYFUNCTION("""COMPUTED_VALUE"""),46206524)</f>
        <v>46206524</v>
      </c>
      <c r="X598" s="20" t="str">
        <f ca="1">IFERROR(__xludf.DUMMYFUNCTION("""COMPUTED_VALUE""")," MUNICIPALIDAD DE LOTA ")</f>
        <v xml:space="preserve"> MUNICIPALIDAD DE LOTA </v>
      </c>
    </row>
    <row r="599" spans="1:24" ht="15.75" customHeight="1" x14ac:dyDescent="0.25">
      <c r="A599" s="16" t="str">
        <f ca="1">IFERROR(__xludf.DUMMYFUNCTION("""COMPUTED_VALUE""")," REGIÓN DEL BIOBÍO ")</f>
        <v xml:space="preserve"> REGIÓN DEL BIOBÍO </v>
      </c>
      <c r="B599" s="16" t="str">
        <f t="shared" ca="1" si="2"/>
        <v xml:space="preserve"> TOMÉ </v>
      </c>
      <c r="C599" s="16" t="str">
        <f ca="1">IFERROR(__xludf.DUMMYFUNCTION("""COMPUTED_VALUE""")," MEJORAMIENTO SEDE SOCIAL VILLA MIRAMAR DICHATO, COMUNA DE TOME ")</f>
        <v xml:space="preserve"> MEJORAMIENTO SEDE SOCIAL VILLA MIRAMAR DICHATO, COMUNA DE TOME </v>
      </c>
      <c r="D599" s="16" t="str">
        <f ca="1">IFERROR(__xludf.DUMMYFUNCTION("""COMPUTED_VALUE""")," 1-B-2024-387 ")</f>
        <v xml:space="preserve"> 1-B-2024-387 </v>
      </c>
      <c r="E599" s="16" t="str">
        <f ca="1">IFERROR(__xludf.DUMMYFUNCTION("""COMPUTED_VALUE""")," En Ejecución ")</f>
        <v xml:space="preserve"> En Ejecución </v>
      </c>
      <c r="F599" s="17">
        <f ca="1">IFERROR(__xludf.DUMMYFUNCTION("""COMPUTED_VALUE"""),45504)</f>
        <v>45504</v>
      </c>
      <c r="G599" s="16">
        <f ca="1">IFERROR(__xludf.DUMMYFUNCTION("""COMPUTED_VALUE"""),112230679)</f>
        <v>112230679</v>
      </c>
      <c r="H599" s="16" t="str">
        <f ca="1">IFERROR(__xludf.DUMMYFUNCTION("""COMPUTED_VALUE""")," En Ejecución ")</f>
        <v xml:space="preserve"> En Ejecución </v>
      </c>
      <c r="I599" s="16">
        <f ca="1">IFERROR(__xludf.DUMMYFUNCTION("""COMPUTED_VALUE"""),56115340)</f>
        <v>56115340</v>
      </c>
      <c r="J599" s="83" t="s">
        <v>48</v>
      </c>
      <c r="K599" s="16"/>
      <c r="L599" s="16"/>
      <c r="M599" s="16"/>
      <c r="N599" s="19"/>
      <c r="O599" s="19"/>
      <c r="P599" s="19"/>
      <c r="Q599" s="19"/>
      <c r="R599" s="21">
        <f ca="1">IFERROR(__xludf.DUMMYFUNCTION("""COMPUTED_VALUE"""),56115340)</f>
        <v>56115340</v>
      </c>
      <c r="S599" s="19"/>
      <c r="T599" s="19"/>
      <c r="U599" s="19"/>
      <c r="V599" s="19"/>
      <c r="W599" s="20">
        <f ca="1">IFERROR(__xludf.DUMMYFUNCTION("""COMPUTED_VALUE"""),56115340)</f>
        <v>56115340</v>
      </c>
      <c r="X599" s="20" t="str">
        <f ca="1">IFERROR(__xludf.DUMMYFUNCTION("""COMPUTED_VALUE""")," MUNICIPALIDAD DE TOMÉ ")</f>
        <v xml:space="preserve"> MUNICIPALIDAD DE TOMÉ </v>
      </c>
    </row>
    <row r="600" spans="1:24" ht="15.75" customHeight="1" x14ac:dyDescent="0.25">
      <c r="A600" s="16" t="str">
        <f ca="1">IFERROR(__xludf.DUMMYFUNCTION("""COMPUTED_VALUE""")," REGIÓN DEL BIOBÍO ")</f>
        <v xml:space="preserve"> REGIÓN DEL BIOBÍO </v>
      </c>
      <c r="B600" s="16" t="str">
        <f t="shared" ca="1" si="2"/>
        <v xml:space="preserve"> TOMÉ </v>
      </c>
      <c r="C600" s="16" t="str">
        <f ca="1">IFERROR(__xludf.DUMMYFUNCTION("""COMPUTED_VALUE""")," MEJORAMIENTO SEDE SOCIAL VILLA NUEVO TOME, COMUNA DE TOME ")</f>
        <v xml:space="preserve"> MEJORAMIENTO SEDE SOCIAL VILLA NUEVO TOME, COMUNA DE TOME </v>
      </c>
      <c r="D600" s="16" t="str">
        <f ca="1">IFERROR(__xludf.DUMMYFUNCTION("""COMPUTED_VALUE""")," 1-B-2024-388 ")</f>
        <v xml:space="preserve"> 1-B-2024-388 </v>
      </c>
      <c r="E600" s="16" t="str">
        <f ca="1">IFERROR(__xludf.DUMMYFUNCTION("""COMPUTED_VALUE""")," En Ejecución ")</f>
        <v xml:space="preserve"> En Ejecución </v>
      </c>
      <c r="F600" s="17">
        <f ca="1">IFERROR(__xludf.DUMMYFUNCTION("""COMPUTED_VALUE"""),45504)</f>
        <v>45504</v>
      </c>
      <c r="G600" s="16">
        <f ca="1">IFERROR(__xludf.DUMMYFUNCTION("""COMPUTED_VALUE"""),114825612)</f>
        <v>114825612</v>
      </c>
      <c r="H600" s="16" t="str">
        <f ca="1">IFERROR(__xludf.DUMMYFUNCTION("""COMPUTED_VALUE""")," En Ejecución ")</f>
        <v xml:space="preserve"> En Ejecución </v>
      </c>
      <c r="I600" s="16">
        <f ca="1">IFERROR(__xludf.DUMMYFUNCTION("""COMPUTED_VALUE"""),57412806)</f>
        <v>57412806</v>
      </c>
      <c r="J600" s="83" t="s">
        <v>48</v>
      </c>
      <c r="K600" s="16"/>
      <c r="L600" s="16"/>
      <c r="M600" s="16"/>
      <c r="N600" s="19"/>
      <c r="O600" s="19"/>
      <c r="P600" s="19"/>
      <c r="Q600" s="19"/>
      <c r="R600" s="21">
        <f ca="1">IFERROR(__xludf.DUMMYFUNCTION("""COMPUTED_VALUE"""),57412806)</f>
        <v>57412806</v>
      </c>
      <c r="S600" s="19"/>
      <c r="T600" s="19"/>
      <c r="U600" s="19"/>
      <c r="V600" s="19"/>
      <c r="W600" s="20">
        <f ca="1">IFERROR(__xludf.DUMMYFUNCTION("""COMPUTED_VALUE"""),57412806)</f>
        <v>57412806</v>
      </c>
      <c r="X600" s="20" t="str">
        <f ca="1">IFERROR(__xludf.DUMMYFUNCTION("""COMPUTED_VALUE""")," MUNICIPALIDAD DE TOMÉ ")</f>
        <v xml:space="preserve"> MUNICIPALIDAD DE TOMÉ </v>
      </c>
    </row>
    <row r="601" spans="1:24" ht="15.75" customHeight="1" x14ac:dyDescent="0.25">
      <c r="A601" s="16" t="str">
        <f ca="1">IFERROR(__xludf.DUMMYFUNCTION("""COMPUTED_VALUE""")," REGIÓN DEL BIOBÍO ")</f>
        <v xml:space="preserve"> REGIÓN DEL BIOBÍO </v>
      </c>
      <c r="B601" s="16" t="str">
        <f t="shared" ca="1" si="2"/>
        <v xml:space="preserve"> TOMÉ </v>
      </c>
      <c r="C601" s="16" t="str">
        <f ca="1">IFERROR(__xludf.DUMMYFUNCTION("""COMPUTED_VALUE""")," MEJORAMIENTO AREA VERDE POBLACION NUEVO COCHOLGUE, COMUNA DE TOMÉ ")</f>
        <v xml:space="preserve"> MEJORAMIENTO AREA VERDE POBLACION NUEVO COCHOLGUE, COMUNA DE TOMÉ </v>
      </c>
      <c r="D601" s="16" t="str">
        <f ca="1">IFERROR(__xludf.DUMMYFUNCTION("""COMPUTED_VALUE""")," 1-B-2024-389 ")</f>
        <v xml:space="preserve"> 1-B-2024-389 </v>
      </c>
      <c r="E601" s="16" t="str">
        <f ca="1">IFERROR(__xludf.DUMMYFUNCTION("""COMPUTED_VALUE""")," En Ejecución ")</f>
        <v xml:space="preserve"> En Ejecución </v>
      </c>
      <c r="F601" s="17">
        <f ca="1">IFERROR(__xludf.DUMMYFUNCTION("""COMPUTED_VALUE"""),45504)</f>
        <v>45504</v>
      </c>
      <c r="G601" s="16">
        <f ca="1">IFERROR(__xludf.DUMMYFUNCTION("""COMPUTED_VALUE"""),114518851)</f>
        <v>114518851</v>
      </c>
      <c r="H601" s="16" t="str">
        <f ca="1">IFERROR(__xludf.DUMMYFUNCTION("""COMPUTED_VALUE""")," En Ejecución ")</f>
        <v xml:space="preserve"> En Ejecución </v>
      </c>
      <c r="I601" s="16">
        <f ca="1">IFERROR(__xludf.DUMMYFUNCTION("""COMPUTED_VALUE"""),57259426)</f>
        <v>57259426</v>
      </c>
      <c r="J601" s="83" t="s">
        <v>48</v>
      </c>
      <c r="K601" s="16"/>
      <c r="L601" s="16"/>
      <c r="M601" s="16"/>
      <c r="N601" s="19"/>
      <c r="O601" s="19"/>
      <c r="P601" s="19"/>
      <c r="Q601" s="19"/>
      <c r="R601" s="21">
        <f ca="1">IFERROR(__xludf.DUMMYFUNCTION("""COMPUTED_VALUE"""),57259426)</f>
        <v>57259426</v>
      </c>
      <c r="S601" s="19"/>
      <c r="T601" s="19"/>
      <c r="U601" s="19"/>
      <c r="V601" s="19"/>
      <c r="W601" s="20">
        <f ca="1">IFERROR(__xludf.DUMMYFUNCTION("""COMPUTED_VALUE"""),57259426)</f>
        <v>57259426</v>
      </c>
      <c r="X601" s="20" t="str">
        <f ca="1">IFERROR(__xludf.DUMMYFUNCTION("""COMPUTED_VALUE""")," MUNICIPALIDAD DE TOMÉ ")</f>
        <v xml:space="preserve"> MUNICIPALIDAD DE TOMÉ </v>
      </c>
    </row>
    <row r="602" spans="1:24" ht="15.75" customHeight="1" x14ac:dyDescent="0.25">
      <c r="A602" s="16" t="str">
        <f ca="1">IFERROR(__xludf.DUMMYFUNCTION("""COMPUTED_VALUE""")," REGIÓN DEL BIOBÍO ")</f>
        <v xml:space="preserve"> REGIÓN DEL BIOBÍO </v>
      </c>
      <c r="B602" s="16" t="str">
        <f t="shared" ca="1" si="2"/>
        <v xml:space="preserve"> TOMÉ </v>
      </c>
      <c r="C602" s="16" t="str">
        <f ca="1">IFERROR(__xludf.DUMMYFUNCTION("""COMPUTED_VALUE""")," CONSTRUCCION PASAMANO CALLE CANDELARIA, COMUNA DE TOME ")</f>
        <v xml:space="preserve"> CONSTRUCCION PASAMANO CALLE CANDELARIA, COMUNA DE TOME </v>
      </c>
      <c r="D602" s="16" t="str">
        <f ca="1">IFERROR(__xludf.DUMMYFUNCTION("""COMPUTED_VALUE""")," 1-B-2024-390 ")</f>
        <v xml:space="preserve"> 1-B-2024-390 </v>
      </c>
      <c r="E602" s="16" t="str">
        <f ca="1">IFERROR(__xludf.DUMMYFUNCTION("""COMPUTED_VALUE""")," En Ejecución ")</f>
        <v xml:space="preserve"> En Ejecución </v>
      </c>
      <c r="F602" s="17">
        <f ca="1">IFERROR(__xludf.DUMMYFUNCTION("""COMPUTED_VALUE"""),45504)</f>
        <v>45504</v>
      </c>
      <c r="G602" s="16">
        <f ca="1">IFERROR(__xludf.DUMMYFUNCTION("""COMPUTED_VALUE"""),129201465)</f>
        <v>129201465</v>
      </c>
      <c r="H602" s="16" t="str">
        <f ca="1">IFERROR(__xludf.DUMMYFUNCTION("""COMPUTED_VALUE""")," En Ejecución ")</f>
        <v xml:space="preserve"> En Ejecución </v>
      </c>
      <c r="I602" s="16">
        <f ca="1">IFERROR(__xludf.DUMMYFUNCTION("""COMPUTED_VALUE"""),64600733)</f>
        <v>64600733</v>
      </c>
      <c r="J602" s="83" t="s">
        <v>48</v>
      </c>
      <c r="K602" s="16"/>
      <c r="L602" s="16"/>
      <c r="M602" s="16"/>
      <c r="N602" s="19"/>
      <c r="O602" s="19"/>
      <c r="P602" s="19"/>
      <c r="Q602" s="19"/>
      <c r="R602" s="21">
        <f ca="1">IFERROR(__xludf.DUMMYFUNCTION("""COMPUTED_VALUE"""),64600733)</f>
        <v>64600733</v>
      </c>
      <c r="S602" s="19"/>
      <c r="T602" s="19"/>
      <c r="U602" s="19"/>
      <c r="V602" s="19"/>
      <c r="W602" s="20">
        <f ca="1">IFERROR(__xludf.DUMMYFUNCTION("""COMPUTED_VALUE"""),64600733)</f>
        <v>64600733</v>
      </c>
      <c r="X602" s="20" t="str">
        <f ca="1">IFERROR(__xludf.DUMMYFUNCTION("""COMPUTED_VALUE""")," MUNICIPALIDAD DE TOMÉ ")</f>
        <v xml:space="preserve"> MUNICIPALIDAD DE TOMÉ </v>
      </c>
    </row>
    <row r="603" spans="1:24" ht="15.75" customHeight="1" x14ac:dyDescent="0.25">
      <c r="A603" s="16" t="str">
        <f ca="1">IFERROR(__xludf.DUMMYFUNCTION("""COMPUTED_VALUE""")," REGIÓN DEL BIOBÍO ")</f>
        <v xml:space="preserve"> REGIÓN DEL BIOBÍO </v>
      </c>
      <c r="B603" s="16" t="str">
        <f t="shared" ca="1" si="2"/>
        <v xml:space="preserve"> LOTA </v>
      </c>
      <c r="C603" s="16" t="str">
        <f ca="1">IFERROR(__xludf.DUMMYFUNCTION("""COMPUTED_VALUE""")," COLOCACIÓN DE VALLA PEATONAL FRONTIS ESCUELA BALDOMERO LILLO, LOTA. ")</f>
        <v xml:space="preserve"> COLOCACIÓN DE VALLA PEATONAL FRONTIS ESCUELA BALDOMERO LILLO, LOTA. </v>
      </c>
      <c r="D603" s="16" t="str">
        <f ca="1">IFERROR(__xludf.DUMMYFUNCTION("""COMPUTED_VALUE""")," 1-K-2024-53 ")</f>
        <v xml:space="preserve"> 1-K-2024-53 </v>
      </c>
      <c r="E603" s="16" t="str">
        <f ca="1">IFERROR(__xludf.DUMMYFUNCTION("""COMPUTED_VALUE""")," En Ejecución ")</f>
        <v xml:space="preserve"> En Ejecución </v>
      </c>
      <c r="F603" s="17">
        <f ca="1">IFERROR(__xludf.DUMMYFUNCTION("""COMPUTED_VALUE"""),45504)</f>
        <v>45504</v>
      </c>
      <c r="G603" s="16">
        <f ca="1">IFERROR(__xludf.DUMMYFUNCTION("""COMPUTED_VALUE"""),160090155)</f>
        <v>160090155</v>
      </c>
      <c r="H603" s="16" t="str">
        <f ca="1">IFERROR(__xludf.DUMMYFUNCTION("""COMPUTED_VALUE""")," En Ejecución ")</f>
        <v xml:space="preserve"> En Ejecución </v>
      </c>
      <c r="I603" s="16">
        <f ca="1">IFERROR(__xludf.DUMMYFUNCTION("""COMPUTED_VALUE"""),80045078)</f>
        <v>80045078</v>
      </c>
      <c r="J603" s="83" t="s">
        <v>48</v>
      </c>
      <c r="K603" s="16"/>
      <c r="L603" s="16"/>
      <c r="M603" s="16"/>
      <c r="N603" s="19"/>
      <c r="O603" s="19"/>
      <c r="P603" s="19"/>
      <c r="Q603" s="19"/>
      <c r="R603" s="21">
        <f ca="1">IFERROR(__xludf.DUMMYFUNCTION("""COMPUTED_VALUE"""),80045078)</f>
        <v>80045078</v>
      </c>
      <c r="S603" s="19"/>
      <c r="T603" s="19"/>
      <c r="U603" s="19"/>
      <c r="V603" s="19"/>
      <c r="W603" s="20">
        <f ca="1">IFERROR(__xludf.DUMMYFUNCTION("""COMPUTED_VALUE"""),80045078)</f>
        <v>80045078</v>
      </c>
      <c r="X603" s="20" t="str">
        <f ca="1">IFERROR(__xludf.DUMMYFUNCTION("""COMPUTED_VALUE""")," MUNICIPALIDAD DE LOTA ")</f>
        <v xml:space="preserve"> MUNICIPALIDAD DE LOTA </v>
      </c>
    </row>
    <row r="604" spans="1:24" ht="15.75" customHeight="1" x14ac:dyDescent="0.25">
      <c r="A604" s="16" t="str">
        <f ca="1">IFERROR(__xludf.DUMMYFUNCTION("""COMPUTED_VALUE""")," REGIÓN DEL BIOBÍO ")</f>
        <v xml:space="preserve"> REGIÓN DEL BIOBÍO </v>
      </c>
      <c r="B604" s="16" t="str">
        <f t="shared" ca="1" si="2"/>
        <v xml:space="preserve"> LOS ÁLAMOS </v>
      </c>
      <c r="C604" s="16" t="str">
        <f ca="1">IFERROR(__xludf.DUMMYFUNCTION("""COMPUTED_VALUE""")," MEJORAMIENTO AREA VERDE N°6 VILLA ESPERANZA, LOS ÁLAMOS ")</f>
        <v xml:space="preserve"> MEJORAMIENTO AREA VERDE N°6 VILLA ESPERANZA, LOS ÁLAMOS </v>
      </c>
      <c r="D604" s="16" t="str">
        <f ca="1">IFERROR(__xludf.DUMMYFUNCTION("""COMPUTED_VALUE""")," 1-K-2024-57 ")</f>
        <v xml:space="preserve"> 1-K-2024-57 </v>
      </c>
      <c r="E604" s="16" t="str">
        <f ca="1">IFERROR(__xludf.DUMMYFUNCTION("""COMPUTED_VALUE""")," En Ejecución ")</f>
        <v xml:space="preserve"> En Ejecución </v>
      </c>
      <c r="F604" s="17">
        <f ca="1">IFERROR(__xludf.DUMMYFUNCTION("""COMPUTED_VALUE"""),45504)</f>
        <v>45504</v>
      </c>
      <c r="G604" s="16">
        <f ca="1">IFERROR(__xludf.DUMMYFUNCTION("""COMPUTED_VALUE"""),109413424)</f>
        <v>109413424</v>
      </c>
      <c r="H604" s="16" t="str">
        <f ca="1">IFERROR(__xludf.DUMMYFUNCTION("""COMPUTED_VALUE""")," En Ejecución ")</f>
        <v xml:space="preserve"> En Ejecución </v>
      </c>
      <c r="I604" s="16">
        <f ca="1">IFERROR(__xludf.DUMMYFUNCTION("""COMPUTED_VALUE"""),54706712)</f>
        <v>54706712</v>
      </c>
      <c r="J604" s="83" t="s">
        <v>48</v>
      </c>
      <c r="K604" s="16"/>
      <c r="L604" s="16"/>
      <c r="M604" s="16"/>
      <c r="N604" s="19"/>
      <c r="O604" s="19"/>
      <c r="P604" s="19"/>
      <c r="Q604" s="19"/>
      <c r="R604" s="21">
        <f ca="1">IFERROR(__xludf.DUMMYFUNCTION("""COMPUTED_VALUE"""),54706712)</f>
        <v>54706712</v>
      </c>
      <c r="S604" s="19"/>
      <c r="T604" s="19"/>
      <c r="U604" s="19"/>
      <c r="V604" s="19"/>
      <c r="W604" s="20">
        <f ca="1">IFERROR(__xludf.DUMMYFUNCTION("""COMPUTED_VALUE"""),54706712)</f>
        <v>54706712</v>
      </c>
      <c r="X604" s="20" t="str">
        <f ca="1">IFERROR(__xludf.DUMMYFUNCTION("""COMPUTED_VALUE""")," MUNICIPALIDAD DE LOS ÁLAMOS ")</f>
        <v xml:space="preserve"> MUNICIPALIDAD DE LOS ÁLAMOS </v>
      </c>
    </row>
    <row r="605" spans="1:24" ht="15.75" customHeight="1" x14ac:dyDescent="0.25">
      <c r="A605" s="16" t="str">
        <f ca="1">IFERROR(__xludf.DUMMYFUNCTION("""COMPUTED_VALUE""")," REGIÓN DEL BIOBÍO ")</f>
        <v xml:space="preserve"> REGIÓN DEL BIOBÍO </v>
      </c>
      <c r="B605" s="16" t="str">
        <f t="shared" ca="1" si="2"/>
        <v xml:space="preserve"> LOS ÁLAMOS </v>
      </c>
      <c r="C605" s="16" t="str">
        <f ca="1">IFERROR(__xludf.DUMMYFUNCTION("""COMPUTED_VALUE""")," MEJORAMIENTO AREA VERDE N°7 VILLA ESPERANZA, LOS ÁLAMOS ")</f>
        <v xml:space="preserve"> MEJORAMIENTO AREA VERDE N°7 VILLA ESPERANZA, LOS ÁLAMOS </v>
      </c>
      <c r="D605" s="16" t="str">
        <f ca="1">IFERROR(__xludf.DUMMYFUNCTION("""COMPUTED_VALUE""")," 1-K-2024-58 ")</f>
        <v xml:space="preserve"> 1-K-2024-58 </v>
      </c>
      <c r="E605" s="16" t="str">
        <f ca="1">IFERROR(__xludf.DUMMYFUNCTION("""COMPUTED_VALUE""")," En Ejecución ")</f>
        <v xml:space="preserve"> En Ejecución </v>
      </c>
      <c r="F605" s="17">
        <f ca="1">IFERROR(__xludf.DUMMYFUNCTION("""COMPUTED_VALUE"""),45504)</f>
        <v>45504</v>
      </c>
      <c r="G605" s="16">
        <f ca="1">IFERROR(__xludf.DUMMYFUNCTION("""COMPUTED_VALUE"""),118930529)</f>
        <v>118930529</v>
      </c>
      <c r="H605" s="16" t="str">
        <f ca="1">IFERROR(__xludf.DUMMYFUNCTION("""COMPUTED_VALUE""")," En Ejecución ")</f>
        <v xml:space="preserve"> En Ejecución </v>
      </c>
      <c r="I605" s="16">
        <f ca="1">IFERROR(__xludf.DUMMYFUNCTION("""COMPUTED_VALUE"""),59465265)</f>
        <v>59465265</v>
      </c>
      <c r="J605" s="83" t="s">
        <v>48</v>
      </c>
      <c r="K605" s="16"/>
      <c r="L605" s="16"/>
      <c r="M605" s="16"/>
      <c r="N605" s="19"/>
      <c r="O605" s="19"/>
      <c r="P605" s="19"/>
      <c r="Q605" s="19"/>
      <c r="R605" s="21">
        <f ca="1">IFERROR(__xludf.DUMMYFUNCTION("""COMPUTED_VALUE"""),59465265)</f>
        <v>59465265</v>
      </c>
      <c r="S605" s="19"/>
      <c r="T605" s="19"/>
      <c r="U605" s="19"/>
      <c r="V605" s="19"/>
      <c r="W605" s="20">
        <f ca="1">IFERROR(__xludf.DUMMYFUNCTION("""COMPUTED_VALUE"""),59465265)</f>
        <v>59465265</v>
      </c>
      <c r="X605" s="20" t="str">
        <f ca="1">IFERROR(__xludf.DUMMYFUNCTION("""COMPUTED_VALUE""")," MUNICIPALIDAD DE LOS ÁLAMOS ")</f>
        <v xml:space="preserve"> MUNICIPALIDAD DE LOS ÁLAMOS </v>
      </c>
    </row>
    <row r="606" spans="1:24" ht="15.75" customHeight="1" x14ac:dyDescent="0.25">
      <c r="A606" s="16" t="str">
        <f ca="1">IFERROR(__xludf.DUMMYFUNCTION("""COMPUTED_VALUE""")," REGIÓN DEL BIOBÍO ")</f>
        <v xml:space="preserve"> REGIÓN DEL BIOBÍO </v>
      </c>
      <c r="B606" s="16" t="str">
        <f t="shared" ca="1" si="2"/>
        <v xml:space="preserve"> LOS ÁLAMOS </v>
      </c>
      <c r="C606" s="16" t="str">
        <f ca="1">IFERROR(__xludf.DUMMYFUNCTION("""COMPUTED_VALUE""")," REPOSICIÓN VEREDA CALLE ANDALIO VIGUERAS ENTRE CALLE LUIS SAEZ MORA Y CALLE 18 DE SEPTIEMBRE, JJVV GABRIELA MISTRAL, LOS ÁLAMOS ")</f>
        <v xml:space="preserve"> REPOSICIÓN VEREDA CALLE ANDALIO VIGUERAS ENTRE CALLE LUIS SAEZ MORA Y CALLE 18 DE SEPTIEMBRE, JJVV GABRIELA MISTRAL, LOS ÁLAMOS </v>
      </c>
      <c r="D606" s="16" t="str">
        <f ca="1">IFERROR(__xludf.DUMMYFUNCTION("""COMPUTED_VALUE""")," 1-K-2024-65 ")</f>
        <v xml:space="preserve"> 1-K-2024-65 </v>
      </c>
      <c r="E606" s="16" t="str">
        <f ca="1">IFERROR(__xludf.DUMMYFUNCTION("""COMPUTED_VALUE""")," En Ejecución ")</f>
        <v xml:space="preserve"> En Ejecución </v>
      </c>
      <c r="F606" s="17">
        <f ca="1">IFERROR(__xludf.DUMMYFUNCTION("""COMPUTED_VALUE"""),45504)</f>
        <v>45504</v>
      </c>
      <c r="G606" s="16">
        <f ca="1">IFERROR(__xludf.DUMMYFUNCTION("""COMPUTED_VALUE"""),110389947)</f>
        <v>110389947</v>
      </c>
      <c r="H606" s="16" t="str">
        <f ca="1">IFERROR(__xludf.DUMMYFUNCTION("""COMPUTED_VALUE""")," En Ejecución ")</f>
        <v xml:space="preserve"> En Ejecución </v>
      </c>
      <c r="I606" s="16">
        <f ca="1">IFERROR(__xludf.DUMMYFUNCTION("""COMPUTED_VALUE"""),55194974)</f>
        <v>55194974</v>
      </c>
      <c r="J606" s="83" t="s">
        <v>48</v>
      </c>
      <c r="K606" s="16"/>
      <c r="L606" s="16"/>
      <c r="M606" s="16"/>
      <c r="N606" s="19"/>
      <c r="O606" s="19"/>
      <c r="P606" s="19"/>
      <c r="Q606" s="19"/>
      <c r="R606" s="21">
        <f ca="1">IFERROR(__xludf.DUMMYFUNCTION("""COMPUTED_VALUE"""),55194974)</f>
        <v>55194974</v>
      </c>
      <c r="S606" s="19"/>
      <c r="T606" s="19"/>
      <c r="U606" s="19"/>
      <c r="V606" s="19"/>
      <c r="W606" s="20">
        <f ca="1">IFERROR(__xludf.DUMMYFUNCTION("""COMPUTED_VALUE"""),55194974)</f>
        <v>55194974</v>
      </c>
      <c r="X606" s="20" t="str">
        <f ca="1">IFERROR(__xludf.DUMMYFUNCTION("""COMPUTED_VALUE""")," MUNICIPALIDAD DE LOS ÁLAMOS ")</f>
        <v xml:space="preserve"> MUNICIPALIDAD DE LOS ÁLAMOS </v>
      </c>
    </row>
    <row r="607" spans="1:24" ht="15.75" customHeight="1" x14ac:dyDescent="0.25">
      <c r="A607" s="16" t="str">
        <f ca="1">IFERROR(__xludf.DUMMYFUNCTION("""COMPUTED_VALUE""")," REGIÓN DEL BIOBÍO ")</f>
        <v xml:space="preserve"> REGIÓN DEL BIOBÍO </v>
      </c>
      <c r="B607" s="16" t="str">
        <f t="shared" ca="1" si="2"/>
        <v xml:space="preserve"> LOS ÁLAMOS </v>
      </c>
      <c r="C607" s="16" t="str">
        <f ca="1">IFERROR(__xludf.DUMMYFUNCTION("""COMPUTED_VALUE""")," REPOSICIÓN VEREDA CALLE MANUEL RODRIGUEZ ENTRE CALLE LUIS SAEZ MORA Y CALLE 18 DE SEPTIEMBRE, JJVV SIMON CARVALLO, LOS ÁLAMOS ")</f>
        <v xml:space="preserve"> REPOSICIÓN VEREDA CALLE MANUEL RODRIGUEZ ENTRE CALLE LUIS SAEZ MORA Y CALLE 18 DE SEPTIEMBRE, JJVV SIMON CARVALLO, LOS ÁLAMOS </v>
      </c>
      <c r="D607" s="16" t="str">
        <f ca="1">IFERROR(__xludf.DUMMYFUNCTION("""COMPUTED_VALUE""")," 1-K-2024-68 ")</f>
        <v xml:space="preserve"> 1-K-2024-68 </v>
      </c>
      <c r="E607" s="16" t="str">
        <f ca="1">IFERROR(__xludf.DUMMYFUNCTION("""COMPUTED_VALUE""")," En Ejecución ")</f>
        <v xml:space="preserve"> En Ejecución </v>
      </c>
      <c r="F607" s="17">
        <f ca="1">IFERROR(__xludf.DUMMYFUNCTION("""COMPUTED_VALUE"""),45504)</f>
        <v>45504</v>
      </c>
      <c r="G607" s="16">
        <f ca="1">IFERROR(__xludf.DUMMYFUNCTION("""COMPUTED_VALUE"""),116275292)</f>
        <v>116275292</v>
      </c>
      <c r="H607" s="16" t="str">
        <f ca="1">IFERROR(__xludf.DUMMYFUNCTION("""COMPUTED_VALUE""")," En Ejecución ")</f>
        <v xml:space="preserve"> En Ejecución </v>
      </c>
      <c r="I607" s="16">
        <f ca="1">IFERROR(__xludf.DUMMYFUNCTION("""COMPUTED_VALUE"""),58137646)</f>
        <v>58137646</v>
      </c>
      <c r="J607" s="83" t="s">
        <v>48</v>
      </c>
      <c r="K607" s="16"/>
      <c r="L607" s="16"/>
      <c r="M607" s="16"/>
      <c r="N607" s="19"/>
      <c r="O607" s="19"/>
      <c r="P607" s="19"/>
      <c r="Q607" s="19"/>
      <c r="R607" s="21">
        <f ca="1">IFERROR(__xludf.DUMMYFUNCTION("""COMPUTED_VALUE"""),58137646)</f>
        <v>58137646</v>
      </c>
      <c r="S607" s="19"/>
      <c r="T607" s="19"/>
      <c r="U607" s="19"/>
      <c r="V607" s="19"/>
      <c r="W607" s="20">
        <f ca="1">IFERROR(__xludf.DUMMYFUNCTION("""COMPUTED_VALUE"""),58137646)</f>
        <v>58137646</v>
      </c>
      <c r="X607" s="20" t="str">
        <f ca="1">IFERROR(__xludf.DUMMYFUNCTION("""COMPUTED_VALUE""")," MUNICIPALIDAD DE LOS ÁLAMOS ")</f>
        <v xml:space="preserve"> MUNICIPALIDAD DE LOS ÁLAMOS </v>
      </c>
    </row>
    <row r="608" spans="1:24" ht="15.75" customHeight="1" x14ac:dyDescent="0.25">
      <c r="A608" s="16" t="str">
        <f ca="1">IFERROR(__xludf.DUMMYFUNCTION("""COMPUTED_VALUE""")," REGIÓN DEL BIOBÍO ")</f>
        <v xml:space="preserve"> REGIÓN DEL BIOBÍO </v>
      </c>
      <c r="B608" s="16" t="str">
        <f t="shared" ca="1" si="2"/>
        <v xml:space="preserve"> LOTA </v>
      </c>
      <c r="C608" s="16" t="str">
        <f ca="1">IFERROR(__xludf.DUMMYFUNCTION("""COMPUTED_VALUE""")," MEJORAMIENTO ACERA, CALLE ARNOLDO COURAD POBL. POLVORÍN 3, LOTA. ")</f>
        <v xml:space="preserve"> MEJORAMIENTO ACERA, CALLE ARNOLDO COURAD POBL. POLVORÍN 3, LOTA. </v>
      </c>
      <c r="D608" s="16" t="str">
        <f ca="1">IFERROR(__xludf.DUMMYFUNCTION("""COMPUTED_VALUE""")," 1-K-2024-78 ")</f>
        <v xml:space="preserve"> 1-K-2024-78 </v>
      </c>
      <c r="E608" s="16" t="str">
        <f ca="1">IFERROR(__xludf.DUMMYFUNCTION("""COMPUTED_VALUE""")," En Ejecución ")</f>
        <v xml:space="preserve"> En Ejecución </v>
      </c>
      <c r="F608" s="17">
        <f ca="1">IFERROR(__xludf.DUMMYFUNCTION("""COMPUTED_VALUE"""),45504)</f>
        <v>45504</v>
      </c>
      <c r="G608" s="16">
        <f ca="1">IFERROR(__xludf.DUMMYFUNCTION("""COMPUTED_VALUE"""),154096776)</f>
        <v>154096776</v>
      </c>
      <c r="H608" s="16" t="str">
        <f ca="1">IFERROR(__xludf.DUMMYFUNCTION("""COMPUTED_VALUE""")," En Ejecución ")</f>
        <v xml:space="preserve"> En Ejecución </v>
      </c>
      <c r="I608" s="16">
        <f ca="1">IFERROR(__xludf.DUMMYFUNCTION("""COMPUTED_VALUE"""),77048388)</f>
        <v>77048388</v>
      </c>
      <c r="J608" s="83" t="s">
        <v>48</v>
      </c>
      <c r="K608" s="16"/>
      <c r="L608" s="16"/>
      <c r="M608" s="16"/>
      <c r="N608" s="19"/>
      <c r="O608" s="19"/>
      <c r="P608" s="19"/>
      <c r="Q608" s="19"/>
      <c r="R608" s="21">
        <f ca="1">IFERROR(__xludf.DUMMYFUNCTION("""COMPUTED_VALUE"""),77048388)</f>
        <v>77048388</v>
      </c>
      <c r="S608" s="19"/>
      <c r="T608" s="19"/>
      <c r="U608" s="19"/>
      <c r="V608" s="19"/>
      <c r="W608" s="20">
        <f ca="1">IFERROR(__xludf.DUMMYFUNCTION("""COMPUTED_VALUE"""),77048388)</f>
        <v>77048388</v>
      </c>
      <c r="X608" s="20" t="str">
        <f ca="1">IFERROR(__xludf.DUMMYFUNCTION("""COMPUTED_VALUE""")," MUNICIPALIDAD DE LOTA ")</f>
        <v xml:space="preserve"> MUNICIPALIDAD DE LOTA </v>
      </c>
    </row>
    <row r="609" spans="1:24" ht="15.75" customHeight="1" x14ac:dyDescent="0.25">
      <c r="A609" s="16" t="str">
        <f ca="1">IFERROR(__xludf.DUMMYFUNCTION("""COMPUTED_VALUE""")," REGIÓN DEL BIOBÍO ")</f>
        <v xml:space="preserve"> REGIÓN DEL BIOBÍO </v>
      </c>
      <c r="B609" s="16" t="str">
        <f t="shared" ca="1" si="2"/>
        <v xml:space="preserve"> LOTA </v>
      </c>
      <c r="C609" s="16" t="str">
        <f ca="1">IFERROR(__xludf.DUMMYFUNCTION("""COMPUTED_VALUE""")," MEJORAMIENTO DE ACERA CALLE MARIHUEÑO SECTOR COLCURA, LOTA ")</f>
        <v xml:space="preserve"> MEJORAMIENTO DE ACERA CALLE MARIHUEÑO SECTOR COLCURA, LOTA </v>
      </c>
      <c r="D609" s="16" t="str">
        <f ca="1">IFERROR(__xludf.DUMMYFUNCTION("""COMPUTED_VALUE""")," 1-K-2024-80 ")</f>
        <v xml:space="preserve"> 1-K-2024-80 </v>
      </c>
      <c r="E609" s="16" t="str">
        <f ca="1">IFERROR(__xludf.DUMMYFUNCTION("""COMPUTED_VALUE""")," En Ejecución ")</f>
        <v xml:space="preserve"> En Ejecución </v>
      </c>
      <c r="F609" s="17">
        <f ca="1">IFERROR(__xludf.DUMMYFUNCTION("""COMPUTED_VALUE"""),45504)</f>
        <v>45504</v>
      </c>
      <c r="G609" s="16">
        <f ca="1">IFERROR(__xludf.DUMMYFUNCTION("""COMPUTED_VALUE"""),154164847)</f>
        <v>154164847</v>
      </c>
      <c r="H609" s="16" t="str">
        <f ca="1">IFERROR(__xludf.DUMMYFUNCTION("""COMPUTED_VALUE""")," En Ejecución ")</f>
        <v xml:space="preserve"> En Ejecución </v>
      </c>
      <c r="I609" s="16">
        <f ca="1">IFERROR(__xludf.DUMMYFUNCTION("""COMPUTED_VALUE"""),77082424)</f>
        <v>77082424</v>
      </c>
      <c r="J609" s="83" t="s">
        <v>48</v>
      </c>
      <c r="K609" s="16"/>
      <c r="L609" s="16"/>
      <c r="M609" s="16"/>
      <c r="N609" s="19"/>
      <c r="O609" s="19"/>
      <c r="P609" s="19"/>
      <c r="Q609" s="19"/>
      <c r="R609" s="21">
        <f ca="1">IFERROR(__xludf.DUMMYFUNCTION("""COMPUTED_VALUE"""),77082424)</f>
        <v>77082424</v>
      </c>
      <c r="S609" s="19"/>
      <c r="T609" s="19"/>
      <c r="U609" s="19"/>
      <c r="V609" s="19"/>
      <c r="W609" s="20">
        <f ca="1">IFERROR(__xludf.DUMMYFUNCTION("""COMPUTED_VALUE"""),77082424)</f>
        <v>77082424</v>
      </c>
      <c r="X609" s="20" t="str">
        <f ca="1">IFERROR(__xludf.DUMMYFUNCTION("""COMPUTED_VALUE""")," MUNICIPALIDAD DE LOTA ")</f>
        <v xml:space="preserve"> MUNICIPALIDAD DE LOTA </v>
      </c>
    </row>
    <row r="610" spans="1:24" ht="15.75" customHeight="1" x14ac:dyDescent="0.25">
      <c r="A610" s="16" t="str">
        <f ca="1">IFERROR(__xludf.DUMMYFUNCTION("""COMPUTED_VALUE""")," REGIÓN DE LA ARAUCANÍA ")</f>
        <v xml:space="preserve"> REGIÓN DE LA ARAUCANÍA </v>
      </c>
      <c r="B610" s="16" t="str">
        <f t="shared" ca="1" si="2"/>
        <v xml:space="preserve"> ANGOL </v>
      </c>
      <c r="C610" s="16" t="str">
        <f ca="1">IFERROR(__xludf.DUMMYFUNCTION("""COMPUTED_VALUE""")," [SATE] REPOSICIÓN SEDE SOCIAL BARRIO INDUSTRIAL. ")</f>
        <v xml:space="preserve"> [SATE] REPOSICIÓN SEDE SOCIAL BARRIO INDUSTRIAL. </v>
      </c>
      <c r="D610" s="16" t="str">
        <f ca="1">IFERROR(__xludf.DUMMYFUNCTION("""COMPUTED_VALUE""")," 1-C-2023-12 ")</f>
        <v xml:space="preserve"> 1-C-2023-12 </v>
      </c>
      <c r="E610" s="16" t="str">
        <f ca="1">IFERROR(__xludf.DUMMYFUNCTION("""COMPUTED_VALUE""")," 100% Girado ")</f>
        <v xml:space="preserve"> 100% Girado </v>
      </c>
      <c r="F610" s="17">
        <f ca="1">IFERROR(__xludf.DUMMYFUNCTION("""COMPUTED_VALUE"""),45496)</f>
        <v>45496</v>
      </c>
      <c r="G610" s="16">
        <f ca="1">IFERROR(__xludf.DUMMYFUNCTION("""COMPUTED_VALUE"""),151392777)</f>
        <v>151392777</v>
      </c>
      <c r="H610" s="16" t="str">
        <f ca="1">IFERROR(__xludf.DUMMYFUNCTION("""COMPUTED_VALUE""")," 100% Girado ")</f>
        <v xml:space="preserve"> 100% Girado </v>
      </c>
      <c r="I610" s="16">
        <f ca="1">IFERROR(__xludf.DUMMYFUNCTION("""COMPUTED_VALUE"""),151392777)</f>
        <v>151392777</v>
      </c>
      <c r="J610" s="83" t="s">
        <v>48</v>
      </c>
      <c r="K610" s="16"/>
      <c r="L610" s="16"/>
      <c r="M610" s="16"/>
      <c r="N610" s="19"/>
      <c r="O610" s="19"/>
      <c r="P610" s="19"/>
      <c r="Q610" s="19"/>
      <c r="R610" s="21">
        <f ca="1">IFERROR(__xludf.DUMMYFUNCTION("""COMPUTED_VALUE"""),151392777)</f>
        <v>151392777</v>
      </c>
      <c r="S610" s="19"/>
      <c r="T610" s="19"/>
      <c r="U610" s="19"/>
      <c r="V610" s="19"/>
      <c r="W610" s="20">
        <f ca="1">IFERROR(__xludf.DUMMYFUNCTION("""COMPUTED_VALUE"""),151392777)</f>
        <v>151392777</v>
      </c>
      <c r="X610" s="20" t="str">
        <f ca="1">IFERROR(__xludf.DUMMYFUNCTION("""COMPUTED_VALUE""")," MUNICIPALIDAD DE ANGOL ")</f>
        <v xml:space="preserve"> MUNICIPALIDAD DE ANGOL </v>
      </c>
    </row>
    <row r="611" spans="1:24" ht="15.75" customHeight="1" x14ac:dyDescent="0.25">
      <c r="A611" s="16" t="str">
        <f ca="1">IFERROR(__xludf.DUMMYFUNCTION("""COMPUTED_VALUE""")," REGIÓN DE LA ARAUCANÍA ")</f>
        <v xml:space="preserve"> REGIÓN DE LA ARAUCANÍA </v>
      </c>
      <c r="B611" s="16" t="str">
        <f t="shared" ca="1" si="2"/>
        <v xml:space="preserve"> TEMUCO </v>
      </c>
      <c r="C611" s="16" t="str">
        <f ca="1">IFERROR(__xludf.DUMMYFUNCTION("""COMPUTED_VALUE""")," INSTALACIÓN DE SEMÁFORO INTERSECCIÓN RUTA S-20 CON RUTA S-258, TEMUCO ")</f>
        <v xml:space="preserve"> INSTALACIÓN DE SEMÁFORO INTERSECCIÓN RUTA S-20 CON RUTA S-258, TEMUCO </v>
      </c>
      <c r="D611" s="16" t="str">
        <f ca="1">IFERROR(__xludf.DUMMYFUNCTION("""COMPUTED_VALUE""")," 1-C-2023-1468 ")</f>
        <v xml:space="preserve"> 1-C-2023-1468 </v>
      </c>
      <c r="E611" s="16" t="str">
        <f ca="1">IFERROR(__xludf.DUMMYFUNCTION("""COMPUTED_VALUE""")," 100% Girado ")</f>
        <v xml:space="preserve"> 100% Girado </v>
      </c>
      <c r="F611" s="17">
        <f ca="1">IFERROR(__xludf.DUMMYFUNCTION("""COMPUTED_VALUE"""),45504)</f>
        <v>45504</v>
      </c>
      <c r="G611" s="16">
        <f ca="1">IFERROR(__xludf.DUMMYFUNCTION("""COMPUTED_VALUE"""),84244815)</f>
        <v>84244815</v>
      </c>
      <c r="H611" s="16" t="str">
        <f ca="1">IFERROR(__xludf.DUMMYFUNCTION("""COMPUTED_VALUE""")," 100% Girado ")</f>
        <v xml:space="preserve"> 100% Girado </v>
      </c>
      <c r="I611" s="16">
        <f ca="1">IFERROR(__xludf.DUMMYFUNCTION("""COMPUTED_VALUE"""),84244815)</f>
        <v>84244815</v>
      </c>
      <c r="J611" s="83" t="s">
        <v>48</v>
      </c>
      <c r="K611" s="16"/>
      <c r="L611" s="16"/>
      <c r="M611" s="16"/>
      <c r="N611" s="19"/>
      <c r="O611" s="19"/>
      <c r="P611" s="19"/>
      <c r="Q611" s="19"/>
      <c r="R611" s="21">
        <f ca="1">IFERROR(__xludf.DUMMYFUNCTION("""COMPUTED_VALUE"""),84244815)</f>
        <v>84244815</v>
      </c>
      <c r="S611" s="19"/>
      <c r="T611" s="19"/>
      <c r="U611" s="19"/>
      <c r="V611" s="19"/>
      <c r="W611" s="20">
        <f ca="1">IFERROR(__xludf.DUMMYFUNCTION("""COMPUTED_VALUE"""),84244815)</f>
        <v>84244815</v>
      </c>
      <c r="X611" s="20" t="str">
        <f ca="1">IFERROR(__xludf.DUMMYFUNCTION("""COMPUTED_VALUE""")," MUNICIPALIDAD DE TEMUCO ")</f>
        <v xml:space="preserve"> MUNICIPALIDAD DE TEMUCO </v>
      </c>
    </row>
    <row r="612" spans="1:24" ht="15.75" customHeight="1" x14ac:dyDescent="0.25">
      <c r="A612" s="16" t="str">
        <f ca="1">IFERROR(__xludf.DUMMYFUNCTION("""COMPUTED_VALUE""")," REGIÓN DE LA ARAUCANÍA ")</f>
        <v xml:space="preserve"> REGIÓN DE LA ARAUCANÍA </v>
      </c>
      <c r="B612" s="16" t="str">
        <f t="shared" ca="1" si="2"/>
        <v xml:space="preserve"> TEMUCO </v>
      </c>
      <c r="C612" s="16" t="str">
        <f ca="1">IFERROR(__xludf.DUMMYFUNCTION("""COMPUTED_VALUE""")," CONSTRUCCIÓN SEMÁFOROS EN INTERSECCIÓN MARTIN LUTERO CON LOS GANADEROS Y SIMON BOLIVAR, TEMUCO ")</f>
        <v xml:space="preserve"> CONSTRUCCIÓN SEMÁFOROS EN INTERSECCIÓN MARTIN LUTERO CON LOS GANADEROS Y SIMON BOLIVAR, TEMUCO </v>
      </c>
      <c r="D612" s="16" t="str">
        <f ca="1">IFERROR(__xludf.DUMMYFUNCTION("""COMPUTED_VALUE""")," 1-C-2023-2159 ")</f>
        <v xml:space="preserve"> 1-C-2023-2159 </v>
      </c>
      <c r="E612" s="16" t="str">
        <f ca="1">IFERROR(__xludf.DUMMYFUNCTION("""COMPUTED_VALUE""")," 100% Girado ")</f>
        <v xml:space="preserve"> 100% Girado </v>
      </c>
      <c r="F612" s="17">
        <f ca="1">IFERROR(__xludf.DUMMYFUNCTION("""COMPUTED_VALUE"""),45504)</f>
        <v>45504</v>
      </c>
      <c r="G612" s="16">
        <f ca="1">IFERROR(__xludf.DUMMYFUNCTION("""COMPUTED_VALUE"""),161477157)</f>
        <v>161477157</v>
      </c>
      <c r="H612" s="16" t="str">
        <f ca="1">IFERROR(__xludf.DUMMYFUNCTION("""COMPUTED_VALUE""")," 100% Girado ")</f>
        <v xml:space="preserve"> 100% Girado </v>
      </c>
      <c r="I612" s="16">
        <f ca="1">IFERROR(__xludf.DUMMYFUNCTION("""COMPUTED_VALUE"""),161477157)</f>
        <v>161477157</v>
      </c>
      <c r="J612" s="83" t="s">
        <v>48</v>
      </c>
      <c r="K612" s="16"/>
      <c r="L612" s="16"/>
      <c r="M612" s="16"/>
      <c r="N612" s="19"/>
      <c r="O612" s="19"/>
      <c r="P612" s="19"/>
      <c r="Q612" s="19"/>
      <c r="R612" s="21">
        <f ca="1">IFERROR(__xludf.DUMMYFUNCTION("""COMPUTED_VALUE"""),161477157)</f>
        <v>161477157</v>
      </c>
      <c r="S612" s="19"/>
      <c r="T612" s="19"/>
      <c r="U612" s="19"/>
      <c r="V612" s="19"/>
      <c r="W612" s="20">
        <f ca="1">IFERROR(__xludf.DUMMYFUNCTION("""COMPUTED_VALUE"""),161477157)</f>
        <v>161477157</v>
      </c>
      <c r="X612" s="20" t="str">
        <f ca="1">IFERROR(__xludf.DUMMYFUNCTION("""COMPUTED_VALUE""")," MUNICIPALIDAD DE TEMUCO ")</f>
        <v xml:space="preserve"> MUNICIPALIDAD DE TEMUCO </v>
      </c>
    </row>
    <row r="613" spans="1:24" ht="15.75" customHeight="1" x14ac:dyDescent="0.25">
      <c r="A613" s="16" t="str">
        <f ca="1">IFERROR(__xludf.DUMMYFUNCTION("""COMPUTED_VALUE""")," REGIÓN DE LOS LAGOS ")</f>
        <v xml:space="preserve"> REGIÓN DE LOS LAGOS </v>
      </c>
      <c r="B613" s="16" t="str">
        <f t="shared" ca="1" si="2"/>
        <v xml:space="preserve"> MAULLÍN </v>
      </c>
      <c r="C613" s="16" t="str">
        <f ca="1">IFERROR(__xludf.DUMMYFUNCTION("""COMPUTED_VALUE""")," CONSTRUCCIÓN DE CAMARINES Y BAÑOS PÚBLICOS CLUB DEPORTIVO NAVAL DE CARELMAPU ")</f>
        <v xml:space="preserve"> CONSTRUCCIÓN DE CAMARINES Y BAÑOS PÚBLICOS CLUB DEPORTIVO NAVAL DE CARELMAPU </v>
      </c>
      <c r="D613" s="16" t="str">
        <f ca="1">IFERROR(__xludf.DUMMYFUNCTION("""COMPUTED_VALUE""")," 1-C-2019-1573 [FET] ")</f>
        <v xml:space="preserve"> 1-C-2019-1573 [FET] </v>
      </c>
      <c r="E613" s="16" t="str">
        <f ca="1">IFERROR(__xludf.DUMMYFUNCTION("""COMPUTED_VALUE""")," 100% Girado ")</f>
        <v xml:space="preserve"> 100% Girado </v>
      </c>
      <c r="F613" s="17">
        <f ca="1">IFERROR(__xludf.DUMMYFUNCTION("""COMPUTED_VALUE"""),44487)</f>
        <v>44487</v>
      </c>
      <c r="G613" s="16">
        <f ca="1">IFERROR(__xludf.DUMMYFUNCTION("""COMPUTED_VALUE"""),105371452)</f>
        <v>105371452</v>
      </c>
      <c r="H613" s="16" t="str">
        <f ca="1">IFERROR(__xludf.DUMMYFUNCTION("""COMPUTED_VALUE""")," 100% Girado ")</f>
        <v xml:space="preserve"> 100% Girado </v>
      </c>
      <c r="I613" s="16">
        <f ca="1">IFERROR(__xludf.DUMMYFUNCTION("""COMPUTED_VALUE"""),45371454)</f>
        <v>45371454</v>
      </c>
      <c r="J613" s="83" t="s">
        <v>48</v>
      </c>
      <c r="K613" s="16"/>
      <c r="L613" s="16"/>
      <c r="M613" s="16"/>
      <c r="N613" s="19"/>
      <c r="O613" s="19"/>
      <c r="P613" s="19"/>
      <c r="Q613" s="19"/>
      <c r="R613" s="21">
        <f ca="1">IFERROR(__xludf.DUMMYFUNCTION("""COMPUTED_VALUE"""),45371454)</f>
        <v>45371454</v>
      </c>
      <c r="S613" s="19"/>
      <c r="T613" s="19"/>
      <c r="U613" s="19"/>
      <c r="V613" s="19"/>
      <c r="W613" s="20">
        <f ca="1">IFERROR(__xludf.DUMMYFUNCTION("""COMPUTED_VALUE"""),45371454)</f>
        <v>45371454</v>
      </c>
      <c r="X613" s="20" t="str">
        <f ca="1">IFERROR(__xludf.DUMMYFUNCTION("""COMPUTED_VALUE""")," MUNICIPALIDAD DE MAULLÍN ")</f>
        <v xml:space="preserve"> MUNICIPALIDAD DE MAULLÍN </v>
      </c>
    </row>
    <row r="614" spans="1:24" ht="15.75" customHeight="1" x14ac:dyDescent="0.25">
      <c r="A614" s="16" t="str">
        <f ca="1">IFERROR(__xludf.DUMMYFUNCTION("""COMPUTED_VALUE""")," REGIÓN DE LOS LAGOS ")</f>
        <v xml:space="preserve"> REGIÓN DE LOS LAGOS </v>
      </c>
      <c r="B614" s="16" t="str">
        <f t="shared" ca="1" si="2"/>
        <v xml:space="preserve"> CHONCHI </v>
      </c>
      <c r="C614" s="16" t="str">
        <f ca="1">IFERROR(__xludf.DUMMYFUNCTION("""COMPUTED_VALUE""")," NORMALIZACIÓN INSTALACIÓN ELÉCTRICA Y CONSTRUCCIÓN SISTEMA DE CLIMATIZACIÓN EFICIENTE ESCUELA HUILLINCO, COMUNA DE CHONCHI ")</f>
        <v xml:space="preserve"> NORMALIZACIÓN INSTALACIÓN ELÉCTRICA Y CONSTRUCCIÓN SISTEMA DE CLIMATIZACIÓN EFICIENTE ESCUELA HUILLINCO, COMUNA DE CHONCHI </v>
      </c>
      <c r="D614" s="16" t="str">
        <f ca="1">IFERROR(__xludf.DUMMYFUNCTION("""COMPUTED_VALUE""")," 1-C-2023-1666 ")</f>
        <v xml:space="preserve"> 1-C-2023-1666 </v>
      </c>
      <c r="E614" s="16" t="str">
        <f ca="1">IFERROR(__xludf.DUMMYFUNCTION("""COMPUTED_VALUE""")," 100% Girado ")</f>
        <v xml:space="preserve"> 100% Girado </v>
      </c>
      <c r="F614" s="17">
        <f ca="1">IFERROR(__xludf.DUMMYFUNCTION("""COMPUTED_VALUE"""),45531)</f>
        <v>45531</v>
      </c>
      <c r="G614" s="16">
        <f ca="1">IFERROR(__xludf.DUMMYFUNCTION("""COMPUTED_VALUE"""),82121900)</f>
        <v>82121900</v>
      </c>
      <c r="H614" s="16" t="str">
        <f ca="1">IFERROR(__xludf.DUMMYFUNCTION("""COMPUTED_VALUE""")," 100% Girado ")</f>
        <v xml:space="preserve"> 100% Girado </v>
      </c>
      <c r="I614" s="16">
        <f ca="1">IFERROR(__xludf.DUMMYFUNCTION("""COMPUTED_VALUE"""),82121900)</f>
        <v>82121900</v>
      </c>
      <c r="J614" s="83" t="s">
        <v>48</v>
      </c>
      <c r="K614" s="16"/>
      <c r="L614" s="16"/>
      <c r="M614" s="16"/>
      <c r="N614" s="19"/>
      <c r="O614" s="19"/>
      <c r="P614" s="19"/>
      <c r="Q614" s="19"/>
      <c r="R614" s="21">
        <f ca="1">IFERROR(__xludf.DUMMYFUNCTION("""COMPUTED_VALUE"""),82121900)</f>
        <v>82121900</v>
      </c>
      <c r="S614" s="19"/>
      <c r="T614" s="19"/>
      <c r="U614" s="19"/>
      <c r="V614" s="19"/>
      <c r="W614" s="20">
        <f ca="1">IFERROR(__xludf.DUMMYFUNCTION("""COMPUTED_VALUE"""),82121900)</f>
        <v>82121900</v>
      </c>
      <c r="X614" s="20" t="str">
        <f ca="1">IFERROR(__xludf.DUMMYFUNCTION("""COMPUTED_VALUE""")," MUNICIPALIDAD DE CHONCHI ")</f>
        <v xml:space="preserve"> MUNICIPALIDAD DE CHONCHI </v>
      </c>
    </row>
    <row r="615" spans="1:24" ht="15.75" customHeight="1" x14ac:dyDescent="0.25">
      <c r="A615" s="16" t="str">
        <f ca="1">IFERROR(__xludf.DUMMYFUNCTION("""COMPUTED_VALUE""")," REGIÓN DE LOS LAGOS ")</f>
        <v xml:space="preserve"> REGIÓN DE LOS LAGOS </v>
      </c>
      <c r="B615" s="16" t="str">
        <f t="shared" ca="1" si="2"/>
        <v xml:space="preserve"> PURRANQUE </v>
      </c>
      <c r="C615" s="16" t="str">
        <f ca="1">IFERROR(__xludf.DUMMYFUNCTION("""COMPUTED_VALUE""")," CONSERVACION PASARELA MANQUEMAPU, COMUNA DE PURRANQUE ")</f>
        <v xml:space="preserve"> CONSERVACION PASARELA MANQUEMAPU, COMUNA DE PURRANQUE </v>
      </c>
      <c r="D615" s="16" t="str">
        <f ca="1">IFERROR(__xludf.DUMMYFUNCTION("""COMPUTED_VALUE""")," 1-C-2024-328 ")</f>
        <v xml:space="preserve"> 1-C-2024-328 </v>
      </c>
      <c r="E615" s="16" t="str">
        <f ca="1">IFERROR(__xludf.DUMMYFUNCTION("""COMPUTED_VALUE""")," Con Giro por Anticipo ")</f>
        <v xml:space="preserve"> Con Giro por Anticipo </v>
      </c>
      <c r="F615" s="17">
        <f ca="1">IFERROR(__xludf.DUMMYFUNCTION("""COMPUTED_VALUE"""),45532)</f>
        <v>45532</v>
      </c>
      <c r="G615" s="16">
        <f ca="1">IFERROR(__xludf.DUMMYFUNCTION("""COMPUTED_VALUE"""),161116087)</f>
        <v>161116087</v>
      </c>
      <c r="H615" s="16" t="str">
        <f ca="1">IFERROR(__xludf.DUMMYFUNCTION("""COMPUTED_VALUE""")," Con Giro por Anticipo ")</f>
        <v xml:space="preserve"> Con Giro por Anticipo </v>
      </c>
      <c r="I615" s="16">
        <f ca="1">IFERROR(__xludf.DUMMYFUNCTION("""COMPUTED_VALUE"""),80558044)</f>
        <v>80558044</v>
      </c>
      <c r="J615" s="83" t="s">
        <v>48</v>
      </c>
      <c r="K615" s="16"/>
      <c r="L615" s="16"/>
      <c r="M615" s="16"/>
      <c r="N615" s="19"/>
      <c r="O615" s="19"/>
      <c r="P615" s="19"/>
      <c r="Q615" s="19"/>
      <c r="R615" s="21">
        <f ca="1">IFERROR(__xludf.DUMMYFUNCTION("""COMPUTED_VALUE"""),80558044)</f>
        <v>80558044</v>
      </c>
      <c r="S615" s="19"/>
      <c r="T615" s="19"/>
      <c r="U615" s="19"/>
      <c r="V615" s="19"/>
      <c r="W615" s="20">
        <f ca="1">IFERROR(__xludf.DUMMYFUNCTION("""COMPUTED_VALUE"""),80558044)</f>
        <v>80558044</v>
      </c>
      <c r="X615" s="20" t="str">
        <f ca="1">IFERROR(__xludf.DUMMYFUNCTION("""COMPUTED_VALUE""")," MUNICIPALIDAD DE PURRANQUE ")</f>
        <v xml:space="preserve"> MUNICIPALIDAD DE PURRANQUE </v>
      </c>
    </row>
    <row r="616" spans="1:24" ht="15.75" customHeight="1" x14ac:dyDescent="0.25">
      <c r="A616" s="16" t="str">
        <f ca="1">IFERROR(__xludf.DUMMYFUNCTION("""COMPUTED_VALUE""")," REGIÓN DE LOS LAGOS ")</f>
        <v xml:space="preserve"> REGIÓN DE LOS LAGOS </v>
      </c>
      <c r="B616" s="16" t="str">
        <f t="shared" ca="1" si="2"/>
        <v xml:space="preserve"> CALBUCO </v>
      </c>
      <c r="C616" s="16" t="str">
        <f ca="1">IFERROR(__xludf.DUMMYFUNCTION("""COMPUTED_VALUE""")," CONSTRUCCIÓN MÓDULOS Y SS.HH. MERCADO LOS HÉROES, COMUNA DE CALBUCO ")</f>
        <v xml:space="preserve"> CONSTRUCCIÓN MÓDULOS Y SS.HH. MERCADO LOS HÉROES, COMUNA DE CALBUCO </v>
      </c>
      <c r="D616" s="16" t="str">
        <f ca="1">IFERROR(__xludf.DUMMYFUNCTION("""COMPUTED_VALUE""")," 1-C-2024-449 ")</f>
        <v xml:space="preserve"> 1-C-2024-449 </v>
      </c>
      <c r="E616" s="16" t="str">
        <f ca="1">IFERROR(__xludf.DUMMYFUNCTION("""COMPUTED_VALUE""")," Con Giro por Anticipo ")</f>
        <v xml:space="preserve"> Con Giro por Anticipo </v>
      </c>
      <c r="F616" s="17">
        <f ca="1">IFERROR(__xludf.DUMMYFUNCTION("""COMPUTED_VALUE"""),45533)</f>
        <v>45533</v>
      </c>
      <c r="G616" s="16">
        <f ca="1">IFERROR(__xludf.DUMMYFUNCTION("""COMPUTED_VALUE"""),159840782)</f>
        <v>159840782</v>
      </c>
      <c r="H616" s="16" t="str">
        <f ca="1">IFERROR(__xludf.DUMMYFUNCTION("""COMPUTED_VALUE""")," Con Giro por Anticipo ")</f>
        <v xml:space="preserve"> Con Giro por Anticipo </v>
      </c>
      <c r="I616" s="16">
        <f ca="1">IFERROR(__xludf.DUMMYFUNCTION("""COMPUTED_VALUE"""),79920391)</f>
        <v>79920391</v>
      </c>
      <c r="J616" s="83" t="s">
        <v>48</v>
      </c>
      <c r="K616" s="16"/>
      <c r="L616" s="16"/>
      <c r="M616" s="16"/>
      <c r="N616" s="19"/>
      <c r="O616" s="19"/>
      <c r="P616" s="19"/>
      <c r="Q616" s="19"/>
      <c r="R616" s="21">
        <f ca="1">IFERROR(__xludf.DUMMYFUNCTION("""COMPUTED_VALUE"""),79920391)</f>
        <v>79920391</v>
      </c>
      <c r="S616" s="19"/>
      <c r="T616" s="19"/>
      <c r="U616" s="19"/>
      <c r="V616" s="19"/>
      <c r="W616" s="20">
        <f ca="1">IFERROR(__xludf.DUMMYFUNCTION("""COMPUTED_VALUE"""),79920391)</f>
        <v>79920391</v>
      </c>
      <c r="X616" s="20" t="str">
        <f ca="1">IFERROR(__xludf.DUMMYFUNCTION("""COMPUTED_VALUE""")," MUNICIPALIDAD DE CALBUCO ")</f>
        <v xml:space="preserve"> MUNICIPALIDAD DE CALBUCO </v>
      </c>
    </row>
    <row r="617" spans="1:24" ht="15.75" customHeight="1" x14ac:dyDescent="0.25">
      <c r="A617" s="16" t="str">
        <f ca="1">IFERROR(__xludf.DUMMYFUNCTION("""COMPUTED_VALUE""")," REGIÓN DE LOS LAGOS ")</f>
        <v xml:space="preserve"> REGIÓN DE LOS LAGOS </v>
      </c>
      <c r="B617" s="16" t="str">
        <f t="shared" ca="1" si="2"/>
        <v xml:space="preserve"> PALENA </v>
      </c>
      <c r="C617" s="16" t="str">
        <f ca="1">IFERROR(__xludf.DUMMYFUNCTION("""COMPUTED_VALUE""")," CONSTRUCCION PLAZOLETA LOS FUNDADORES Y LETRAS VOLUMETRICAS, PALENA ")</f>
        <v xml:space="preserve"> CONSTRUCCION PLAZOLETA LOS FUNDADORES Y LETRAS VOLUMETRICAS, PALENA </v>
      </c>
      <c r="D617" s="16" t="str">
        <f ca="1">IFERROR(__xludf.DUMMYFUNCTION("""COMPUTED_VALUE""")," 1-B-2024-123 ")</f>
        <v xml:space="preserve"> 1-B-2024-123 </v>
      </c>
      <c r="E617" s="16" t="str">
        <f ca="1">IFERROR(__xludf.DUMMYFUNCTION("""COMPUTED_VALUE""")," 100% Girado ")</f>
        <v xml:space="preserve"> 100% Girado </v>
      </c>
      <c r="F617" s="17">
        <f ca="1">IFERROR(__xludf.DUMMYFUNCTION("""COMPUTED_VALUE"""),45525)</f>
        <v>45525</v>
      </c>
      <c r="G617" s="16">
        <f ca="1">IFERROR(__xludf.DUMMYFUNCTION("""COMPUTED_VALUE"""),83148629)</f>
        <v>83148629</v>
      </c>
      <c r="H617" s="16" t="str">
        <f ca="1">IFERROR(__xludf.DUMMYFUNCTION("""COMPUTED_VALUE""")," 100% Girado ")</f>
        <v xml:space="preserve"> 100% Girado </v>
      </c>
      <c r="I617" s="16">
        <f ca="1">IFERROR(__xludf.DUMMYFUNCTION("""COMPUTED_VALUE"""),83148629)</f>
        <v>83148629</v>
      </c>
      <c r="J617" s="83" t="s">
        <v>48</v>
      </c>
      <c r="K617" s="16"/>
      <c r="L617" s="16"/>
      <c r="M617" s="16"/>
      <c r="N617" s="19"/>
      <c r="O617" s="19"/>
      <c r="P617" s="19"/>
      <c r="Q617" s="19"/>
      <c r="R617" s="21">
        <f ca="1">IFERROR(__xludf.DUMMYFUNCTION("""COMPUTED_VALUE"""),83148629)</f>
        <v>83148629</v>
      </c>
      <c r="S617" s="19"/>
      <c r="T617" s="19"/>
      <c r="U617" s="19"/>
      <c r="V617" s="19"/>
      <c r="W617" s="20">
        <f ca="1">IFERROR(__xludf.DUMMYFUNCTION("""COMPUTED_VALUE"""),83148629)</f>
        <v>83148629</v>
      </c>
      <c r="X617" s="20" t="str">
        <f ca="1">IFERROR(__xludf.DUMMYFUNCTION("""COMPUTED_VALUE""")," MUNICIPALIDAD DE PALENA ")</f>
        <v xml:space="preserve"> MUNICIPALIDAD DE PALENA </v>
      </c>
    </row>
    <row r="618" spans="1:24" ht="15.75" customHeight="1" x14ac:dyDescent="0.25">
      <c r="A618" s="16" t="str">
        <f ca="1">IFERROR(__xludf.DUMMYFUNCTION("""COMPUTED_VALUE""")," REGIÓN DE LOS LAGOS ")</f>
        <v xml:space="preserve"> REGIÓN DE LOS LAGOS </v>
      </c>
      <c r="B618" s="16" t="str">
        <f t="shared" ca="1" si="2"/>
        <v xml:space="preserve"> HUALAIHUÉ </v>
      </c>
      <c r="C618" s="16" t="str">
        <f ca="1">IFERROR(__xludf.DUMMYFUNCTION("""COMPUTED_VALUE""")," CONSTRUCCIÓN MÓDULOS MULTIPROPÓSITO, CALETA EL MANZANO, COMUNA DE HUALAIHUÉ ")</f>
        <v xml:space="preserve"> CONSTRUCCIÓN MÓDULOS MULTIPROPÓSITO, CALETA EL MANZANO, COMUNA DE HUALAIHUÉ </v>
      </c>
      <c r="D618" s="16" t="str">
        <f ca="1">IFERROR(__xludf.DUMMYFUNCTION("""COMPUTED_VALUE""")," 1-B-2024-129 ")</f>
        <v xml:space="preserve"> 1-B-2024-129 </v>
      </c>
      <c r="E618" s="16" t="str">
        <f ca="1">IFERROR(__xludf.DUMMYFUNCTION("""COMPUTED_VALUE""")," 100% Girado ")</f>
        <v xml:space="preserve"> 100% Girado </v>
      </c>
      <c r="F618" s="17">
        <f ca="1">IFERROR(__xludf.DUMMYFUNCTION("""COMPUTED_VALUE"""),45525)</f>
        <v>45525</v>
      </c>
      <c r="G618" s="16">
        <f ca="1">IFERROR(__xludf.DUMMYFUNCTION("""COMPUTED_VALUE"""),83148629)</f>
        <v>83148629</v>
      </c>
      <c r="H618" s="16" t="str">
        <f ca="1">IFERROR(__xludf.DUMMYFUNCTION("""COMPUTED_VALUE""")," 100% Girado ")</f>
        <v xml:space="preserve"> 100% Girado </v>
      </c>
      <c r="I618" s="16">
        <f ca="1">IFERROR(__xludf.DUMMYFUNCTION("""COMPUTED_VALUE"""),83148629)</f>
        <v>83148629</v>
      </c>
      <c r="J618" s="83" t="s">
        <v>48</v>
      </c>
      <c r="K618" s="16"/>
      <c r="L618" s="16"/>
      <c r="M618" s="16"/>
      <c r="N618" s="19"/>
      <c r="O618" s="19"/>
      <c r="P618" s="19"/>
      <c r="Q618" s="19"/>
      <c r="R618" s="21">
        <f ca="1">IFERROR(__xludf.DUMMYFUNCTION("""COMPUTED_VALUE"""),83148629)</f>
        <v>83148629</v>
      </c>
      <c r="S618" s="19"/>
      <c r="T618" s="19"/>
      <c r="U618" s="19"/>
      <c r="V618" s="19"/>
      <c r="W618" s="20">
        <f ca="1">IFERROR(__xludf.DUMMYFUNCTION("""COMPUTED_VALUE"""),83148629)</f>
        <v>83148629</v>
      </c>
      <c r="X618" s="20" t="str">
        <f ca="1">IFERROR(__xludf.DUMMYFUNCTION("""COMPUTED_VALUE""")," MUNICIPALIDAD DE HUALAIHUÉ ")</f>
        <v xml:space="preserve"> MUNICIPALIDAD DE HUALAIHUÉ </v>
      </c>
    </row>
    <row r="619" spans="1:24" ht="15.75" customHeight="1" x14ac:dyDescent="0.25">
      <c r="A619" s="16" t="str">
        <f ca="1">IFERROR(__xludf.DUMMYFUNCTION("""COMPUTED_VALUE""")," REGIÓN DE LOS LAGOS ")</f>
        <v xml:space="preserve"> REGIÓN DE LOS LAGOS </v>
      </c>
      <c r="B619" s="16" t="str">
        <f t="shared" ca="1" si="2"/>
        <v xml:space="preserve"> MAULLÍN </v>
      </c>
      <c r="C619" s="16" t="str">
        <f ca="1">IFERROR(__xludf.DUMMYFUNCTION("""COMPUTED_VALUE""")," MEJORAMIENTO PLAZA EL MAÑÍO, COMUNA DE MAULLÍN ")</f>
        <v xml:space="preserve"> MEJORAMIENTO PLAZA EL MAÑÍO, COMUNA DE MAULLÍN </v>
      </c>
      <c r="D619" s="16" t="str">
        <f ca="1">IFERROR(__xludf.DUMMYFUNCTION("""COMPUTED_VALUE""")," 1-B-2024-134 ")</f>
        <v xml:space="preserve"> 1-B-2024-134 </v>
      </c>
      <c r="E619" s="16" t="str">
        <f ca="1">IFERROR(__xludf.DUMMYFUNCTION("""COMPUTED_VALUE""")," 100% Girado ")</f>
        <v xml:space="preserve"> 100% Girado </v>
      </c>
      <c r="F619" s="17">
        <f ca="1">IFERROR(__xludf.DUMMYFUNCTION("""COMPUTED_VALUE"""),45504)</f>
        <v>45504</v>
      </c>
      <c r="G619" s="16">
        <f ca="1">IFERROR(__xludf.DUMMYFUNCTION("""COMPUTED_VALUE"""),83148629)</f>
        <v>83148629</v>
      </c>
      <c r="H619" s="16" t="str">
        <f ca="1">IFERROR(__xludf.DUMMYFUNCTION("""COMPUTED_VALUE""")," 100% Girado ")</f>
        <v xml:space="preserve"> 100% Girado </v>
      </c>
      <c r="I619" s="16">
        <f ca="1">IFERROR(__xludf.DUMMYFUNCTION("""COMPUTED_VALUE"""),83148629)</f>
        <v>83148629</v>
      </c>
      <c r="J619" s="83" t="s">
        <v>48</v>
      </c>
      <c r="K619" s="16"/>
      <c r="L619" s="16"/>
      <c r="M619" s="16"/>
      <c r="N619" s="19"/>
      <c r="O619" s="19"/>
      <c r="P619" s="19"/>
      <c r="Q619" s="19"/>
      <c r="R619" s="21">
        <f ca="1">IFERROR(__xludf.DUMMYFUNCTION("""COMPUTED_VALUE"""),83148629)</f>
        <v>83148629</v>
      </c>
      <c r="S619" s="19"/>
      <c r="T619" s="19"/>
      <c r="U619" s="19"/>
      <c r="V619" s="19"/>
      <c r="W619" s="20">
        <f ca="1">IFERROR(__xludf.DUMMYFUNCTION("""COMPUTED_VALUE"""),83148629)</f>
        <v>83148629</v>
      </c>
      <c r="X619" s="20" t="str">
        <f ca="1">IFERROR(__xludf.DUMMYFUNCTION("""COMPUTED_VALUE""")," MUNICIPALIDAD DE MAULLÍN ")</f>
        <v xml:space="preserve"> MUNICIPALIDAD DE MAULLÍN </v>
      </c>
    </row>
    <row r="620" spans="1:24" ht="15.75" customHeight="1" x14ac:dyDescent="0.25">
      <c r="A620" s="16" t="str">
        <f ca="1">IFERROR(__xludf.DUMMYFUNCTION("""COMPUTED_VALUE""")," REGIÓN DE LOS LAGOS ")</f>
        <v xml:space="preserve"> REGIÓN DE LOS LAGOS </v>
      </c>
      <c r="B620" s="16" t="str">
        <f t="shared" ca="1" si="2"/>
        <v xml:space="preserve"> CURACO DE VÉLEZ </v>
      </c>
      <c r="C620" s="16" t="str">
        <f ca="1">IFERROR(__xludf.DUMMYFUNCTION("""COMPUTED_VALUE""")," MEJORAMIENTO INTEGRAL CANCHA SINTETICA, CURACO DE VELEZ ")</f>
        <v xml:space="preserve"> MEJORAMIENTO INTEGRAL CANCHA SINTETICA, CURACO DE VELEZ </v>
      </c>
      <c r="D620" s="16" t="str">
        <f ca="1">IFERROR(__xludf.DUMMYFUNCTION("""COMPUTED_VALUE""")," 1-B-2024-142 ")</f>
        <v xml:space="preserve"> 1-B-2024-142 </v>
      </c>
      <c r="E620" s="16" t="str">
        <f ca="1">IFERROR(__xludf.DUMMYFUNCTION("""COMPUTED_VALUE""")," 100% Girado ")</f>
        <v xml:space="preserve"> 100% Girado </v>
      </c>
      <c r="F620" s="17">
        <f ca="1">IFERROR(__xludf.DUMMYFUNCTION("""COMPUTED_VALUE"""),45504)</f>
        <v>45504</v>
      </c>
      <c r="G620" s="16">
        <f ca="1">IFERROR(__xludf.DUMMYFUNCTION("""COMPUTED_VALUE"""),83148629)</f>
        <v>83148629</v>
      </c>
      <c r="H620" s="16" t="str">
        <f ca="1">IFERROR(__xludf.DUMMYFUNCTION("""COMPUTED_VALUE""")," 100% Girado ")</f>
        <v xml:space="preserve"> 100% Girado </v>
      </c>
      <c r="I620" s="16">
        <f ca="1">IFERROR(__xludf.DUMMYFUNCTION("""COMPUTED_VALUE"""),83148629)</f>
        <v>83148629</v>
      </c>
      <c r="J620" s="83" t="s">
        <v>48</v>
      </c>
      <c r="K620" s="16"/>
      <c r="L620" s="16"/>
      <c r="M620" s="16"/>
      <c r="N620" s="19"/>
      <c r="O620" s="19"/>
      <c r="P620" s="19"/>
      <c r="Q620" s="19"/>
      <c r="R620" s="21">
        <f ca="1">IFERROR(__xludf.DUMMYFUNCTION("""COMPUTED_VALUE"""),83148629)</f>
        <v>83148629</v>
      </c>
      <c r="S620" s="19"/>
      <c r="T620" s="19"/>
      <c r="U620" s="19"/>
      <c r="V620" s="19"/>
      <c r="W620" s="20">
        <f ca="1">IFERROR(__xludf.DUMMYFUNCTION("""COMPUTED_VALUE"""),83148629)</f>
        <v>83148629</v>
      </c>
      <c r="X620" s="20" t="str">
        <f ca="1">IFERROR(__xludf.DUMMYFUNCTION("""COMPUTED_VALUE""")," MUNICIPALIDAD DE CURACO DE VÉLEZ ")</f>
        <v xml:space="preserve"> MUNICIPALIDAD DE CURACO DE VÉLEZ </v>
      </c>
    </row>
    <row r="621" spans="1:24" ht="15.75" customHeight="1" x14ac:dyDescent="0.25">
      <c r="A621" s="16" t="str">
        <f ca="1">IFERROR(__xludf.DUMMYFUNCTION("""COMPUTED_VALUE""")," REGIÓN DE LOS LAGOS ")</f>
        <v xml:space="preserve"> REGIÓN DE LOS LAGOS </v>
      </c>
      <c r="B621" s="16" t="str">
        <f t="shared" ca="1" si="2"/>
        <v xml:space="preserve"> QUEMCHI </v>
      </c>
      <c r="C621" s="16" t="str">
        <f ca="1">IFERROR(__xludf.DUMMYFUNCTION("""COMPUTED_VALUE""")," MEJORAMIENTO MULTICANCHA Y ESPACIOS PUBLICOS, COMUNA DE QUEMCHI. ")</f>
        <v xml:space="preserve"> MEJORAMIENTO MULTICANCHA Y ESPACIOS PUBLICOS, COMUNA DE QUEMCHI. </v>
      </c>
      <c r="D621" s="16" t="str">
        <f ca="1">IFERROR(__xludf.DUMMYFUNCTION("""COMPUTED_VALUE""")," 1-B-2024-143 ")</f>
        <v xml:space="preserve"> 1-B-2024-143 </v>
      </c>
      <c r="E621" s="16" t="str">
        <f ca="1">IFERROR(__xludf.DUMMYFUNCTION("""COMPUTED_VALUE""")," 100% Girado ")</f>
        <v xml:space="preserve"> 100% Girado </v>
      </c>
      <c r="F621" s="17">
        <f ca="1">IFERROR(__xludf.DUMMYFUNCTION("""COMPUTED_VALUE"""),45531)</f>
        <v>45531</v>
      </c>
      <c r="G621" s="16">
        <f ca="1">IFERROR(__xludf.DUMMYFUNCTION("""COMPUTED_VALUE"""),83148629)</f>
        <v>83148629</v>
      </c>
      <c r="H621" s="16" t="str">
        <f ca="1">IFERROR(__xludf.DUMMYFUNCTION("""COMPUTED_VALUE""")," 100% Girado ")</f>
        <v xml:space="preserve"> 100% Girado </v>
      </c>
      <c r="I621" s="16">
        <f ca="1">IFERROR(__xludf.DUMMYFUNCTION("""COMPUTED_VALUE"""),83148629)</f>
        <v>83148629</v>
      </c>
      <c r="J621" s="83" t="s">
        <v>48</v>
      </c>
      <c r="K621" s="16"/>
      <c r="L621" s="16"/>
      <c r="M621" s="16"/>
      <c r="N621" s="19"/>
      <c r="O621" s="19"/>
      <c r="P621" s="19"/>
      <c r="Q621" s="19"/>
      <c r="R621" s="21">
        <f ca="1">IFERROR(__xludf.DUMMYFUNCTION("""COMPUTED_VALUE"""),83148629)</f>
        <v>83148629</v>
      </c>
      <c r="S621" s="19"/>
      <c r="T621" s="19"/>
      <c r="U621" s="19"/>
      <c r="V621" s="19"/>
      <c r="W621" s="20">
        <f ca="1">IFERROR(__xludf.DUMMYFUNCTION("""COMPUTED_VALUE"""),83148629)</f>
        <v>83148629</v>
      </c>
      <c r="X621" s="20" t="str">
        <f ca="1">IFERROR(__xludf.DUMMYFUNCTION("""COMPUTED_VALUE""")," MUNICIPALIDAD DE QUEMCHI ")</f>
        <v xml:space="preserve"> MUNICIPALIDAD DE QUEMCHI </v>
      </c>
    </row>
    <row r="622" spans="1:24" ht="15.75" customHeight="1" x14ac:dyDescent="0.25">
      <c r="A622" s="16" t="str">
        <f ca="1">IFERROR(__xludf.DUMMYFUNCTION("""COMPUTED_VALUE""")," REGIÓN DE LOS LAGOS ")</f>
        <v xml:space="preserve"> REGIÓN DE LOS LAGOS </v>
      </c>
      <c r="B622" s="16" t="str">
        <f t="shared" ca="1" si="2"/>
        <v xml:space="preserve"> CHONCHI </v>
      </c>
      <c r="C622" s="16" t="str">
        <f ca="1">IFERROR(__xludf.DUMMYFUNCTION("""COMPUTED_VALUE""")," HABILITACIÓN DE LUMINARIAS Y VALLAS PEATONALES ACCESO NORTE, CIUDAD DE CHONCHI ")</f>
        <v xml:space="preserve"> HABILITACIÓN DE LUMINARIAS Y VALLAS PEATONALES ACCESO NORTE, CIUDAD DE CHONCHI </v>
      </c>
      <c r="D622" s="16" t="str">
        <f ca="1">IFERROR(__xludf.DUMMYFUNCTION("""COMPUTED_VALUE""")," 1-B-2024-150 ")</f>
        <v xml:space="preserve"> 1-B-2024-150 </v>
      </c>
      <c r="E622" s="16" t="str">
        <f ca="1">IFERROR(__xludf.DUMMYFUNCTION("""COMPUTED_VALUE""")," 100% Girado ")</f>
        <v xml:space="preserve"> 100% Girado </v>
      </c>
      <c r="F622" s="17">
        <f ca="1">IFERROR(__xludf.DUMMYFUNCTION("""COMPUTED_VALUE"""),45532)</f>
        <v>45532</v>
      </c>
      <c r="G622" s="16">
        <f ca="1">IFERROR(__xludf.DUMMYFUNCTION("""COMPUTED_VALUE"""),83148629)</f>
        <v>83148629</v>
      </c>
      <c r="H622" s="16" t="str">
        <f ca="1">IFERROR(__xludf.DUMMYFUNCTION("""COMPUTED_VALUE""")," 100% Girado ")</f>
        <v xml:space="preserve"> 100% Girado </v>
      </c>
      <c r="I622" s="16">
        <f ca="1">IFERROR(__xludf.DUMMYFUNCTION("""COMPUTED_VALUE"""),83148629)</f>
        <v>83148629</v>
      </c>
      <c r="J622" s="83" t="s">
        <v>48</v>
      </c>
      <c r="K622" s="16"/>
      <c r="L622" s="16"/>
      <c r="M622" s="16"/>
      <c r="N622" s="19"/>
      <c r="O622" s="19"/>
      <c r="P622" s="19"/>
      <c r="Q622" s="19"/>
      <c r="R622" s="21">
        <f ca="1">IFERROR(__xludf.DUMMYFUNCTION("""COMPUTED_VALUE"""),83148629)</f>
        <v>83148629</v>
      </c>
      <c r="S622" s="19"/>
      <c r="T622" s="19"/>
      <c r="U622" s="19"/>
      <c r="V622" s="19"/>
      <c r="W622" s="20">
        <f ca="1">IFERROR(__xludf.DUMMYFUNCTION("""COMPUTED_VALUE"""),83148629)</f>
        <v>83148629</v>
      </c>
      <c r="X622" s="20" t="str">
        <f ca="1">IFERROR(__xludf.DUMMYFUNCTION("""COMPUTED_VALUE""")," MUNICIPALIDAD DE CHONCHI ")</f>
        <v xml:space="preserve"> MUNICIPALIDAD DE CHONCHI </v>
      </c>
    </row>
    <row r="623" spans="1:24" ht="15.75" customHeight="1" x14ac:dyDescent="0.25">
      <c r="A623" s="16" t="str">
        <f ca="1">IFERROR(__xludf.DUMMYFUNCTION("""COMPUTED_VALUE""")," REGIÓN DE LOS LAGOS ")</f>
        <v xml:space="preserve"> REGIÓN DE LOS LAGOS </v>
      </c>
      <c r="B623" s="16" t="str">
        <f t="shared" ca="1" si="2"/>
        <v xml:space="preserve"> QUEILÉN </v>
      </c>
      <c r="C623" s="16" t="str">
        <f ca="1">IFERROR(__xludf.DUMMYFUNCTION("""COMPUTED_VALUE""")," CONSTRUCCION GRADERIAS CANCHA DE FUTBOL CLUB DEPORTIVO PUMA DE CONTUY, QUEILEN ")</f>
        <v xml:space="preserve"> CONSTRUCCION GRADERIAS CANCHA DE FUTBOL CLUB DEPORTIVO PUMA DE CONTUY, QUEILEN </v>
      </c>
      <c r="D623" s="16" t="str">
        <f ca="1">IFERROR(__xludf.DUMMYFUNCTION("""COMPUTED_VALUE""")," 1-B-2024-152 ")</f>
        <v xml:space="preserve"> 1-B-2024-152 </v>
      </c>
      <c r="E623" s="16" t="str">
        <f ca="1">IFERROR(__xludf.DUMMYFUNCTION("""COMPUTED_VALUE""")," 100% Girado ")</f>
        <v xml:space="preserve"> 100% Girado </v>
      </c>
      <c r="F623" s="17">
        <f ca="1">IFERROR(__xludf.DUMMYFUNCTION("""COMPUTED_VALUE"""),45517)</f>
        <v>45517</v>
      </c>
      <c r="G623" s="16">
        <f ca="1">IFERROR(__xludf.DUMMYFUNCTION("""COMPUTED_VALUE"""),83148628)</f>
        <v>83148628</v>
      </c>
      <c r="H623" s="16" t="str">
        <f ca="1">IFERROR(__xludf.DUMMYFUNCTION("""COMPUTED_VALUE""")," 100% Girado ")</f>
        <v xml:space="preserve"> 100% Girado </v>
      </c>
      <c r="I623" s="16">
        <f ca="1">IFERROR(__xludf.DUMMYFUNCTION("""COMPUTED_VALUE"""),83148628)</f>
        <v>83148628</v>
      </c>
      <c r="J623" s="83" t="s">
        <v>48</v>
      </c>
      <c r="K623" s="16"/>
      <c r="L623" s="16"/>
      <c r="M623" s="16"/>
      <c r="N623" s="19"/>
      <c r="O623" s="19"/>
      <c r="P623" s="19"/>
      <c r="Q623" s="19"/>
      <c r="R623" s="21">
        <f ca="1">IFERROR(__xludf.DUMMYFUNCTION("""COMPUTED_VALUE"""),83148628)</f>
        <v>83148628</v>
      </c>
      <c r="S623" s="19"/>
      <c r="T623" s="19"/>
      <c r="U623" s="19"/>
      <c r="V623" s="19"/>
      <c r="W623" s="20">
        <f ca="1">IFERROR(__xludf.DUMMYFUNCTION("""COMPUTED_VALUE"""),83148628)</f>
        <v>83148628</v>
      </c>
      <c r="X623" s="20" t="str">
        <f ca="1">IFERROR(__xludf.DUMMYFUNCTION("""COMPUTED_VALUE""")," MUNICIPALIDAD DE QUEILÉN ")</f>
        <v xml:space="preserve"> MUNICIPALIDAD DE QUEILÉN </v>
      </c>
    </row>
    <row r="624" spans="1:24" ht="15.75" customHeight="1" x14ac:dyDescent="0.25">
      <c r="A624" s="16" t="str">
        <f ca="1">IFERROR(__xludf.DUMMYFUNCTION("""COMPUTED_VALUE""")," REGIÓN DE LOS LAGOS ")</f>
        <v xml:space="preserve"> REGIÓN DE LOS LAGOS </v>
      </c>
      <c r="B624" s="16" t="str">
        <f t="shared" ca="1" si="2"/>
        <v xml:space="preserve"> QUINCHAO </v>
      </c>
      <c r="C624" s="16" t="str">
        <f ca="1">IFERROR(__xludf.DUMMYFUNCTION("""COMPUTED_VALUE""")," MEJORAMIENTO MULTICANCHA SECTOR SOR TERESITA, COMUNA DE QUINCHAO ")</f>
        <v xml:space="preserve"> MEJORAMIENTO MULTICANCHA SECTOR SOR TERESITA, COMUNA DE QUINCHAO </v>
      </c>
      <c r="D624" s="16" t="str">
        <f ca="1">IFERROR(__xludf.DUMMYFUNCTION("""COMPUTED_VALUE""")," 1-B-2024-153 ")</f>
        <v xml:space="preserve"> 1-B-2024-153 </v>
      </c>
      <c r="E624" s="16" t="str">
        <f ca="1">IFERROR(__xludf.DUMMYFUNCTION("""COMPUTED_VALUE""")," 100% Girado ")</f>
        <v xml:space="preserve"> 100% Girado </v>
      </c>
      <c r="F624" s="17">
        <f ca="1">IFERROR(__xludf.DUMMYFUNCTION("""COMPUTED_VALUE"""),45512)</f>
        <v>45512</v>
      </c>
      <c r="G624" s="16">
        <f ca="1">IFERROR(__xludf.DUMMYFUNCTION("""COMPUTED_VALUE"""),83148629)</f>
        <v>83148629</v>
      </c>
      <c r="H624" s="16" t="str">
        <f ca="1">IFERROR(__xludf.DUMMYFUNCTION("""COMPUTED_VALUE""")," 100% Girado ")</f>
        <v xml:space="preserve"> 100% Girado </v>
      </c>
      <c r="I624" s="16">
        <f ca="1">IFERROR(__xludf.DUMMYFUNCTION("""COMPUTED_VALUE"""),83148629)</f>
        <v>83148629</v>
      </c>
      <c r="J624" s="83" t="s">
        <v>48</v>
      </c>
      <c r="K624" s="16"/>
      <c r="L624" s="16"/>
      <c r="M624" s="16"/>
      <c r="N624" s="19"/>
      <c r="O624" s="19"/>
      <c r="P624" s="19"/>
      <c r="Q624" s="19"/>
      <c r="R624" s="21">
        <f ca="1">IFERROR(__xludf.DUMMYFUNCTION("""COMPUTED_VALUE"""),83148629)</f>
        <v>83148629</v>
      </c>
      <c r="S624" s="19"/>
      <c r="T624" s="19"/>
      <c r="U624" s="19"/>
      <c r="V624" s="19"/>
      <c r="W624" s="20">
        <f ca="1">IFERROR(__xludf.DUMMYFUNCTION("""COMPUTED_VALUE"""),83148629)</f>
        <v>83148629</v>
      </c>
      <c r="X624" s="20" t="str">
        <f ca="1">IFERROR(__xludf.DUMMYFUNCTION("""COMPUTED_VALUE""")," MUNICIPALIDAD DE QUINCHAO ")</f>
        <v xml:space="preserve"> MUNICIPALIDAD DE QUINCHAO </v>
      </c>
    </row>
    <row r="625" spans="1:24" ht="15.75" customHeight="1" x14ac:dyDescent="0.25">
      <c r="A625" s="16" t="str">
        <f ca="1">IFERROR(__xludf.DUMMYFUNCTION("""COMPUTED_VALUE""")," REGIÓN DE MAGALLANES Y ANTÁRTICA CHILENA ")</f>
        <v xml:space="preserve"> REGIÓN DE MAGALLANES Y ANTÁRTICA CHILENA </v>
      </c>
      <c r="B625" s="16" t="str">
        <f t="shared" ca="1" si="2"/>
        <v xml:space="preserve"> CABO DE HORNOS </v>
      </c>
      <c r="C625" s="16" t="str">
        <f ca="1">IFERROR(__xludf.DUMMYFUNCTION("""COMPUTED_VALUE""")," [SATE] CONSTRUCCIÓN BARANDAS ""PASO DEL HIELO"" EN CALLE PRAT, PUERTO WILLIAMS ")</f>
        <v xml:space="preserve"> [SATE] CONSTRUCCIÓN BARANDAS "PASO DEL HIELO" EN CALLE PRAT, PUERTO WILLIAMS </v>
      </c>
      <c r="D625" s="16" t="str">
        <f ca="1">IFERROR(__xludf.DUMMYFUNCTION("""COMPUTED_VALUE""")," 1-C-2023-888 ")</f>
        <v xml:space="preserve"> 1-C-2023-888 </v>
      </c>
      <c r="E625" s="16" t="str">
        <f ca="1">IFERROR(__xludf.DUMMYFUNCTION("""COMPUTED_VALUE""")," 100% Girado ")</f>
        <v xml:space="preserve"> 100% Girado </v>
      </c>
      <c r="F625" s="17">
        <f ca="1">IFERROR(__xludf.DUMMYFUNCTION("""COMPUTED_VALUE"""),45504)</f>
        <v>45504</v>
      </c>
      <c r="G625" s="16">
        <f ca="1">IFERROR(__xludf.DUMMYFUNCTION("""COMPUTED_VALUE"""),62207452)</f>
        <v>62207452</v>
      </c>
      <c r="H625" s="16" t="str">
        <f ca="1">IFERROR(__xludf.DUMMYFUNCTION("""COMPUTED_VALUE""")," 100% Girado ")</f>
        <v xml:space="preserve"> 100% Girado </v>
      </c>
      <c r="I625" s="16">
        <f ca="1">IFERROR(__xludf.DUMMYFUNCTION("""COMPUTED_VALUE"""),62207452)</f>
        <v>62207452</v>
      </c>
      <c r="J625" s="83" t="s">
        <v>48</v>
      </c>
      <c r="K625" s="16"/>
      <c r="L625" s="16"/>
      <c r="M625" s="16"/>
      <c r="N625" s="19"/>
      <c r="O625" s="19"/>
      <c r="P625" s="19"/>
      <c r="Q625" s="19"/>
      <c r="R625" s="21">
        <f ca="1">IFERROR(__xludf.DUMMYFUNCTION("""COMPUTED_VALUE"""),62207452)</f>
        <v>62207452</v>
      </c>
      <c r="S625" s="19"/>
      <c r="T625" s="19"/>
      <c r="U625" s="19"/>
      <c r="V625" s="19"/>
      <c r="W625" s="20">
        <f ca="1">IFERROR(__xludf.DUMMYFUNCTION("""COMPUTED_VALUE"""),62207452)</f>
        <v>62207452</v>
      </c>
      <c r="X625" s="20" t="str">
        <f ca="1">IFERROR(__xludf.DUMMYFUNCTION("""COMPUTED_VALUE""")," MUNICIPALIDAD DE CABO DE HORNOS ")</f>
        <v xml:space="preserve"> MUNICIPALIDAD DE CABO DE HORNOS </v>
      </c>
    </row>
    <row r="626" spans="1:24" ht="15.75" customHeight="1" x14ac:dyDescent="0.25">
      <c r="A626" s="16" t="str">
        <f ca="1">IFERROR(__xludf.DUMMYFUNCTION("""COMPUTED_VALUE""")," REGIÓN DE MAGALLANES Y ANTÁRTICA CHILENA ")</f>
        <v xml:space="preserve"> REGIÓN DE MAGALLANES Y ANTÁRTICA CHILENA </v>
      </c>
      <c r="B626" s="16" t="str">
        <f t="shared" ca="1" si="2"/>
        <v xml:space="preserve"> RÍO VERDE </v>
      </c>
      <c r="C626" s="16" t="str">
        <f ca="1">IFERROR(__xludf.DUMMYFUNCTION("""COMPUTED_VALUE""")," [SATE] HABILITACIÓN Y MEJORAMIENTO DE ALUMBRADO PÚBLICO EN VILLA PONSOMBY. ")</f>
        <v xml:space="preserve"> [SATE] HABILITACIÓN Y MEJORAMIENTO DE ALUMBRADO PÚBLICO EN VILLA PONSOMBY. </v>
      </c>
      <c r="D626" s="16" t="str">
        <f ca="1">IFERROR(__xludf.DUMMYFUNCTION("""COMPUTED_VALUE""")," 1-C-2023-982 ")</f>
        <v xml:space="preserve"> 1-C-2023-982 </v>
      </c>
      <c r="E626" s="16" t="str">
        <f ca="1">IFERROR(__xludf.DUMMYFUNCTION("""COMPUTED_VALUE""")," 100% Girado ")</f>
        <v xml:space="preserve"> 100% Girado </v>
      </c>
      <c r="F626" s="17">
        <f ca="1">IFERROR(__xludf.DUMMYFUNCTION("""COMPUTED_VALUE"""),45504)</f>
        <v>45504</v>
      </c>
      <c r="G626" s="16">
        <f ca="1">IFERROR(__xludf.DUMMYFUNCTION("""COMPUTED_VALUE"""),151088235)</f>
        <v>151088235</v>
      </c>
      <c r="H626" s="16" t="str">
        <f ca="1">IFERROR(__xludf.DUMMYFUNCTION("""COMPUTED_VALUE""")," 100% Girado ")</f>
        <v xml:space="preserve"> 100% Girado </v>
      </c>
      <c r="I626" s="16">
        <f ca="1">IFERROR(__xludf.DUMMYFUNCTION("""COMPUTED_VALUE"""),151088235)</f>
        <v>151088235</v>
      </c>
      <c r="J626" s="83" t="s">
        <v>48</v>
      </c>
      <c r="K626" s="16"/>
      <c r="L626" s="16"/>
      <c r="M626" s="16"/>
      <c r="N626" s="19"/>
      <c r="O626" s="19"/>
      <c r="P626" s="19"/>
      <c r="Q626" s="19"/>
      <c r="R626" s="21">
        <f ca="1">IFERROR(__xludf.DUMMYFUNCTION("""COMPUTED_VALUE"""),151088235)</f>
        <v>151088235</v>
      </c>
      <c r="S626" s="19"/>
      <c r="T626" s="19"/>
      <c r="U626" s="19"/>
      <c r="V626" s="19"/>
      <c r="W626" s="20">
        <f ca="1">IFERROR(__xludf.DUMMYFUNCTION("""COMPUTED_VALUE"""),151088235)</f>
        <v>151088235</v>
      </c>
      <c r="X626" s="20" t="str">
        <f ca="1">IFERROR(__xludf.DUMMYFUNCTION("""COMPUTED_VALUE""")," MUNICIPALIDAD DE RÍO VERDE ")</f>
        <v xml:space="preserve"> MUNICIPALIDAD DE RÍO VERDE </v>
      </c>
    </row>
    <row r="627" spans="1:24" ht="15.75" customHeight="1" x14ac:dyDescent="0.25">
      <c r="A627" s="16" t="str">
        <f ca="1">IFERROR(__xludf.DUMMYFUNCTION("""COMPUTED_VALUE""")," REGIÓN METROPOLITANA ")</f>
        <v xml:space="preserve"> REGIÓN METROPOLITANA </v>
      </c>
      <c r="B627" s="16" t="str">
        <f t="shared" ca="1" si="2"/>
        <v xml:space="preserve"> TALAGANTE </v>
      </c>
      <c r="C627" s="16" t="str">
        <f ca="1">IFERROR(__xludf.DUMMYFUNCTION("""COMPUTED_VALUE""")," MEJORAMIENTO MULTICANCHAS VILLA O'HIGGINS VILLA PABLO NERUDA, COMUNA DE TALAGANTE ")</f>
        <v xml:space="preserve"> MEJORAMIENTO MULTICANCHAS VILLA O'HIGGINS VILLA PABLO NERUDA, COMUNA DE TALAGANTE </v>
      </c>
      <c r="D627" s="16" t="str">
        <f ca="1">IFERROR(__xludf.DUMMYFUNCTION("""COMPUTED_VALUE""")," 1-C-2022-2314 ")</f>
        <v xml:space="preserve"> 1-C-2022-2314 </v>
      </c>
      <c r="E627" s="16" t="str">
        <f ca="1">IFERROR(__xludf.DUMMYFUNCTION("""COMPUTED_VALUE""")," Con Giro por Anticipo ")</f>
        <v xml:space="preserve"> Con Giro por Anticipo </v>
      </c>
      <c r="F627" s="17">
        <f ca="1">IFERROR(__xludf.DUMMYFUNCTION("""COMPUTED_VALUE"""),45525)</f>
        <v>45525</v>
      </c>
      <c r="G627" s="16">
        <f ca="1">IFERROR(__xludf.DUMMYFUNCTION("""COMPUTED_VALUE"""),135955942)</f>
        <v>135955942</v>
      </c>
      <c r="H627" s="16" t="str">
        <f ca="1">IFERROR(__xludf.DUMMYFUNCTION("""COMPUTED_VALUE""")," Con Giro por Anticipo ")</f>
        <v xml:space="preserve"> Con Giro por Anticipo </v>
      </c>
      <c r="I627" s="16">
        <f ca="1">IFERROR(__xludf.DUMMYFUNCTION("""COMPUTED_VALUE"""),67977971)</f>
        <v>67977971</v>
      </c>
      <c r="J627" s="83" t="s">
        <v>48</v>
      </c>
      <c r="K627" s="16"/>
      <c r="L627" s="16"/>
      <c r="M627" s="16"/>
      <c r="N627" s="19"/>
      <c r="O627" s="19"/>
      <c r="P627" s="19"/>
      <c r="Q627" s="19"/>
      <c r="R627" s="21">
        <f ca="1">IFERROR(__xludf.DUMMYFUNCTION("""COMPUTED_VALUE"""),67977971)</f>
        <v>67977971</v>
      </c>
      <c r="S627" s="19"/>
      <c r="T627" s="19"/>
      <c r="U627" s="19"/>
      <c r="V627" s="19"/>
      <c r="W627" s="20">
        <f ca="1">IFERROR(__xludf.DUMMYFUNCTION("""COMPUTED_VALUE"""),67977971)</f>
        <v>67977971</v>
      </c>
      <c r="X627" s="20" t="str">
        <f ca="1">IFERROR(__xludf.DUMMYFUNCTION("""COMPUTED_VALUE""")," MUNICIPALIDAD DE TALAGANTE ")</f>
        <v xml:space="preserve"> MUNICIPALIDAD DE TALAGANTE </v>
      </c>
    </row>
    <row r="628" spans="1:24" ht="15.75" customHeight="1" x14ac:dyDescent="0.25">
      <c r="A628" s="16" t="str">
        <f ca="1">IFERROR(__xludf.DUMMYFUNCTION("""COMPUTED_VALUE""")," REGIÓN METROPOLITANA ")</f>
        <v xml:space="preserve"> REGIÓN METROPOLITANA </v>
      </c>
      <c r="B628" s="16" t="str">
        <f t="shared" ca="1" si="2"/>
        <v xml:space="preserve"> INDEPENDENCIA </v>
      </c>
      <c r="C628" s="16" t="str">
        <f ca="1">IFERROR(__xludf.DUMMYFUNCTION("""COMPUTED_VALUE""")," CSV MEJORAMIENTO ENTORNO PISCINA ESCOLAR U. DE CHILE ")</f>
        <v xml:space="preserve"> CSV MEJORAMIENTO ENTORNO PISCINA ESCOLAR U. DE CHILE </v>
      </c>
      <c r="D628" s="16" t="str">
        <f ca="1">IFERROR(__xludf.DUMMYFUNCTION("""COMPUTED_VALUE""")," 1-C-2023-1969 ")</f>
        <v xml:space="preserve"> 1-C-2023-1969 </v>
      </c>
      <c r="E628" s="16" t="str">
        <f ca="1">IFERROR(__xludf.DUMMYFUNCTION("""COMPUTED_VALUE""")," 100% Girado ")</f>
        <v xml:space="preserve"> 100% Girado </v>
      </c>
      <c r="F628" s="17">
        <f ca="1">IFERROR(__xludf.DUMMYFUNCTION("""COMPUTED_VALUE"""),45503)</f>
        <v>45503</v>
      </c>
      <c r="G628" s="16">
        <f ca="1">IFERROR(__xludf.DUMMYFUNCTION("""COMPUTED_VALUE"""),152909575)</f>
        <v>152909575</v>
      </c>
      <c r="H628" s="16" t="str">
        <f ca="1">IFERROR(__xludf.DUMMYFUNCTION("""COMPUTED_VALUE""")," 100% Girado ")</f>
        <v xml:space="preserve"> 100% Girado </v>
      </c>
      <c r="I628" s="16">
        <f ca="1">IFERROR(__xludf.DUMMYFUNCTION("""COMPUTED_VALUE"""),152909575)</f>
        <v>152909575</v>
      </c>
      <c r="J628" s="83" t="s">
        <v>48</v>
      </c>
      <c r="K628" s="16"/>
      <c r="L628" s="16"/>
      <c r="M628" s="16"/>
      <c r="N628" s="19"/>
      <c r="O628" s="19"/>
      <c r="P628" s="19"/>
      <c r="Q628" s="19"/>
      <c r="R628" s="21">
        <f ca="1">IFERROR(__xludf.DUMMYFUNCTION("""COMPUTED_VALUE"""),152909575)</f>
        <v>152909575</v>
      </c>
      <c r="S628" s="19"/>
      <c r="T628" s="19"/>
      <c r="U628" s="19"/>
      <c r="V628" s="19"/>
      <c r="W628" s="20">
        <f ca="1">IFERROR(__xludf.DUMMYFUNCTION("""COMPUTED_VALUE"""),152909575)</f>
        <v>152909575</v>
      </c>
      <c r="X628" s="20" t="str">
        <f ca="1">IFERROR(__xludf.DUMMYFUNCTION("""COMPUTED_VALUE""")," MUNICIPALIDAD DE INDEPENDENCIA ")</f>
        <v xml:space="preserve"> MUNICIPALIDAD DE INDEPENDENCIA </v>
      </c>
    </row>
    <row r="629" spans="1:24" ht="15.75" customHeight="1" x14ac:dyDescent="0.25">
      <c r="A629" s="16" t="str">
        <f ca="1">IFERROR(__xludf.DUMMYFUNCTION("""COMPUTED_VALUE""")," REGIÓN METROPOLITANA ")</f>
        <v xml:space="preserve"> REGIÓN METROPOLITANA </v>
      </c>
      <c r="B629" s="16" t="str">
        <f t="shared" ca="1" si="2"/>
        <v xml:space="preserve"> TALAGANTE </v>
      </c>
      <c r="C629" s="16" t="str">
        <f ca="1">IFERROR(__xludf.DUMMYFUNCTION("""COMPUTED_VALUE""")," AMPLIACIÓN COMEDOR Y HABILITACIÓN SALA DE CLASES LICEO REPUBLICA DE GRECIA ANEXO, COMUNA DE TALAGANTE ")</f>
        <v xml:space="preserve"> AMPLIACIÓN COMEDOR Y HABILITACIÓN SALA DE CLASES LICEO REPUBLICA DE GRECIA ANEXO, COMUNA DE TALAGANTE </v>
      </c>
      <c r="D629" s="16" t="str">
        <f ca="1">IFERROR(__xludf.DUMMYFUNCTION("""COMPUTED_VALUE""")," 1-C-2023-2048 ")</f>
        <v xml:space="preserve"> 1-C-2023-2048 </v>
      </c>
      <c r="E629" s="16" t="str">
        <f ca="1">IFERROR(__xludf.DUMMYFUNCTION("""COMPUTED_VALUE""")," 100% Girado ")</f>
        <v xml:space="preserve"> 100% Girado </v>
      </c>
      <c r="F629" s="17">
        <f ca="1">IFERROR(__xludf.DUMMYFUNCTION("""COMPUTED_VALUE"""),45512)</f>
        <v>45512</v>
      </c>
      <c r="G629" s="16">
        <f ca="1">IFERROR(__xludf.DUMMYFUNCTION("""COMPUTED_VALUE"""),154397591)</f>
        <v>154397591</v>
      </c>
      <c r="H629" s="16" t="str">
        <f ca="1">IFERROR(__xludf.DUMMYFUNCTION("""COMPUTED_VALUE""")," 100% Girado ")</f>
        <v xml:space="preserve"> 100% Girado </v>
      </c>
      <c r="I629" s="16">
        <f ca="1">IFERROR(__xludf.DUMMYFUNCTION("""COMPUTED_VALUE"""),154397591)</f>
        <v>154397591</v>
      </c>
      <c r="J629" s="83" t="s">
        <v>48</v>
      </c>
      <c r="K629" s="16"/>
      <c r="L629" s="16"/>
      <c r="M629" s="16"/>
      <c r="N629" s="19"/>
      <c r="O629" s="19"/>
      <c r="P629" s="19"/>
      <c r="Q629" s="19"/>
      <c r="R629" s="21">
        <f ca="1">IFERROR(__xludf.DUMMYFUNCTION("""COMPUTED_VALUE"""),154397591)</f>
        <v>154397591</v>
      </c>
      <c r="S629" s="19"/>
      <c r="T629" s="19"/>
      <c r="U629" s="19"/>
      <c r="V629" s="19"/>
      <c r="W629" s="20">
        <f ca="1">IFERROR(__xludf.DUMMYFUNCTION("""COMPUTED_VALUE"""),154397591)</f>
        <v>154397591</v>
      </c>
      <c r="X629" s="20" t="str">
        <f ca="1">IFERROR(__xludf.DUMMYFUNCTION("""COMPUTED_VALUE""")," MUNICIPALIDAD DE TALAGANTE ")</f>
        <v xml:space="preserve"> MUNICIPALIDAD DE TALAGANTE </v>
      </c>
    </row>
    <row r="630" spans="1:24" ht="15.75" customHeight="1" x14ac:dyDescent="0.25">
      <c r="A630" s="16" t="str">
        <f ca="1">IFERROR(__xludf.DUMMYFUNCTION("""COMPUTED_VALUE""")," REGIÓN METROPOLITANA ")</f>
        <v xml:space="preserve"> REGIÓN METROPOLITANA </v>
      </c>
      <c r="B630" s="16" t="str">
        <f t="shared" ca="1" si="2"/>
        <v xml:space="preserve"> PUENTE ALTO </v>
      </c>
      <c r="C630" s="16" t="str">
        <f ca="1">IFERROR(__xludf.DUMMYFUNCTION("""COMPUTED_VALUE""")," RECUPERACIÓN DE MULTICANCHAS Y AREA VERDE VILLA LOS RIOS, PUENTE ALTO ")</f>
        <v xml:space="preserve"> RECUPERACIÓN DE MULTICANCHAS Y AREA VERDE VILLA LOS RIOS, PUENTE ALTO </v>
      </c>
      <c r="D630" s="16" t="str">
        <f ca="1">IFERROR(__xludf.DUMMYFUNCTION("""COMPUTED_VALUE""")," 1-C-2023-2212 ")</f>
        <v xml:space="preserve"> 1-C-2023-2212 </v>
      </c>
      <c r="E630" s="16" t="str">
        <f ca="1">IFERROR(__xludf.DUMMYFUNCTION("""COMPUTED_VALUE""")," 100% Girado ")</f>
        <v xml:space="preserve"> 100% Girado </v>
      </c>
      <c r="F630" s="17">
        <f ca="1">IFERROR(__xludf.DUMMYFUNCTION("""COMPUTED_VALUE"""),45512)</f>
        <v>45512</v>
      </c>
      <c r="G630" s="16">
        <f ca="1">IFERROR(__xludf.DUMMYFUNCTION("""COMPUTED_VALUE"""),153999950)</f>
        <v>153999950</v>
      </c>
      <c r="H630" s="16" t="str">
        <f ca="1">IFERROR(__xludf.DUMMYFUNCTION("""COMPUTED_VALUE""")," 100% Girado ")</f>
        <v xml:space="preserve"> 100% Girado </v>
      </c>
      <c r="I630" s="16">
        <f ca="1">IFERROR(__xludf.DUMMYFUNCTION("""COMPUTED_VALUE"""),153999950)</f>
        <v>153999950</v>
      </c>
      <c r="J630" s="83" t="s">
        <v>48</v>
      </c>
      <c r="K630" s="16"/>
      <c r="L630" s="16"/>
      <c r="M630" s="16"/>
      <c r="N630" s="19"/>
      <c r="O630" s="19"/>
      <c r="P630" s="19"/>
      <c r="Q630" s="19"/>
      <c r="R630" s="21">
        <f ca="1">IFERROR(__xludf.DUMMYFUNCTION("""COMPUTED_VALUE"""),153999950)</f>
        <v>153999950</v>
      </c>
      <c r="S630" s="19"/>
      <c r="T630" s="19"/>
      <c r="U630" s="19"/>
      <c r="V630" s="19"/>
      <c r="W630" s="20">
        <f ca="1">IFERROR(__xludf.DUMMYFUNCTION("""COMPUTED_VALUE"""),153999950)</f>
        <v>153999950</v>
      </c>
      <c r="X630" s="20" t="str">
        <f ca="1">IFERROR(__xludf.DUMMYFUNCTION("""COMPUTED_VALUE""")," MUNICIPALIDAD DE PUENTE ALTO ")</f>
        <v xml:space="preserve"> MUNICIPALIDAD DE PUENTE ALTO </v>
      </c>
    </row>
    <row r="631" spans="1:24" ht="15.75" customHeight="1" x14ac:dyDescent="0.25">
      <c r="A631" s="16" t="str">
        <f ca="1">IFERROR(__xludf.DUMMYFUNCTION("""COMPUTED_VALUE""")," REGIÓN METROPOLITANA ")</f>
        <v xml:space="preserve"> REGIÓN METROPOLITANA </v>
      </c>
      <c r="B631" s="16" t="str">
        <f t="shared" ca="1" si="2"/>
        <v xml:space="preserve"> RECOLETA </v>
      </c>
      <c r="C631" s="16" t="str">
        <f ca="1">IFERROR(__xludf.DUMMYFUNCTION("""COMPUTED_VALUE""")," REPOSICION PAVIMENTOS PASAJE LA AFRICANA, COMUNA DE RECOLETA ")</f>
        <v xml:space="preserve"> REPOSICION PAVIMENTOS PASAJE LA AFRICANA, COMUNA DE RECOLETA </v>
      </c>
      <c r="D631" s="16" t="str">
        <f ca="1">IFERROR(__xludf.DUMMYFUNCTION("""COMPUTED_VALUE""")," 1-C-2023-2842 ")</f>
        <v xml:space="preserve"> 1-C-2023-2842 </v>
      </c>
      <c r="E631" s="16" t="str">
        <f ca="1">IFERROR(__xludf.DUMMYFUNCTION("""COMPUTED_VALUE""")," 100% Girado ")</f>
        <v xml:space="preserve"> 100% Girado </v>
      </c>
      <c r="F631" s="17">
        <f ca="1">IFERROR(__xludf.DUMMYFUNCTION("""COMPUTED_VALUE"""),45512)</f>
        <v>45512</v>
      </c>
      <c r="G631" s="16">
        <f ca="1">IFERROR(__xludf.DUMMYFUNCTION("""COMPUTED_VALUE"""),98857019)</f>
        <v>98857019</v>
      </c>
      <c r="H631" s="16" t="str">
        <f ca="1">IFERROR(__xludf.DUMMYFUNCTION("""COMPUTED_VALUE""")," 100% Girado ")</f>
        <v xml:space="preserve"> 100% Girado </v>
      </c>
      <c r="I631" s="16">
        <f ca="1">IFERROR(__xludf.DUMMYFUNCTION("""COMPUTED_VALUE"""),98857019)</f>
        <v>98857019</v>
      </c>
      <c r="J631" s="83" t="s">
        <v>48</v>
      </c>
      <c r="K631" s="16"/>
      <c r="L631" s="16"/>
      <c r="M631" s="16"/>
      <c r="N631" s="19"/>
      <c r="O631" s="19"/>
      <c r="P631" s="19"/>
      <c r="Q631" s="19"/>
      <c r="R631" s="21">
        <f ca="1">IFERROR(__xludf.DUMMYFUNCTION("""COMPUTED_VALUE"""),98857019)</f>
        <v>98857019</v>
      </c>
      <c r="S631" s="19"/>
      <c r="T631" s="19"/>
      <c r="U631" s="19"/>
      <c r="V631" s="19"/>
      <c r="W631" s="20">
        <f ca="1">IFERROR(__xludf.DUMMYFUNCTION("""COMPUTED_VALUE"""),98857019)</f>
        <v>98857019</v>
      </c>
      <c r="X631" s="20" t="str">
        <f ca="1">IFERROR(__xludf.DUMMYFUNCTION("""COMPUTED_VALUE""")," MUNICIPALIDAD DE RECOLETA ")</f>
        <v xml:space="preserve"> MUNICIPALIDAD DE RECOLETA </v>
      </c>
    </row>
    <row r="632" spans="1:24" ht="15.75" customHeight="1" x14ac:dyDescent="0.25">
      <c r="A632" s="16" t="str">
        <f ca="1">IFERROR(__xludf.DUMMYFUNCTION("""COMPUTED_VALUE""")," REGIÓN METROPOLITANA ")</f>
        <v xml:space="preserve"> REGIÓN METROPOLITANA </v>
      </c>
      <c r="B632" s="16" t="str">
        <f t="shared" ca="1" si="2"/>
        <v xml:space="preserve"> ÑUÑOA </v>
      </c>
      <c r="C632" s="16" t="str">
        <f ca="1">IFERROR(__xludf.DUMMYFUNCTION("""COMPUTED_VALUE""")," MEJORAMIENTO DE ÁREAS VERDES PASAJE 14, PASAJE 23 Y PASAJE 29, VILLA LOS JARDINES, COMUNA DE ÑUÑOA. ")</f>
        <v xml:space="preserve"> MEJORAMIENTO DE ÁREAS VERDES PASAJE 14, PASAJE 23 Y PASAJE 29, VILLA LOS JARDINES, COMUNA DE ÑUÑOA. </v>
      </c>
      <c r="D632" s="16" t="str">
        <f ca="1">IFERROR(__xludf.DUMMYFUNCTION("""COMPUTED_VALUE""")," 1-C-2023-3136 ")</f>
        <v xml:space="preserve"> 1-C-2023-3136 </v>
      </c>
      <c r="E632" s="16" t="str">
        <f ca="1">IFERROR(__xludf.DUMMYFUNCTION("""COMPUTED_VALUE""")," Con Giro por Anticipo ")</f>
        <v xml:space="preserve"> Con Giro por Anticipo </v>
      </c>
      <c r="F632" s="17">
        <f ca="1">IFERROR(__xludf.DUMMYFUNCTION("""COMPUTED_VALUE"""),45525)</f>
        <v>45525</v>
      </c>
      <c r="G632" s="16">
        <f ca="1">IFERROR(__xludf.DUMMYFUNCTION("""COMPUTED_VALUE"""),126953697)</f>
        <v>126953697</v>
      </c>
      <c r="H632" s="16" t="str">
        <f ca="1">IFERROR(__xludf.DUMMYFUNCTION("""COMPUTED_VALUE""")," Con Giro por Anticipo ")</f>
        <v xml:space="preserve"> Con Giro por Anticipo </v>
      </c>
      <c r="I632" s="16">
        <f ca="1">IFERROR(__xludf.DUMMYFUNCTION("""COMPUTED_VALUE"""),63476849)</f>
        <v>63476849</v>
      </c>
      <c r="J632" s="83" t="s">
        <v>48</v>
      </c>
      <c r="K632" s="16"/>
      <c r="L632" s="16"/>
      <c r="M632" s="16"/>
      <c r="N632" s="19"/>
      <c r="O632" s="19"/>
      <c r="P632" s="19"/>
      <c r="Q632" s="19"/>
      <c r="R632" s="21">
        <f ca="1">IFERROR(__xludf.DUMMYFUNCTION("""COMPUTED_VALUE"""),63476849)</f>
        <v>63476849</v>
      </c>
      <c r="S632" s="19"/>
      <c r="T632" s="19"/>
      <c r="U632" s="19"/>
      <c r="V632" s="19"/>
      <c r="W632" s="20">
        <f ca="1">IFERROR(__xludf.DUMMYFUNCTION("""COMPUTED_VALUE"""),63476849)</f>
        <v>63476849</v>
      </c>
      <c r="X632" s="20" t="str">
        <f ca="1">IFERROR(__xludf.DUMMYFUNCTION("""COMPUTED_VALUE""")," MUNICIPALIDAD DE ÑUÑOA ")</f>
        <v xml:space="preserve"> MUNICIPALIDAD DE ÑUÑOA </v>
      </c>
    </row>
    <row r="633" spans="1:24" ht="15.75" customHeight="1" x14ac:dyDescent="0.25">
      <c r="A633" s="16" t="str">
        <f ca="1">IFERROR(__xludf.DUMMYFUNCTION("""COMPUTED_VALUE""")," REGIÓN METROPOLITANA ")</f>
        <v xml:space="preserve"> REGIÓN METROPOLITANA </v>
      </c>
      <c r="B633" s="16" t="str">
        <f t="shared" ca="1" si="2"/>
        <v xml:space="preserve"> PEDRO AGUIRRE CERDA </v>
      </c>
      <c r="C633" s="16" t="str">
        <f ca="1">IFERROR(__xludf.DUMMYFUNCTION("""COMPUTED_VALUE""")," MEJORAMIENTO PLAZA VENEZUELA DE LA POBLACIÓN SAN JOAQUÍN, COMUNA DE PEDRO AGUIRRE CERDA ")</f>
        <v xml:space="preserve"> MEJORAMIENTO PLAZA VENEZUELA DE LA POBLACIÓN SAN JOAQUÍN, COMUNA DE PEDRO AGUIRRE CERDA </v>
      </c>
      <c r="D633" s="16" t="str">
        <f ca="1">IFERROR(__xludf.DUMMYFUNCTION("""COMPUTED_VALUE""")," 1-C-2024-172 ")</f>
        <v xml:space="preserve"> 1-C-2024-172 </v>
      </c>
      <c r="E633" s="16" t="str">
        <f ca="1">IFERROR(__xludf.DUMMYFUNCTION("""COMPUTED_VALUE""")," 100% Girado ")</f>
        <v xml:space="preserve"> 100% Girado </v>
      </c>
      <c r="F633" s="17">
        <f ca="1">IFERROR(__xludf.DUMMYFUNCTION("""COMPUTED_VALUE"""),45503)</f>
        <v>45503</v>
      </c>
      <c r="G633" s="16">
        <f ca="1">IFERROR(__xludf.DUMMYFUNCTION("""COMPUTED_VALUE"""),119104208)</f>
        <v>119104208</v>
      </c>
      <c r="H633" s="16" t="str">
        <f ca="1">IFERROR(__xludf.DUMMYFUNCTION("""COMPUTED_VALUE""")," 100% Girado ")</f>
        <v xml:space="preserve"> 100% Girado </v>
      </c>
      <c r="I633" s="16">
        <f ca="1">IFERROR(__xludf.DUMMYFUNCTION("""COMPUTED_VALUE"""),119104208)</f>
        <v>119104208</v>
      </c>
      <c r="J633" s="83" t="s">
        <v>48</v>
      </c>
      <c r="K633" s="16"/>
      <c r="L633" s="16"/>
      <c r="M633" s="16"/>
      <c r="N633" s="19"/>
      <c r="O633" s="19"/>
      <c r="P633" s="19"/>
      <c r="Q633" s="19"/>
      <c r="R633" s="21">
        <f ca="1">IFERROR(__xludf.DUMMYFUNCTION("""COMPUTED_VALUE"""),119104208)</f>
        <v>119104208</v>
      </c>
      <c r="S633" s="19"/>
      <c r="T633" s="19"/>
      <c r="U633" s="19"/>
      <c r="V633" s="19"/>
      <c r="W633" s="20">
        <f ca="1">IFERROR(__xludf.DUMMYFUNCTION("""COMPUTED_VALUE"""),119104208)</f>
        <v>119104208</v>
      </c>
      <c r="X633" s="20" t="str">
        <f ca="1">IFERROR(__xludf.DUMMYFUNCTION("""COMPUTED_VALUE""")," MUNICIPALIDAD DE PEDRO AGUIRRE CERDA ")</f>
        <v xml:space="preserve"> MUNICIPALIDAD DE PEDRO AGUIRRE CERDA </v>
      </c>
    </row>
    <row r="634" spans="1:24" ht="15.75" customHeight="1" x14ac:dyDescent="0.25">
      <c r="A634" s="16" t="str">
        <f ca="1">IFERROR(__xludf.DUMMYFUNCTION("""COMPUTED_VALUE""")," REGIÓN METROPOLITANA ")</f>
        <v xml:space="preserve"> REGIÓN METROPOLITANA </v>
      </c>
      <c r="B634" s="16" t="str">
        <f t="shared" ca="1" si="2"/>
        <v xml:space="preserve"> QUILICURA </v>
      </c>
      <c r="C634" s="16" t="str">
        <f ca="1">IFERROR(__xludf.DUMMYFUNCTION("""COMPUTED_VALUE""")," MEJORAMIENTO INTEGRAL AREA VERDE PLAZA LA FORESTA II, QUILICURA. ")</f>
        <v xml:space="preserve"> MEJORAMIENTO INTEGRAL AREA VERDE PLAZA LA FORESTA II, QUILICURA. </v>
      </c>
      <c r="D634" s="16" t="str">
        <f ca="1">IFERROR(__xludf.DUMMYFUNCTION("""COMPUTED_VALUE""")," 1-B-2024-93 ")</f>
        <v xml:space="preserve"> 1-B-2024-93 </v>
      </c>
      <c r="E634" s="16" t="str">
        <f ca="1">IFERROR(__xludf.DUMMYFUNCTION("""COMPUTED_VALUE""")," 100% Girado ")</f>
        <v xml:space="preserve"> 100% Girado </v>
      </c>
      <c r="F634" s="17">
        <f ca="1">IFERROR(__xludf.DUMMYFUNCTION("""COMPUTED_VALUE"""),45504)</f>
        <v>45504</v>
      </c>
      <c r="G634" s="16">
        <f ca="1">IFERROR(__xludf.DUMMYFUNCTION("""COMPUTED_VALUE"""),161491925)</f>
        <v>161491925</v>
      </c>
      <c r="H634" s="16" t="str">
        <f ca="1">IFERROR(__xludf.DUMMYFUNCTION("""COMPUTED_VALUE""")," 100% Girado ")</f>
        <v xml:space="preserve"> 100% Girado </v>
      </c>
      <c r="I634" s="16">
        <f ca="1">IFERROR(__xludf.DUMMYFUNCTION("""COMPUTED_VALUE"""),161491925)</f>
        <v>161491925</v>
      </c>
      <c r="J634" s="83" t="s">
        <v>48</v>
      </c>
      <c r="K634" s="16"/>
      <c r="L634" s="16"/>
      <c r="M634" s="16"/>
      <c r="N634" s="19"/>
      <c r="O634" s="19"/>
      <c r="P634" s="19"/>
      <c r="Q634" s="19"/>
      <c r="R634" s="21">
        <f ca="1">IFERROR(__xludf.DUMMYFUNCTION("""COMPUTED_VALUE"""),161491925)</f>
        <v>161491925</v>
      </c>
      <c r="S634" s="19"/>
      <c r="T634" s="19"/>
      <c r="U634" s="19"/>
      <c r="V634" s="19"/>
      <c r="W634" s="20">
        <f ca="1">IFERROR(__xludf.DUMMYFUNCTION("""COMPUTED_VALUE"""),161491925)</f>
        <v>161491925</v>
      </c>
      <c r="X634" s="20" t="str">
        <f ca="1">IFERROR(__xludf.DUMMYFUNCTION("""COMPUTED_VALUE""")," MUNICIPALIDAD DE QUILICURA ")</f>
        <v xml:space="preserve"> MUNICIPALIDAD DE QUILICURA </v>
      </c>
    </row>
    <row r="635" spans="1:24" ht="15.75" customHeight="1" x14ac:dyDescent="0.25">
      <c r="A635" s="16" t="str">
        <f ca="1">IFERROR(__xludf.DUMMYFUNCTION("""COMPUTED_VALUE""")," REGIÓN METROPOLITANA ")</f>
        <v xml:space="preserve"> REGIÓN METROPOLITANA </v>
      </c>
      <c r="B635" s="16" t="str">
        <f t="shared" ca="1" si="2"/>
        <v xml:space="preserve"> SANTIAGO </v>
      </c>
      <c r="C635" s="16" t="str">
        <f ca="1">IFERROR(__xludf.DUMMYFUNCTION("""COMPUTED_VALUE""")," REPARACIÓN CALZADA CALLE VIRGINIA OPAZO, COMUNA DE SANTIAGO ")</f>
        <v xml:space="preserve"> REPARACIÓN CALZADA CALLE VIRGINIA OPAZO, COMUNA DE SANTIAGO </v>
      </c>
      <c r="D635" s="16" t="str">
        <f ca="1">IFERROR(__xludf.DUMMYFUNCTION("""COMPUTED_VALUE""")," 1-B-2024-178 ")</f>
        <v xml:space="preserve"> 1-B-2024-178 </v>
      </c>
      <c r="E635" s="16" t="str">
        <f ca="1">IFERROR(__xludf.DUMMYFUNCTION("""COMPUTED_VALUE""")," 100% Girado ")</f>
        <v xml:space="preserve"> 100% Girado </v>
      </c>
      <c r="F635" s="17">
        <f ca="1">IFERROR(__xludf.DUMMYFUNCTION("""COMPUTED_VALUE"""),45512)</f>
        <v>45512</v>
      </c>
      <c r="G635" s="16">
        <f ca="1">IFERROR(__xludf.DUMMYFUNCTION("""COMPUTED_VALUE"""),161664999)</f>
        <v>161664999</v>
      </c>
      <c r="H635" s="16" t="str">
        <f ca="1">IFERROR(__xludf.DUMMYFUNCTION("""COMPUTED_VALUE""")," 100% Girado ")</f>
        <v xml:space="preserve"> 100% Girado </v>
      </c>
      <c r="I635" s="16">
        <f ca="1">IFERROR(__xludf.DUMMYFUNCTION("""COMPUTED_VALUE"""),161664999)</f>
        <v>161664999</v>
      </c>
      <c r="J635" s="83" t="s">
        <v>48</v>
      </c>
      <c r="K635" s="16"/>
      <c r="L635" s="16"/>
      <c r="M635" s="16"/>
      <c r="N635" s="19"/>
      <c r="O635" s="19"/>
      <c r="P635" s="19"/>
      <c r="Q635" s="19"/>
      <c r="R635" s="21">
        <f ca="1">IFERROR(__xludf.DUMMYFUNCTION("""COMPUTED_VALUE"""),161664999)</f>
        <v>161664999</v>
      </c>
      <c r="S635" s="19"/>
      <c r="T635" s="19"/>
      <c r="U635" s="19"/>
      <c r="V635" s="19"/>
      <c r="W635" s="20">
        <f ca="1">IFERROR(__xludf.DUMMYFUNCTION("""COMPUTED_VALUE"""),161664999)</f>
        <v>161664999</v>
      </c>
      <c r="X635" s="20" t="str">
        <f ca="1">IFERROR(__xludf.DUMMYFUNCTION("""COMPUTED_VALUE""")," MUNICIPALIDAD DE SANTIAGO ")</f>
        <v xml:space="preserve"> MUNICIPALIDAD DE SANTIAGO </v>
      </c>
    </row>
    <row r="636" spans="1:24" ht="15.75" customHeight="1" x14ac:dyDescent="0.25">
      <c r="A636" s="16" t="str">
        <f ca="1">IFERROR(__xludf.DUMMYFUNCTION("""COMPUTED_VALUE""")," REGIÓN METROPOLITANA ")</f>
        <v xml:space="preserve"> REGIÓN METROPOLITANA </v>
      </c>
      <c r="B636" s="16" t="str">
        <f t="shared" ca="1" si="2"/>
        <v xml:space="preserve"> LAMPA </v>
      </c>
      <c r="C636" s="16" t="str">
        <f ca="1">IFERROR(__xludf.DUMMYFUNCTION("""COMPUTED_VALUE""")," MEJORAMIENTO PLAZAS LARAPINTA ETAPA 4 ")</f>
        <v xml:space="preserve"> MEJORAMIENTO PLAZAS LARAPINTA ETAPA 4 </v>
      </c>
      <c r="D636" s="16" t="str">
        <f ca="1">IFERROR(__xludf.DUMMYFUNCTION("""COMPUTED_VALUE""")," 1-B-2024-184 ")</f>
        <v xml:space="preserve"> 1-B-2024-184 </v>
      </c>
      <c r="E636" s="16" t="str">
        <f ca="1">IFERROR(__xludf.DUMMYFUNCTION("""COMPUTED_VALUE""")," 100% Girado ")</f>
        <v xml:space="preserve"> 100% Girado </v>
      </c>
      <c r="F636" s="17">
        <f ca="1">IFERROR(__xludf.DUMMYFUNCTION("""COMPUTED_VALUE"""),45512)</f>
        <v>45512</v>
      </c>
      <c r="G636" s="16">
        <f ca="1">IFERROR(__xludf.DUMMYFUNCTION("""COMPUTED_VALUE"""),108237853)</f>
        <v>108237853</v>
      </c>
      <c r="H636" s="16" t="str">
        <f ca="1">IFERROR(__xludf.DUMMYFUNCTION("""COMPUTED_VALUE""")," 100% Girado ")</f>
        <v xml:space="preserve"> 100% Girado </v>
      </c>
      <c r="I636" s="16">
        <f ca="1">IFERROR(__xludf.DUMMYFUNCTION("""COMPUTED_VALUE"""),108237853)</f>
        <v>108237853</v>
      </c>
      <c r="J636" s="83" t="s">
        <v>48</v>
      </c>
      <c r="K636" s="16"/>
      <c r="L636" s="16"/>
      <c r="M636" s="16"/>
      <c r="N636" s="19"/>
      <c r="O636" s="19"/>
      <c r="P636" s="19"/>
      <c r="Q636" s="19"/>
      <c r="R636" s="21">
        <f ca="1">IFERROR(__xludf.DUMMYFUNCTION("""COMPUTED_VALUE"""),108237853)</f>
        <v>108237853</v>
      </c>
      <c r="S636" s="19"/>
      <c r="T636" s="19"/>
      <c r="U636" s="19"/>
      <c r="V636" s="19"/>
      <c r="W636" s="20">
        <f ca="1">IFERROR(__xludf.DUMMYFUNCTION("""COMPUTED_VALUE"""),108237853)</f>
        <v>108237853</v>
      </c>
      <c r="X636" s="20" t="str">
        <f ca="1">IFERROR(__xludf.DUMMYFUNCTION("""COMPUTED_VALUE""")," MUNICIPALIDAD DE LAMPA ")</f>
        <v xml:space="preserve"> MUNICIPALIDAD DE LAMPA </v>
      </c>
    </row>
    <row r="637" spans="1:24" ht="15.75" customHeight="1" x14ac:dyDescent="0.25">
      <c r="A637" s="16" t="str">
        <f ca="1">IFERROR(__xludf.DUMMYFUNCTION("""COMPUTED_VALUE""")," REGIÓN METROPOLITANA ")</f>
        <v xml:space="preserve"> REGIÓN METROPOLITANA </v>
      </c>
      <c r="B637" s="16" t="str">
        <f t="shared" ca="1" si="2"/>
        <v xml:space="preserve"> MACUL </v>
      </c>
      <c r="C637" s="16" t="str">
        <f ca="1">IFERROR(__xludf.DUMMYFUNCTION("""COMPUTED_VALUE""")," REPOSICIÓN ACERA NORTE CALLE 2 ")</f>
        <v xml:space="preserve"> REPOSICIÓN ACERA NORTE CALLE 2 </v>
      </c>
      <c r="D637" s="16" t="str">
        <f ca="1">IFERROR(__xludf.DUMMYFUNCTION("""COMPUTED_VALUE""")," 1-B-2024-213 ")</f>
        <v xml:space="preserve"> 1-B-2024-213 </v>
      </c>
      <c r="E637" s="16" t="str">
        <f ca="1">IFERROR(__xludf.DUMMYFUNCTION("""COMPUTED_VALUE""")," 100% Girado ")</f>
        <v xml:space="preserve"> 100% Girado </v>
      </c>
      <c r="F637" s="17">
        <f ca="1">IFERROR(__xludf.DUMMYFUNCTION("""COMPUTED_VALUE"""),45512)</f>
        <v>45512</v>
      </c>
      <c r="G637" s="16">
        <f ca="1">IFERROR(__xludf.DUMMYFUNCTION("""COMPUTED_VALUE"""),122421223)</f>
        <v>122421223</v>
      </c>
      <c r="H637" s="16" t="str">
        <f ca="1">IFERROR(__xludf.DUMMYFUNCTION("""COMPUTED_VALUE""")," 100% Girado ")</f>
        <v xml:space="preserve"> 100% Girado </v>
      </c>
      <c r="I637" s="16">
        <f ca="1">IFERROR(__xludf.DUMMYFUNCTION("""COMPUTED_VALUE"""),122421223)</f>
        <v>122421223</v>
      </c>
      <c r="J637" s="83" t="s">
        <v>48</v>
      </c>
      <c r="K637" s="16"/>
      <c r="L637" s="16"/>
      <c r="M637" s="16"/>
      <c r="N637" s="19"/>
      <c r="O637" s="19"/>
      <c r="P637" s="19"/>
      <c r="Q637" s="19"/>
      <c r="R637" s="21">
        <f ca="1">IFERROR(__xludf.DUMMYFUNCTION("""COMPUTED_VALUE"""),122421223)</f>
        <v>122421223</v>
      </c>
      <c r="S637" s="19"/>
      <c r="T637" s="19"/>
      <c r="U637" s="19"/>
      <c r="V637" s="19"/>
      <c r="W637" s="20">
        <f ca="1">IFERROR(__xludf.DUMMYFUNCTION("""COMPUTED_VALUE"""),122421223)</f>
        <v>122421223</v>
      </c>
      <c r="X637" s="20" t="str">
        <f ca="1">IFERROR(__xludf.DUMMYFUNCTION("""COMPUTED_VALUE""")," MUNICIPALIDAD DE MACUL ")</f>
        <v xml:space="preserve"> MUNICIPALIDAD DE MACUL </v>
      </c>
    </row>
    <row r="638" spans="1:24" ht="15.75" customHeight="1" x14ac:dyDescent="0.25">
      <c r="A638" s="16" t="str">
        <f ca="1">IFERROR(__xludf.DUMMYFUNCTION("""COMPUTED_VALUE""")," REGIÓN METROPOLITANA ")</f>
        <v xml:space="preserve"> REGIÓN METROPOLITANA </v>
      </c>
      <c r="B638" s="16" t="str">
        <f t="shared" ca="1" si="2"/>
        <v xml:space="preserve"> CONCHALÍ </v>
      </c>
      <c r="C638" s="16" t="str">
        <f ca="1">IFERROR(__xludf.DUMMYFUNCTION("""COMPUTED_VALUE""")," REPOSICIÓN DE CALZADAS PASAJE MARSELLA, COMUNA DE CONCHALÍ ")</f>
        <v xml:space="preserve"> REPOSICIÓN DE CALZADAS PASAJE MARSELLA, COMUNA DE CONCHALÍ </v>
      </c>
      <c r="D638" s="16" t="str">
        <f ca="1">IFERROR(__xludf.DUMMYFUNCTION("""COMPUTED_VALUE""")," 1-B-2024-219 ")</f>
        <v xml:space="preserve"> 1-B-2024-219 </v>
      </c>
      <c r="E638" s="16" t="str">
        <f ca="1">IFERROR(__xludf.DUMMYFUNCTION("""COMPUTED_VALUE""")," 100% Girado ")</f>
        <v xml:space="preserve"> 100% Girado </v>
      </c>
      <c r="F638" s="17">
        <f ca="1">IFERROR(__xludf.DUMMYFUNCTION("""COMPUTED_VALUE"""),45517)</f>
        <v>45517</v>
      </c>
      <c r="G638" s="16">
        <f ca="1">IFERROR(__xludf.DUMMYFUNCTION("""COMPUTED_VALUE"""),88342291)</f>
        <v>88342291</v>
      </c>
      <c r="H638" s="16" t="str">
        <f ca="1">IFERROR(__xludf.DUMMYFUNCTION("""COMPUTED_VALUE""")," 100% Girado ")</f>
        <v xml:space="preserve"> 100% Girado </v>
      </c>
      <c r="I638" s="16">
        <f ca="1">IFERROR(__xludf.DUMMYFUNCTION("""COMPUTED_VALUE"""),88342291)</f>
        <v>88342291</v>
      </c>
      <c r="J638" s="83" t="s">
        <v>48</v>
      </c>
      <c r="K638" s="16"/>
      <c r="L638" s="16"/>
      <c r="M638" s="16"/>
      <c r="N638" s="19"/>
      <c r="O638" s="19"/>
      <c r="P638" s="19"/>
      <c r="Q638" s="19"/>
      <c r="R638" s="21">
        <f ca="1">IFERROR(__xludf.DUMMYFUNCTION("""COMPUTED_VALUE"""),88342291)</f>
        <v>88342291</v>
      </c>
      <c r="S638" s="19"/>
      <c r="T638" s="19"/>
      <c r="U638" s="19"/>
      <c r="V638" s="19"/>
      <c r="W638" s="20">
        <f ca="1">IFERROR(__xludf.DUMMYFUNCTION("""COMPUTED_VALUE"""),88342291)</f>
        <v>88342291</v>
      </c>
      <c r="X638" s="20" t="str">
        <f ca="1">IFERROR(__xludf.DUMMYFUNCTION("""COMPUTED_VALUE""")," MUNICIPALIDAD DE CONCHALÍ ")</f>
        <v xml:space="preserve"> MUNICIPALIDAD DE CONCHALÍ </v>
      </c>
    </row>
    <row r="639" spans="1:24" ht="15.75" customHeight="1" x14ac:dyDescent="0.25">
      <c r="A639" s="16" t="str">
        <f ca="1">IFERROR(__xludf.DUMMYFUNCTION("""COMPUTED_VALUE""")," REGIÓN METROPOLITANA ")</f>
        <v xml:space="preserve"> REGIÓN METROPOLITANA </v>
      </c>
      <c r="B639" s="16" t="str">
        <f t="shared" ca="1" si="2"/>
        <v xml:space="preserve"> CONCHALÍ </v>
      </c>
      <c r="C639" s="16" t="str">
        <f ca="1">IFERROR(__xludf.DUMMYFUNCTION("""COMPUTED_VALUE""")," REPOSICIÓN DE CALZADAS EN PASAJES TANGER Y REUMEN, COMUNA DE CONCHALÍ ")</f>
        <v xml:space="preserve"> REPOSICIÓN DE CALZADAS EN PASAJES TANGER Y REUMEN, COMUNA DE CONCHALÍ </v>
      </c>
      <c r="D639" s="16" t="str">
        <f ca="1">IFERROR(__xludf.DUMMYFUNCTION("""COMPUTED_VALUE""")," 1-B-2024-221 ")</f>
        <v xml:space="preserve"> 1-B-2024-221 </v>
      </c>
      <c r="E639" s="16" t="str">
        <f ca="1">IFERROR(__xludf.DUMMYFUNCTION("""COMPUTED_VALUE""")," 100% Girado ")</f>
        <v xml:space="preserve"> 100% Girado </v>
      </c>
      <c r="F639" s="17">
        <f ca="1">IFERROR(__xludf.DUMMYFUNCTION("""COMPUTED_VALUE"""),45517)</f>
        <v>45517</v>
      </c>
      <c r="G639" s="16">
        <f ca="1">IFERROR(__xludf.DUMMYFUNCTION("""COMPUTED_VALUE"""),121771974)</f>
        <v>121771974</v>
      </c>
      <c r="H639" s="16" t="str">
        <f ca="1">IFERROR(__xludf.DUMMYFUNCTION("""COMPUTED_VALUE""")," 100% Girado ")</f>
        <v xml:space="preserve"> 100% Girado </v>
      </c>
      <c r="I639" s="16">
        <f ca="1">IFERROR(__xludf.DUMMYFUNCTION("""COMPUTED_VALUE"""),121771974)</f>
        <v>121771974</v>
      </c>
      <c r="J639" s="83" t="s">
        <v>48</v>
      </c>
      <c r="K639" s="16"/>
      <c r="L639" s="16"/>
      <c r="M639" s="16"/>
      <c r="N639" s="19"/>
      <c r="O639" s="19"/>
      <c r="P639" s="19"/>
      <c r="Q639" s="19"/>
      <c r="R639" s="21">
        <f ca="1">IFERROR(__xludf.DUMMYFUNCTION("""COMPUTED_VALUE"""),121771974)</f>
        <v>121771974</v>
      </c>
      <c r="S639" s="19"/>
      <c r="T639" s="19"/>
      <c r="U639" s="19"/>
      <c r="V639" s="19"/>
      <c r="W639" s="20">
        <f ca="1">IFERROR(__xludf.DUMMYFUNCTION("""COMPUTED_VALUE"""),121771974)</f>
        <v>121771974</v>
      </c>
      <c r="X639" s="20" t="str">
        <f ca="1">IFERROR(__xludf.DUMMYFUNCTION("""COMPUTED_VALUE""")," MUNICIPALIDAD DE CONCHALÍ ")</f>
        <v xml:space="preserve"> MUNICIPALIDAD DE CONCHALÍ </v>
      </c>
    </row>
    <row r="640" spans="1:24" ht="15.75" customHeight="1" x14ac:dyDescent="0.25">
      <c r="A640" s="16" t="str">
        <f ca="1">IFERROR(__xludf.DUMMYFUNCTION("""COMPUTED_VALUE""")," REGIÓN METROPOLITANA ")</f>
        <v xml:space="preserve"> REGIÓN METROPOLITANA </v>
      </c>
      <c r="B640" s="16" t="str">
        <f t="shared" ca="1" si="2"/>
        <v xml:space="preserve"> CONCHALÍ </v>
      </c>
      <c r="C640" s="16" t="str">
        <f ca="1">IFERROR(__xludf.DUMMYFUNCTION("""COMPUTED_VALUE""")," REPOSICIÓN DE CALZADAS Y VEREDAS UNIDAD VECINAL 25, COMUNA DE CONCHALÍ ")</f>
        <v xml:space="preserve"> REPOSICIÓN DE CALZADAS Y VEREDAS UNIDAD VECINAL 25, COMUNA DE CONCHALÍ </v>
      </c>
      <c r="D640" s="16" t="str">
        <f ca="1">IFERROR(__xludf.DUMMYFUNCTION("""COMPUTED_VALUE""")," 1-B-2024-222 ")</f>
        <v xml:space="preserve"> 1-B-2024-222 </v>
      </c>
      <c r="E640" s="16" t="str">
        <f ca="1">IFERROR(__xludf.DUMMYFUNCTION("""COMPUTED_VALUE""")," 100% Girado ")</f>
        <v xml:space="preserve"> 100% Girado </v>
      </c>
      <c r="F640" s="17">
        <f ca="1">IFERROR(__xludf.DUMMYFUNCTION("""COMPUTED_VALUE"""),45517)</f>
        <v>45517</v>
      </c>
      <c r="G640" s="16">
        <f ca="1">IFERROR(__xludf.DUMMYFUNCTION("""COMPUTED_VALUE"""),125783557)</f>
        <v>125783557</v>
      </c>
      <c r="H640" s="16" t="str">
        <f ca="1">IFERROR(__xludf.DUMMYFUNCTION("""COMPUTED_VALUE""")," 100% Girado ")</f>
        <v xml:space="preserve"> 100% Girado </v>
      </c>
      <c r="I640" s="16">
        <f ca="1">IFERROR(__xludf.DUMMYFUNCTION("""COMPUTED_VALUE"""),125783557)</f>
        <v>125783557</v>
      </c>
      <c r="J640" s="83" t="s">
        <v>48</v>
      </c>
      <c r="K640" s="16"/>
      <c r="L640" s="16"/>
      <c r="M640" s="16"/>
      <c r="N640" s="19"/>
      <c r="O640" s="19"/>
      <c r="P640" s="19"/>
      <c r="Q640" s="19"/>
      <c r="R640" s="21">
        <f ca="1">IFERROR(__xludf.DUMMYFUNCTION("""COMPUTED_VALUE"""),125783557)</f>
        <v>125783557</v>
      </c>
      <c r="S640" s="19"/>
      <c r="T640" s="19"/>
      <c r="U640" s="19"/>
      <c r="V640" s="19"/>
      <c r="W640" s="20">
        <f ca="1">IFERROR(__xludf.DUMMYFUNCTION("""COMPUTED_VALUE"""),125783557)</f>
        <v>125783557</v>
      </c>
      <c r="X640" s="20" t="str">
        <f ca="1">IFERROR(__xludf.DUMMYFUNCTION("""COMPUTED_VALUE""")," MUNICIPALIDAD DE CONCHALÍ ")</f>
        <v xml:space="preserve"> MUNICIPALIDAD DE CONCHALÍ </v>
      </c>
    </row>
    <row r="641" spans="1:24" ht="15.75" customHeight="1" x14ac:dyDescent="0.25">
      <c r="A641" s="16" t="str">
        <f ca="1">IFERROR(__xludf.DUMMYFUNCTION("""COMPUTED_VALUE""")," REGIÓN METROPOLITANA ")</f>
        <v xml:space="preserve"> REGIÓN METROPOLITANA </v>
      </c>
      <c r="B641" s="16" t="str">
        <f t="shared" ca="1" si="2"/>
        <v xml:space="preserve"> PEDRO AGUIRRE CERDA </v>
      </c>
      <c r="C641" s="16" t="str">
        <f ca="1">IFERROR(__xludf.DUMMYFUNCTION("""COMPUTED_VALUE""")," MEJORAMIENTO PLAZAS QUIAPO Y SUBERCASEAUX, COMUNA PEDRO AGUIRRE CERDA ")</f>
        <v xml:space="preserve"> MEJORAMIENTO PLAZAS QUIAPO Y SUBERCASEAUX, COMUNA PEDRO AGUIRRE CERDA </v>
      </c>
      <c r="D641" s="16" t="str">
        <f ca="1">IFERROR(__xludf.DUMMYFUNCTION("""COMPUTED_VALUE""")," 1-B-2024-250 ")</f>
        <v xml:space="preserve"> 1-B-2024-250 </v>
      </c>
      <c r="E641" s="16" t="str">
        <f ca="1">IFERROR(__xludf.DUMMYFUNCTION("""COMPUTED_VALUE""")," 100% Girado ")</f>
        <v xml:space="preserve"> 100% Girado </v>
      </c>
      <c r="F641" s="17">
        <f ca="1">IFERROR(__xludf.DUMMYFUNCTION("""COMPUTED_VALUE"""),45517)</f>
        <v>45517</v>
      </c>
      <c r="G641" s="16">
        <f ca="1">IFERROR(__xludf.DUMMYFUNCTION("""COMPUTED_VALUE"""),161383937)</f>
        <v>161383937</v>
      </c>
      <c r="H641" s="16" t="str">
        <f ca="1">IFERROR(__xludf.DUMMYFUNCTION("""COMPUTED_VALUE""")," 100% Girado ")</f>
        <v xml:space="preserve"> 100% Girado </v>
      </c>
      <c r="I641" s="16">
        <f ca="1">IFERROR(__xludf.DUMMYFUNCTION("""COMPUTED_VALUE"""),161383937)</f>
        <v>161383937</v>
      </c>
      <c r="J641" s="83" t="s">
        <v>48</v>
      </c>
      <c r="K641" s="16"/>
      <c r="L641" s="16"/>
      <c r="M641" s="16"/>
      <c r="N641" s="19"/>
      <c r="O641" s="19"/>
      <c r="P641" s="19"/>
      <c r="Q641" s="19"/>
      <c r="R641" s="21">
        <f ca="1">IFERROR(__xludf.DUMMYFUNCTION("""COMPUTED_VALUE"""),161383937)</f>
        <v>161383937</v>
      </c>
      <c r="S641" s="19"/>
      <c r="T641" s="19"/>
      <c r="U641" s="19"/>
      <c r="V641" s="19"/>
      <c r="W641" s="20">
        <f ca="1">IFERROR(__xludf.DUMMYFUNCTION("""COMPUTED_VALUE"""),161383937)</f>
        <v>161383937</v>
      </c>
      <c r="X641" s="20" t="str">
        <f ca="1">IFERROR(__xludf.DUMMYFUNCTION("""COMPUTED_VALUE""")," MUNICIPALIDAD DE PEDRO AGUIRRE CERDA ")</f>
        <v xml:space="preserve"> MUNICIPALIDAD DE PEDRO AGUIRRE CERDA </v>
      </c>
    </row>
    <row r="642" spans="1:24" ht="15.75" customHeight="1" x14ac:dyDescent="0.25">
      <c r="A642" s="16" t="str">
        <f ca="1">IFERROR(__xludf.DUMMYFUNCTION("""COMPUTED_VALUE""")," REGIÓN METROPOLITANA ")</f>
        <v xml:space="preserve"> REGIÓN METROPOLITANA </v>
      </c>
      <c r="B642" s="16" t="str">
        <f t="shared" ca="1" si="2"/>
        <v xml:space="preserve"> ESTACIÓN CENTRAL </v>
      </c>
      <c r="C642" s="16" t="str">
        <f ca="1">IFERROR(__xludf.DUMMYFUNCTION("""COMPUTED_VALUE""")," MEJORAMIENTO DE PLAZA MANUEL DE AMAT, COMUNA ESTACION CENTRAL ")</f>
        <v xml:space="preserve"> MEJORAMIENTO DE PLAZA MANUEL DE AMAT, COMUNA ESTACION CENTRAL </v>
      </c>
      <c r="D642" s="16" t="str">
        <f ca="1">IFERROR(__xludf.DUMMYFUNCTION("""COMPUTED_VALUE""")," 1-C-2024-1164 ")</f>
        <v xml:space="preserve"> 1-C-2024-1164 </v>
      </c>
      <c r="E642" s="16" t="str">
        <f ca="1">IFERROR(__xludf.DUMMYFUNCTION("""COMPUTED_VALUE""")," 100% Girado ")</f>
        <v xml:space="preserve"> 100% Girado </v>
      </c>
      <c r="F642" s="17">
        <f ca="1">IFERROR(__xludf.DUMMYFUNCTION("""COMPUTED_VALUE"""),45512)</f>
        <v>45512</v>
      </c>
      <c r="G642" s="16">
        <f ca="1">IFERROR(__xludf.DUMMYFUNCTION("""COMPUTED_VALUE"""),92686008)</f>
        <v>92686008</v>
      </c>
      <c r="H642" s="16" t="str">
        <f ca="1">IFERROR(__xludf.DUMMYFUNCTION("""COMPUTED_VALUE""")," 100% Girado ")</f>
        <v xml:space="preserve"> 100% Girado </v>
      </c>
      <c r="I642" s="16">
        <f ca="1">IFERROR(__xludf.DUMMYFUNCTION("""COMPUTED_VALUE"""),92686008)</f>
        <v>92686008</v>
      </c>
      <c r="J642" s="83" t="s">
        <v>48</v>
      </c>
      <c r="K642" s="16"/>
      <c r="L642" s="16"/>
      <c r="M642" s="16"/>
      <c r="N642" s="19"/>
      <c r="O642" s="19"/>
      <c r="P642" s="19"/>
      <c r="Q642" s="19"/>
      <c r="R642" s="21">
        <f ca="1">IFERROR(__xludf.DUMMYFUNCTION("""COMPUTED_VALUE"""),92686008)</f>
        <v>92686008</v>
      </c>
      <c r="S642" s="19"/>
      <c r="T642" s="19"/>
      <c r="U642" s="19"/>
      <c r="V642" s="19"/>
      <c r="W642" s="20">
        <f ca="1">IFERROR(__xludf.DUMMYFUNCTION("""COMPUTED_VALUE"""),92686008)</f>
        <v>92686008</v>
      </c>
      <c r="X642" s="20" t="str">
        <f ca="1">IFERROR(__xludf.DUMMYFUNCTION("""COMPUTED_VALUE""")," MUNICIPALIDAD DE ESTACIÓN CENTRAL ")</f>
        <v xml:space="preserve"> MUNICIPALIDAD DE ESTACIÓN CENTRAL </v>
      </c>
    </row>
    <row r="643" spans="1:24" ht="15.75" customHeight="1" x14ac:dyDescent="0.25">
      <c r="A643" s="16" t="str">
        <f ca="1">IFERROR(__xludf.DUMMYFUNCTION("""COMPUTED_VALUE""")," REGIÓN DE LOS RÍOS ")</f>
        <v xml:space="preserve"> REGIÓN DE LOS RÍOS </v>
      </c>
      <c r="B643" s="16" t="str">
        <f t="shared" ca="1" si="2"/>
        <v xml:space="preserve"> PANGUIPULLI </v>
      </c>
      <c r="C643" s="16" t="str">
        <f ca="1">IFERROR(__xludf.DUMMYFUNCTION("""COMPUTED_VALUE""")," CONSTRUCCIÓN SEÑALÉTICAS DE EVACUACIÓN Y PUNTOS DE ENCUENTRO SEGURO VN. VILLARRICA, COMUNA DE PANGUIPULLI ")</f>
        <v xml:space="preserve"> CONSTRUCCIÓN SEÑALÉTICAS DE EVACUACIÓN Y PUNTOS DE ENCUENTRO SEGURO VN. VILLARRICA, COMUNA DE PANGUIPULLI </v>
      </c>
      <c r="D643" s="16" t="str">
        <f ca="1">IFERROR(__xludf.DUMMYFUNCTION("""COMPUTED_VALUE""")," 1-C-2022-2698 ")</f>
        <v xml:space="preserve"> 1-C-2022-2698 </v>
      </c>
      <c r="E643" s="16" t="str">
        <f ca="1">IFERROR(__xludf.DUMMYFUNCTION("""COMPUTED_VALUE""")," 100% Girado ")</f>
        <v xml:space="preserve"> 100% Girado </v>
      </c>
      <c r="F643" s="17">
        <f ca="1">IFERROR(__xludf.DUMMYFUNCTION("""COMPUTED_VALUE"""),45512)</f>
        <v>45512</v>
      </c>
      <c r="G643" s="16">
        <f ca="1">IFERROR(__xludf.DUMMYFUNCTION("""COMPUTED_VALUE"""),19700000)</f>
        <v>19700000</v>
      </c>
      <c r="H643" s="16" t="str">
        <f ca="1">IFERROR(__xludf.DUMMYFUNCTION("""COMPUTED_VALUE""")," 100% Girado ")</f>
        <v xml:space="preserve"> 100% Girado </v>
      </c>
      <c r="I643" s="16">
        <f ca="1">IFERROR(__xludf.DUMMYFUNCTION("""COMPUTED_VALUE"""),19700000)</f>
        <v>19700000</v>
      </c>
      <c r="J643" s="83" t="s">
        <v>48</v>
      </c>
      <c r="K643" s="16"/>
      <c r="L643" s="16"/>
      <c r="M643" s="16"/>
      <c r="N643" s="19"/>
      <c r="O643" s="19"/>
      <c r="P643" s="19"/>
      <c r="Q643" s="19"/>
      <c r="R643" s="21">
        <f ca="1">IFERROR(__xludf.DUMMYFUNCTION("""COMPUTED_VALUE"""),19700000)</f>
        <v>19700000</v>
      </c>
      <c r="S643" s="19"/>
      <c r="T643" s="19"/>
      <c r="U643" s="19"/>
      <c r="V643" s="19"/>
      <c r="W643" s="20">
        <f ca="1">IFERROR(__xludf.DUMMYFUNCTION("""COMPUTED_VALUE"""),19700000)</f>
        <v>19700000</v>
      </c>
      <c r="X643" s="20" t="str">
        <f ca="1">IFERROR(__xludf.DUMMYFUNCTION("""COMPUTED_VALUE""")," MUNICIPALIDAD DE PANGUIPULLI ")</f>
        <v xml:space="preserve"> MUNICIPALIDAD DE PANGUIPULLI </v>
      </c>
    </row>
    <row r="644" spans="1:24" ht="15.75" customHeight="1" x14ac:dyDescent="0.25">
      <c r="A644" s="16" t="str">
        <f ca="1">IFERROR(__xludf.DUMMYFUNCTION("""COMPUTED_VALUE""")," REGIÓN DE LOS RÍOS ")</f>
        <v xml:space="preserve"> REGIÓN DE LOS RÍOS </v>
      </c>
      <c r="B644" s="16" t="str">
        <f t="shared" ca="1" si="2"/>
        <v xml:space="preserve"> LANCO </v>
      </c>
      <c r="C644" s="16" t="str">
        <f ca="1">IFERROR(__xludf.DUMMYFUNCTION("""COMPUTED_VALUE""")," CONSTRUCCIÓN PLAZA VILLA LEUFUCADE ")</f>
        <v xml:space="preserve"> CONSTRUCCIÓN PLAZA VILLA LEUFUCADE </v>
      </c>
      <c r="D644" s="16" t="str">
        <f ca="1">IFERROR(__xludf.DUMMYFUNCTION("""COMPUTED_VALUE""")," 1-C-2023-1511 ")</f>
        <v xml:space="preserve"> 1-C-2023-1511 </v>
      </c>
      <c r="E644" s="16" t="str">
        <f ca="1">IFERROR(__xludf.DUMMYFUNCTION("""COMPUTED_VALUE""")," 100% Girado ")</f>
        <v xml:space="preserve"> 100% Girado </v>
      </c>
      <c r="F644" s="17">
        <f ca="1">IFERROR(__xludf.DUMMYFUNCTION("""COMPUTED_VALUE"""),45525)</f>
        <v>45525</v>
      </c>
      <c r="G644" s="16">
        <f ca="1">IFERROR(__xludf.DUMMYFUNCTION("""COMPUTED_VALUE"""),116683323)</f>
        <v>116683323</v>
      </c>
      <c r="H644" s="16" t="str">
        <f ca="1">IFERROR(__xludf.DUMMYFUNCTION("""COMPUTED_VALUE""")," 100% Girado ")</f>
        <v xml:space="preserve"> 100% Girado </v>
      </c>
      <c r="I644" s="16">
        <f ca="1">IFERROR(__xludf.DUMMYFUNCTION("""COMPUTED_VALUE"""),116683323)</f>
        <v>116683323</v>
      </c>
      <c r="J644" s="83" t="s">
        <v>48</v>
      </c>
      <c r="K644" s="16"/>
      <c r="L644" s="16"/>
      <c r="M644" s="16"/>
      <c r="N644" s="19"/>
      <c r="O644" s="19"/>
      <c r="P644" s="19"/>
      <c r="Q644" s="19"/>
      <c r="R644" s="21">
        <f ca="1">IFERROR(__xludf.DUMMYFUNCTION("""COMPUTED_VALUE"""),116683323)</f>
        <v>116683323</v>
      </c>
      <c r="S644" s="19"/>
      <c r="T644" s="19"/>
      <c r="U644" s="19"/>
      <c r="V644" s="19"/>
      <c r="W644" s="20">
        <f ca="1">IFERROR(__xludf.DUMMYFUNCTION("""COMPUTED_VALUE"""),116683323)</f>
        <v>116683323</v>
      </c>
      <c r="X644" s="20" t="str">
        <f ca="1">IFERROR(__xludf.DUMMYFUNCTION("""COMPUTED_VALUE""")," MUNICIPALIDAD DE LANCO ")</f>
        <v xml:space="preserve"> MUNICIPALIDAD DE LANCO </v>
      </c>
    </row>
    <row r="645" spans="1:24" ht="15.75" customHeight="1" x14ac:dyDescent="0.25">
      <c r="A645" s="16" t="str">
        <f ca="1">IFERROR(__xludf.DUMMYFUNCTION("""COMPUTED_VALUE""")," REGIÓN DE LOS RÍOS ")</f>
        <v xml:space="preserve"> REGIÓN DE LOS RÍOS </v>
      </c>
      <c r="B645" s="16" t="str">
        <f t="shared" ca="1" si="2"/>
        <v xml:space="preserve"> LANCO </v>
      </c>
      <c r="C645" s="16" t="str">
        <f ca="1">IFERROR(__xludf.DUMMYFUNCTION("""COMPUTED_VALUE""")," [SATE] MEJORAMIENTO BIBLIOTECA MUNICIPAL LANCO ")</f>
        <v xml:space="preserve"> [SATE] MEJORAMIENTO BIBLIOTECA MUNICIPAL LANCO </v>
      </c>
      <c r="D645" s="16" t="str">
        <f ca="1">IFERROR(__xludf.DUMMYFUNCTION("""COMPUTED_VALUE""")," 1-C-2023-1657 ")</f>
        <v xml:space="preserve"> 1-C-2023-1657 </v>
      </c>
      <c r="E645" s="16" t="str">
        <f ca="1">IFERROR(__xludf.DUMMYFUNCTION("""COMPUTED_VALUE""")," 100% Girado ")</f>
        <v xml:space="preserve"> 100% Girado </v>
      </c>
      <c r="F645" s="17">
        <f ca="1">IFERROR(__xludf.DUMMYFUNCTION("""COMPUTED_VALUE"""),45525)</f>
        <v>45525</v>
      </c>
      <c r="G645" s="16">
        <f ca="1">IFERROR(__xludf.DUMMYFUNCTION("""COMPUTED_VALUE"""),66605323)</f>
        <v>66605323</v>
      </c>
      <c r="H645" s="16" t="str">
        <f ca="1">IFERROR(__xludf.DUMMYFUNCTION("""COMPUTED_VALUE""")," 100% Girado ")</f>
        <v xml:space="preserve"> 100% Girado </v>
      </c>
      <c r="I645" s="16">
        <f ca="1">IFERROR(__xludf.DUMMYFUNCTION("""COMPUTED_VALUE"""),66605323)</f>
        <v>66605323</v>
      </c>
      <c r="J645" s="83" t="s">
        <v>48</v>
      </c>
      <c r="K645" s="16"/>
      <c r="L645" s="16"/>
      <c r="M645" s="16"/>
      <c r="N645" s="19"/>
      <c r="O645" s="19"/>
      <c r="P645" s="19"/>
      <c r="Q645" s="19"/>
      <c r="R645" s="21">
        <f ca="1">IFERROR(__xludf.DUMMYFUNCTION("""COMPUTED_VALUE"""),66605323)</f>
        <v>66605323</v>
      </c>
      <c r="S645" s="19"/>
      <c r="T645" s="19"/>
      <c r="U645" s="19"/>
      <c r="V645" s="19"/>
      <c r="W645" s="20">
        <f ca="1">IFERROR(__xludf.DUMMYFUNCTION("""COMPUTED_VALUE"""),66605323)</f>
        <v>66605323</v>
      </c>
      <c r="X645" s="20" t="str">
        <f ca="1">IFERROR(__xludf.DUMMYFUNCTION("""COMPUTED_VALUE""")," MUNICIPALIDAD DE LANCO ")</f>
        <v xml:space="preserve"> MUNICIPALIDAD DE LANCO </v>
      </c>
    </row>
    <row r="646" spans="1:24" ht="15.75" customHeight="1" x14ac:dyDescent="0.25">
      <c r="A646" s="16" t="str">
        <f ca="1">IFERROR(__xludf.DUMMYFUNCTION("""COMPUTED_VALUE""")," REGIÓN DE LOS RÍOS ")</f>
        <v xml:space="preserve"> REGIÓN DE LOS RÍOS </v>
      </c>
      <c r="B646" s="16" t="str">
        <f t="shared" ca="1" si="2"/>
        <v xml:space="preserve"> RÍO BUENO </v>
      </c>
      <c r="C646" s="16" t="str">
        <f ca="1">IFERROR(__xludf.DUMMYFUNCTION("""COMPUTED_VALUE""")," [SATE] HABILITACIÓN ÁREA VERDE FLORIDA 2, COMUNA DE RÍO BUENO ")</f>
        <v xml:space="preserve"> [SATE] HABILITACIÓN ÁREA VERDE FLORIDA 2, COMUNA DE RÍO BUENO </v>
      </c>
      <c r="D646" s="16" t="str">
        <f ca="1">IFERROR(__xludf.DUMMYFUNCTION("""COMPUTED_VALUE""")," 1-C-2023-1795 ")</f>
        <v xml:space="preserve"> 1-C-2023-1795 </v>
      </c>
      <c r="E646" s="16" t="str">
        <f ca="1">IFERROR(__xludf.DUMMYFUNCTION("""COMPUTED_VALUE""")," 100% Girado ")</f>
        <v xml:space="preserve"> 100% Girado </v>
      </c>
      <c r="F646" s="17">
        <f ca="1">IFERROR(__xludf.DUMMYFUNCTION("""COMPUTED_VALUE"""),45533)</f>
        <v>45533</v>
      </c>
      <c r="G646" s="16">
        <f ca="1">IFERROR(__xludf.DUMMYFUNCTION("""COMPUTED_VALUE"""),153587209)</f>
        <v>153587209</v>
      </c>
      <c r="H646" s="16" t="str">
        <f ca="1">IFERROR(__xludf.DUMMYFUNCTION("""COMPUTED_VALUE""")," 100% Girado ")</f>
        <v xml:space="preserve"> 100% Girado </v>
      </c>
      <c r="I646" s="16">
        <f ca="1">IFERROR(__xludf.DUMMYFUNCTION("""COMPUTED_VALUE"""),153587209)</f>
        <v>153587209</v>
      </c>
      <c r="J646" s="83" t="s">
        <v>48</v>
      </c>
      <c r="K646" s="16"/>
      <c r="L646" s="16"/>
      <c r="M646" s="16"/>
      <c r="N646" s="19"/>
      <c r="O646" s="19"/>
      <c r="P646" s="19"/>
      <c r="Q646" s="19"/>
      <c r="R646" s="21">
        <f ca="1">IFERROR(__xludf.DUMMYFUNCTION("""COMPUTED_VALUE"""),153587209)</f>
        <v>153587209</v>
      </c>
      <c r="S646" s="19"/>
      <c r="T646" s="19"/>
      <c r="U646" s="19"/>
      <c r="V646" s="19"/>
      <c r="W646" s="20">
        <f ca="1">IFERROR(__xludf.DUMMYFUNCTION("""COMPUTED_VALUE"""),153587209)</f>
        <v>153587209</v>
      </c>
      <c r="X646" s="20" t="str">
        <f ca="1">IFERROR(__xludf.DUMMYFUNCTION("""COMPUTED_VALUE""")," MUNICIPALIDAD DE RÍO BUENO ")</f>
        <v xml:space="preserve"> MUNICIPALIDAD DE RÍO BUENO </v>
      </c>
    </row>
    <row r="647" spans="1:24" ht="15.75" customHeight="1" x14ac:dyDescent="0.25">
      <c r="A647" s="16" t="str">
        <f ca="1">IFERROR(__xludf.DUMMYFUNCTION("""COMPUTED_VALUE""")," REGIÓN DE LOS RÍOS ")</f>
        <v xml:space="preserve"> REGIÓN DE LOS RÍOS </v>
      </c>
      <c r="B647" s="16" t="str">
        <f t="shared" ca="1" si="2"/>
        <v xml:space="preserve"> LOS LAGOS </v>
      </c>
      <c r="C647" s="16" t="str">
        <f ca="1">IFERROR(__xludf.DUMMYFUNCTION("""COMPUTED_VALUE""")," MEJORAMIENTO REVESTIMIENTOS EXTERIORES EDIFICIO CONSISTORIAL, COMUNA DE LOS LAGOS ")</f>
        <v xml:space="preserve"> MEJORAMIENTO REVESTIMIENTOS EXTERIORES EDIFICIO CONSISTORIAL, COMUNA DE LOS LAGOS </v>
      </c>
      <c r="D647" s="16" t="str">
        <f ca="1">IFERROR(__xludf.DUMMYFUNCTION("""COMPUTED_VALUE""")," 1-C-2023-2225 ")</f>
        <v xml:space="preserve"> 1-C-2023-2225 </v>
      </c>
      <c r="E647" s="16" t="str">
        <f ca="1">IFERROR(__xludf.DUMMYFUNCTION("""COMPUTED_VALUE""")," 100% Girado ")</f>
        <v xml:space="preserve"> 100% Girado </v>
      </c>
      <c r="F647" s="17">
        <f ca="1">IFERROR(__xludf.DUMMYFUNCTION("""COMPUTED_VALUE"""),45525)</f>
        <v>45525</v>
      </c>
      <c r="G647" s="16">
        <f ca="1">IFERROR(__xludf.DUMMYFUNCTION("""COMPUTED_VALUE"""),149458745)</f>
        <v>149458745</v>
      </c>
      <c r="H647" s="16" t="str">
        <f ca="1">IFERROR(__xludf.DUMMYFUNCTION("""COMPUTED_VALUE""")," 100% Girado ")</f>
        <v xml:space="preserve"> 100% Girado </v>
      </c>
      <c r="I647" s="16">
        <f ca="1">IFERROR(__xludf.DUMMYFUNCTION("""COMPUTED_VALUE"""),149458745)</f>
        <v>149458745</v>
      </c>
      <c r="J647" s="83" t="s">
        <v>48</v>
      </c>
      <c r="K647" s="16"/>
      <c r="L647" s="16"/>
      <c r="M647" s="16"/>
      <c r="N647" s="19"/>
      <c r="O647" s="19"/>
      <c r="P647" s="19"/>
      <c r="Q647" s="19"/>
      <c r="R647" s="21">
        <f ca="1">IFERROR(__xludf.DUMMYFUNCTION("""COMPUTED_VALUE"""),149458745)</f>
        <v>149458745</v>
      </c>
      <c r="S647" s="19"/>
      <c r="T647" s="19"/>
      <c r="U647" s="19"/>
      <c r="V647" s="19"/>
      <c r="W647" s="20">
        <f ca="1">IFERROR(__xludf.DUMMYFUNCTION("""COMPUTED_VALUE"""),149458745)</f>
        <v>149458745</v>
      </c>
      <c r="X647" s="20" t="str">
        <f ca="1">IFERROR(__xludf.DUMMYFUNCTION("""COMPUTED_VALUE""")," MUNICIPALIDAD DE LOS LAGOS ")</f>
        <v xml:space="preserve"> MUNICIPALIDAD DE LOS LAGOS </v>
      </c>
    </row>
    <row r="648" spans="1:24" ht="15.75" customHeight="1" x14ac:dyDescent="0.25">
      <c r="A648" s="16" t="str">
        <f ca="1">IFERROR(__xludf.DUMMYFUNCTION("""COMPUTED_VALUE""")," REGIÓN DE LOS RÍOS ")</f>
        <v xml:space="preserve"> REGIÓN DE LOS RÍOS </v>
      </c>
      <c r="B648" s="16" t="str">
        <f t="shared" ca="1" si="2"/>
        <v xml:space="preserve"> CORRAL </v>
      </c>
      <c r="C648" s="16" t="str">
        <f ca="1">IFERROR(__xludf.DUMMYFUNCTION("""COMPUTED_VALUE""")," MEJORAMIENTO Y AMPLIACIÓN CENTRO DE PROMOCIÓN DE SALUD, SECTOR AMARGOS, CORRAL ")</f>
        <v xml:space="preserve"> MEJORAMIENTO Y AMPLIACIÓN CENTRO DE PROMOCIÓN DE SALUD, SECTOR AMARGOS, CORRAL </v>
      </c>
      <c r="D648" s="16" t="str">
        <f ca="1">IFERROR(__xludf.DUMMYFUNCTION("""COMPUTED_VALUE""")," 1-C-2023-2913 ")</f>
        <v xml:space="preserve"> 1-C-2023-2913 </v>
      </c>
      <c r="E648" s="16" t="str">
        <f ca="1">IFERROR(__xludf.DUMMYFUNCTION("""COMPUTED_VALUE""")," 100% Girado ")</f>
        <v xml:space="preserve"> 100% Girado </v>
      </c>
      <c r="F648" s="17">
        <f ca="1">IFERROR(__xludf.DUMMYFUNCTION("""COMPUTED_VALUE"""),45525)</f>
        <v>45525</v>
      </c>
      <c r="G648" s="16">
        <f ca="1">IFERROR(__xludf.DUMMYFUNCTION("""COMPUTED_VALUE"""),154422500)</f>
        <v>154422500</v>
      </c>
      <c r="H648" s="16" t="str">
        <f ca="1">IFERROR(__xludf.DUMMYFUNCTION("""COMPUTED_VALUE""")," 100% Girado ")</f>
        <v xml:space="preserve"> 100% Girado </v>
      </c>
      <c r="I648" s="16">
        <f ca="1">IFERROR(__xludf.DUMMYFUNCTION("""COMPUTED_VALUE"""),154422500)</f>
        <v>154422500</v>
      </c>
      <c r="J648" s="83" t="s">
        <v>48</v>
      </c>
      <c r="K648" s="16"/>
      <c r="L648" s="16"/>
      <c r="M648" s="16"/>
      <c r="N648" s="19"/>
      <c r="O648" s="19"/>
      <c r="P648" s="19"/>
      <c r="Q648" s="19"/>
      <c r="R648" s="21">
        <f ca="1">IFERROR(__xludf.DUMMYFUNCTION("""COMPUTED_VALUE"""),154422500)</f>
        <v>154422500</v>
      </c>
      <c r="S648" s="19"/>
      <c r="T648" s="19"/>
      <c r="U648" s="19"/>
      <c r="V648" s="19"/>
      <c r="W648" s="20">
        <f ca="1">IFERROR(__xludf.DUMMYFUNCTION("""COMPUTED_VALUE"""),154422500)</f>
        <v>154422500</v>
      </c>
      <c r="X648" s="20" t="str">
        <f ca="1">IFERROR(__xludf.DUMMYFUNCTION("""COMPUTED_VALUE""")," MUNICIPALIDAD DE CORRAL ")</f>
        <v xml:space="preserve"> MUNICIPALIDAD DE CORRAL </v>
      </c>
    </row>
    <row r="649" spans="1:24" ht="15.75" customHeight="1" x14ac:dyDescent="0.25">
      <c r="A649" s="16" t="str">
        <f ca="1">IFERROR(__xludf.DUMMYFUNCTION("""COMPUTED_VALUE""")," REGIÓN DE LOS RÍOS ")</f>
        <v xml:space="preserve"> REGIÓN DE LOS RÍOS </v>
      </c>
      <c r="B649" s="16" t="str">
        <f t="shared" ca="1" si="2"/>
        <v xml:space="preserve"> MÁFIL </v>
      </c>
      <c r="C649" s="16" t="str">
        <f ca="1">IFERROR(__xludf.DUMMYFUNCTION("""COMPUTED_VALUE""")," [SATE] CONSTRUCIÓN LETRAS TURISTICAS - COMUNA DE MÁFIL ")</f>
        <v xml:space="preserve"> [SATE] CONSTRUCIÓN LETRAS TURISTICAS - COMUNA DE MÁFIL </v>
      </c>
      <c r="D649" s="16" t="str">
        <f ca="1">IFERROR(__xludf.DUMMYFUNCTION("""COMPUTED_VALUE""")," 1-C-2023-3110 ")</f>
        <v xml:space="preserve"> 1-C-2023-3110 </v>
      </c>
      <c r="E649" s="16" t="str">
        <f ca="1">IFERROR(__xludf.DUMMYFUNCTION("""COMPUTED_VALUE""")," 100% Girado ")</f>
        <v xml:space="preserve"> 100% Girado </v>
      </c>
      <c r="F649" s="17">
        <f ca="1">IFERROR(__xludf.DUMMYFUNCTION("""COMPUTED_VALUE"""),45533)</f>
        <v>45533</v>
      </c>
      <c r="G649" s="16">
        <f ca="1">IFERROR(__xludf.DUMMYFUNCTION("""COMPUTED_VALUE"""),122518508)</f>
        <v>122518508</v>
      </c>
      <c r="H649" s="16" t="str">
        <f ca="1">IFERROR(__xludf.DUMMYFUNCTION("""COMPUTED_VALUE""")," 100% Girado ")</f>
        <v xml:space="preserve"> 100% Girado </v>
      </c>
      <c r="I649" s="16">
        <f ca="1">IFERROR(__xludf.DUMMYFUNCTION("""COMPUTED_VALUE"""),122518508)</f>
        <v>122518508</v>
      </c>
      <c r="J649" s="83" t="s">
        <v>48</v>
      </c>
      <c r="K649" s="16"/>
      <c r="L649" s="16"/>
      <c r="M649" s="16"/>
      <c r="N649" s="19"/>
      <c r="O649" s="19"/>
      <c r="P649" s="19"/>
      <c r="Q649" s="19"/>
      <c r="R649" s="21">
        <f ca="1">IFERROR(__xludf.DUMMYFUNCTION("""COMPUTED_VALUE"""),122518508)</f>
        <v>122518508</v>
      </c>
      <c r="S649" s="19"/>
      <c r="T649" s="19"/>
      <c r="U649" s="19"/>
      <c r="V649" s="19"/>
      <c r="W649" s="20">
        <f ca="1">IFERROR(__xludf.DUMMYFUNCTION("""COMPUTED_VALUE"""),122518508)</f>
        <v>122518508</v>
      </c>
      <c r="X649" s="20" t="str">
        <f ca="1">IFERROR(__xludf.DUMMYFUNCTION("""COMPUTED_VALUE""")," MUNICIPALIDAD DE MÁFIL ")</f>
        <v xml:space="preserve"> MUNICIPALIDAD DE MÁFIL </v>
      </c>
    </row>
    <row r="650" spans="1:24" ht="15.75" customHeight="1" x14ac:dyDescent="0.25">
      <c r="A650" s="16" t="str">
        <f ca="1">IFERROR(__xludf.DUMMYFUNCTION("""COMPUTED_VALUE""")," REGIÓN DE LOS RÍOS ")</f>
        <v xml:space="preserve"> REGIÓN DE LOS RÍOS </v>
      </c>
      <c r="B650" s="16" t="str">
        <f t="shared" ca="1" si="2"/>
        <v xml:space="preserve"> RÍO BUENO </v>
      </c>
      <c r="C650" s="16" t="str">
        <f ca="1">IFERROR(__xludf.DUMMYFUNCTION("""COMPUTED_VALUE""")," CONSTRUCCIÓN MULTICANCHA Y HABILITACIÓN ÁREA VERDE COMANDANTE ARAYA, COMUNA DE RÍO BUENO ")</f>
        <v xml:space="preserve"> CONSTRUCCIÓN MULTICANCHA Y HABILITACIÓN ÁREA VERDE COMANDANTE ARAYA, COMUNA DE RÍO BUENO </v>
      </c>
      <c r="D650" s="16" t="str">
        <f ca="1">IFERROR(__xludf.DUMMYFUNCTION("""COMPUTED_VALUE""")," 1-C-2024-122 ")</f>
        <v xml:space="preserve"> 1-C-2024-122 </v>
      </c>
      <c r="E650" s="16" t="str">
        <f ca="1">IFERROR(__xludf.DUMMYFUNCTION("""COMPUTED_VALUE""")," 100% Girado ")</f>
        <v xml:space="preserve"> 100% Girado </v>
      </c>
      <c r="F650" s="17">
        <f ca="1">IFERROR(__xludf.DUMMYFUNCTION("""COMPUTED_VALUE"""),45533)</f>
        <v>45533</v>
      </c>
      <c r="G650" s="16">
        <f ca="1">IFERROR(__xludf.DUMMYFUNCTION("""COMPUTED_VALUE"""),150268108)</f>
        <v>150268108</v>
      </c>
      <c r="H650" s="16" t="str">
        <f ca="1">IFERROR(__xludf.DUMMYFUNCTION("""COMPUTED_VALUE""")," 100% Girado ")</f>
        <v xml:space="preserve"> 100% Girado </v>
      </c>
      <c r="I650" s="16">
        <f ca="1">IFERROR(__xludf.DUMMYFUNCTION("""COMPUTED_VALUE"""),150268108)</f>
        <v>150268108</v>
      </c>
      <c r="J650" s="83" t="s">
        <v>48</v>
      </c>
      <c r="K650" s="16"/>
      <c r="L650" s="16"/>
      <c r="M650" s="16"/>
      <c r="N650" s="19"/>
      <c r="O650" s="19"/>
      <c r="P650" s="19"/>
      <c r="Q650" s="19"/>
      <c r="R650" s="21">
        <f ca="1">IFERROR(__xludf.DUMMYFUNCTION("""COMPUTED_VALUE"""),150268108)</f>
        <v>150268108</v>
      </c>
      <c r="S650" s="19"/>
      <c r="T650" s="19"/>
      <c r="U650" s="19"/>
      <c r="V650" s="19"/>
      <c r="W650" s="20">
        <f ca="1">IFERROR(__xludf.DUMMYFUNCTION("""COMPUTED_VALUE"""),150268108)</f>
        <v>150268108</v>
      </c>
      <c r="X650" s="20" t="str">
        <f ca="1">IFERROR(__xludf.DUMMYFUNCTION("""COMPUTED_VALUE""")," MUNICIPALIDAD DE RÍO BUENO ")</f>
        <v xml:space="preserve"> MUNICIPALIDAD DE RÍO BUENO </v>
      </c>
    </row>
    <row r="651" spans="1:24" ht="15.75" customHeight="1" x14ac:dyDescent="0.25">
      <c r="A651" s="16" t="str">
        <f ca="1">IFERROR(__xludf.DUMMYFUNCTION("""COMPUTED_VALUE""")," REGIÓN DE LOS RÍOS ")</f>
        <v xml:space="preserve"> REGIÓN DE LOS RÍOS </v>
      </c>
      <c r="B651" s="16" t="str">
        <f t="shared" ca="1" si="2"/>
        <v xml:space="preserve"> RÍO BUENO </v>
      </c>
      <c r="C651" s="16" t="str">
        <f ca="1">IFERROR(__xludf.DUMMYFUNCTION("""COMPUTED_VALUE""")," CONSTRUCCIÓN MULTICANCHA CUBIERTA LICEO VICENTE PEREZ ROSALEZ, COMUNA DE RIO BUENO ")</f>
        <v xml:space="preserve"> CONSTRUCCIÓN MULTICANCHA CUBIERTA LICEO VICENTE PEREZ ROSALEZ, COMUNA DE RIO BUENO </v>
      </c>
      <c r="D651" s="16" t="str">
        <f ca="1">IFERROR(__xludf.DUMMYFUNCTION("""COMPUTED_VALUE""")," 1-C-2024-166 ")</f>
        <v xml:space="preserve"> 1-C-2024-166 </v>
      </c>
      <c r="E651" s="16" t="str">
        <f ca="1">IFERROR(__xludf.DUMMYFUNCTION("""COMPUTED_VALUE""")," 100% Girado ")</f>
        <v xml:space="preserve"> 100% Girado </v>
      </c>
      <c r="F651" s="17">
        <f ca="1">IFERROR(__xludf.DUMMYFUNCTION("""COMPUTED_VALUE"""),45533)</f>
        <v>45533</v>
      </c>
      <c r="G651" s="16">
        <f ca="1">IFERROR(__xludf.DUMMYFUNCTION("""COMPUTED_VALUE"""),161644981)</f>
        <v>161644981</v>
      </c>
      <c r="H651" s="16" t="str">
        <f ca="1">IFERROR(__xludf.DUMMYFUNCTION("""COMPUTED_VALUE""")," 100% Girado ")</f>
        <v xml:space="preserve"> 100% Girado </v>
      </c>
      <c r="I651" s="16">
        <f ca="1">IFERROR(__xludf.DUMMYFUNCTION("""COMPUTED_VALUE"""),161644981)</f>
        <v>161644981</v>
      </c>
      <c r="J651" s="83" t="s">
        <v>48</v>
      </c>
      <c r="K651" s="16"/>
      <c r="L651" s="16"/>
      <c r="M651" s="16"/>
      <c r="N651" s="19"/>
      <c r="O651" s="19"/>
      <c r="P651" s="19"/>
      <c r="Q651" s="19"/>
      <c r="R651" s="21">
        <f ca="1">IFERROR(__xludf.DUMMYFUNCTION("""COMPUTED_VALUE"""),161644981)</f>
        <v>161644981</v>
      </c>
      <c r="S651" s="19"/>
      <c r="T651" s="19"/>
      <c r="U651" s="19"/>
      <c r="V651" s="19"/>
      <c r="W651" s="20">
        <f ca="1">IFERROR(__xludf.DUMMYFUNCTION("""COMPUTED_VALUE"""),161644981)</f>
        <v>161644981</v>
      </c>
      <c r="X651" s="20" t="str">
        <f ca="1">IFERROR(__xludf.DUMMYFUNCTION("""COMPUTED_VALUE""")," MUNICIPALIDAD DE RÍO BUENO ")</f>
        <v xml:space="preserve"> MUNICIPALIDAD DE RÍO BUENO </v>
      </c>
    </row>
    <row r="652" spans="1:24" ht="15.75" customHeight="1" x14ac:dyDescent="0.25">
      <c r="A652" s="16" t="str">
        <f ca="1">IFERROR(__xludf.DUMMYFUNCTION("""COMPUTED_VALUE""")," REGIÓN DE LOS RÍOS ")</f>
        <v xml:space="preserve"> REGIÓN DE LOS RÍOS </v>
      </c>
      <c r="B652" s="16" t="str">
        <f t="shared" ca="1" si="2"/>
        <v xml:space="preserve"> RÍO BUENO </v>
      </c>
      <c r="C652" s="16" t="str">
        <f ca="1">IFERROR(__xludf.DUMMYFUNCTION("""COMPUTED_VALUE""")," [SATE] HABILITACIÓN ÁREA VERDE VILLA BICENTENARIO, COMUNA DE RÍO BUENO ")</f>
        <v xml:space="preserve"> [SATE] HABILITACIÓN ÁREA VERDE VILLA BICENTENARIO, COMUNA DE RÍO BUENO </v>
      </c>
      <c r="D652" s="16" t="str">
        <f ca="1">IFERROR(__xludf.DUMMYFUNCTION("""COMPUTED_VALUE""")," 1-C-2024-272 ")</f>
        <v xml:space="preserve"> 1-C-2024-272 </v>
      </c>
      <c r="E652" s="16" t="str">
        <f ca="1">IFERROR(__xludf.DUMMYFUNCTION("""COMPUTED_VALUE""")," 100% Girado ")</f>
        <v xml:space="preserve"> 100% Girado </v>
      </c>
      <c r="F652" s="17">
        <f ca="1">IFERROR(__xludf.DUMMYFUNCTION("""COMPUTED_VALUE"""),45533)</f>
        <v>45533</v>
      </c>
      <c r="G652" s="16">
        <f ca="1">IFERROR(__xludf.DUMMYFUNCTION("""COMPUTED_VALUE"""),161499683)</f>
        <v>161499683</v>
      </c>
      <c r="H652" s="16" t="str">
        <f ca="1">IFERROR(__xludf.DUMMYFUNCTION("""COMPUTED_VALUE""")," 100% Girado ")</f>
        <v xml:space="preserve"> 100% Girado </v>
      </c>
      <c r="I652" s="16">
        <f ca="1">IFERROR(__xludf.DUMMYFUNCTION("""COMPUTED_VALUE"""),161499683)</f>
        <v>161499683</v>
      </c>
      <c r="J652" s="83" t="s">
        <v>48</v>
      </c>
      <c r="K652" s="16"/>
      <c r="L652" s="16"/>
      <c r="M652" s="16"/>
      <c r="N652" s="19"/>
      <c r="O652" s="19"/>
      <c r="P652" s="19"/>
      <c r="Q652" s="19"/>
      <c r="R652" s="21">
        <f ca="1">IFERROR(__xludf.DUMMYFUNCTION("""COMPUTED_VALUE"""),161499683)</f>
        <v>161499683</v>
      </c>
      <c r="S652" s="19"/>
      <c r="T652" s="19"/>
      <c r="U652" s="19"/>
      <c r="V652" s="19"/>
      <c r="W652" s="20">
        <f ca="1">IFERROR(__xludf.DUMMYFUNCTION("""COMPUTED_VALUE"""),161499683)</f>
        <v>161499683</v>
      </c>
      <c r="X652" s="20" t="str">
        <f ca="1">IFERROR(__xludf.DUMMYFUNCTION("""COMPUTED_VALUE""")," MUNICIPALIDAD DE RÍO BUENO ")</f>
        <v xml:space="preserve"> MUNICIPALIDAD DE RÍO BUENO </v>
      </c>
    </row>
    <row r="653" spans="1:24" ht="15.75" customHeight="1" x14ac:dyDescent="0.25">
      <c r="A653" s="16" t="str">
        <f ca="1">IFERROR(__xludf.DUMMYFUNCTION("""COMPUTED_VALUE""")," REGIÓN DE LOS RÍOS ")</f>
        <v xml:space="preserve"> REGIÓN DE LOS RÍOS </v>
      </c>
      <c r="B653" s="16" t="str">
        <f t="shared" ca="1" si="2"/>
        <v xml:space="preserve"> LANCO </v>
      </c>
      <c r="C653" s="16" t="str">
        <f ca="1">IFERROR(__xludf.DUMMYFUNCTION("""COMPUTED_VALUE""")," CONSTRUCCIÓN CENTRO COMUNITARIO EL PROGRESO, LANCO. ")</f>
        <v xml:space="preserve"> CONSTRUCCIÓN CENTRO COMUNITARIO EL PROGRESO, LANCO. </v>
      </c>
      <c r="D653" s="16" t="str">
        <f ca="1">IFERROR(__xludf.DUMMYFUNCTION("""COMPUTED_VALUE""")," 1-C-2024-289 ")</f>
        <v xml:space="preserve"> 1-C-2024-289 </v>
      </c>
      <c r="E653" s="16" t="str">
        <f ca="1">IFERROR(__xludf.DUMMYFUNCTION("""COMPUTED_VALUE""")," 100% Girado ")</f>
        <v xml:space="preserve"> 100% Girado </v>
      </c>
      <c r="F653" s="17">
        <f ca="1">IFERROR(__xludf.DUMMYFUNCTION("""COMPUTED_VALUE"""),45525)</f>
        <v>45525</v>
      </c>
      <c r="G653" s="16">
        <f ca="1">IFERROR(__xludf.DUMMYFUNCTION("""COMPUTED_VALUE"""),135707461)</f>
        <v>135707461</v>
      </c>
      <c r="H653" s="16" t="str">
        <f ca="1">IFERROR(__xludf.DUMMYFUNCTION("""COMPUTED_VALUE""")," 100% Girado ")</f>
        <v xml:space="preserve"> 100% Girado </v>
      </c>
      <c r="I653" s="16">
        <f ca="1">IFERROR(__xludf.DUMMYFUNCTION("""COMPUTED_VALUE"""),135707461)</f>
        <v>135707461</v>
      </c>
      <c r="J653" s="83" t="s">
        <v>48</v>
      </c>
      <c r="K653" s="16"/>
      <c r="L653" s="16"/>
      <c r="M653" s="16"/>
      <c r="N653" s="19"/>
      <c r="O653" s="19"/>
      <c r="P653" s="19"/>
      <c r="Q653" s="19"/>
      <c r="R653" s="21">
        <f ca="1">IFERROR(__xludf.DUMMYFUNCTION("""COMPUTED_VALUE"""),135707461)</f>
        <v>135707461</v>
      </c>
      <c r="S653" s="19"/>
      <c r="T653" s="19"/>
      <c r="U653" s="19"/>
      <c r="V653" s="19"/>
      <c r="W653" s="20">
        <f ca="1">IFERROR(__xludf.DUMMYFUNCTION("""COMPUTED_VALUE"""),135707461)</f>
        <v>135707461</v>
      </c>
      <c r="X653" s="20" t="str">
        <f ca="1">IFERROR(__xludf.DUMMYFUNCTION("""COMPUTED_VALUE""")," MUNICIPALIDAD DE LANCO ")</f>
        <v xml:space="preserve"> MUNICIPALIDAD DE LANCO </v>
      </c>
    </row>
    <row r="654" spans="1:24" ht="15.75" customHeight="1" x14ac:dyDescent="0.25">
      <c r="A654" s="16" t="str">
        <f ca="1">IFERROR(__xludf.DUMMYFUNCTION("""COMPUTED_VALUE""")," REGIÓN DE LOS RÍOS ")</f>
        <v xml:space="preserve"> REGIÓN DE LOS RÍOS </v>
      </c>
      <c r="B654" s="16" t="str">
        <f t="shared" ca="1" si="2"/>
        <v xml:space="preserve"> LOS LAGOS </v>
      </c>
      <c r="C654" s="16" t="str">
        <f ca="1">IFERROR(__xludf.DUMMYFUNCTION("""COMPUTED_VALUE""")," CONSTRUCCIÓN CIERRE PERÍMETRAL COMUNIDAD INDÍGENA LLONCON MILLAL, COMUNIDAD INDÍGENA MAPUCHE AILLAPAN HUENCHUANCA, COMUNA DE LOS LAGOS ")</f>
        <v xml:space="preserve"> CONSTRUCCIÓN CIERRE PERÍMETRAL COMUNIDAD INDÍGENA LLONCON MILLAL, COMUNIDAD INDÍGENA MAPUCHE AILLAPAN HUENCHUANCA, COMUNA DE LOS LAGOS </v>
      </c>
      <c r="D654" s="16" t="str">
        <f ca="1">IFERROR(__xludf.DUMMYFUNCTION("""COMPUTED_VALUE""")," 1-C-2024-564 ")</f>
        <v xml:space="preserve"> 1-C-2024-564 </v>
      </c>
      <c r="E654" s="16" t="str">
        <f ca="1">IFERROR(__xludf.DUMMYFUNCTION("""COMPUTED_VALUE""")," 100% Girado ")</f>
        <v xml:space="preserve"> 100% Girado </v>
      </c>
      <c r="F654" s="17">
        <f ca="1">IFERROR(__xludf.DUMMYFUNCTION("""COMPUTED_VALUE"""),45525)</f>
        <v>45525</v>
      </c>
      <c r="G654" s="16">
        <f ca="1">IFERROR(__xludf.DUMMYFUNCTION("""COMPUTED_VALUE"""),161664999)</f>
        <v>161664999</v>
      </c>
      <c r="H654" s="16" t="str">
        <f ca="1">IFERROR(__xludf.DUMMYFUNCTION("""COMPUTED_VALUE""")," 100% Girado ")</f>
        <v xml:space="preserve"> 100% Girado </v>
      </c>
      <c r="I654" s="16">
        <f ca="1">IFERROR(__xludf.DUMMYFUNCTION("""COMPUTED_VALUE"""),161664999)</f>
        <v>161664999</v>
      </c>
      <c r="J654" s="83" t="s">
        <v>48</v>
      </c>
      <c r="K654" s="16"/>
      <c r="L654" s="16"/>
      <c r="M654" s="16"/>
      <c r="N654" s="19"/>
      <c r="O654" s="19"/>
      <c r="P654" s="19"/>
      <c r="Q654" s="19"/>
      <c r="R654" s="21">
        <f ca="1">IFERROR(__xludf.DUMMYFUNCTION("""COMPUTED_VALUE"""),161664999)</f>
        <v>161664999</v>
      </c>
      <c r="S654" s="19"/>
      <c r="T654" s="19"/>
      <c r="U654" s="19"/>
      <c r="V654" s="19"/>
      <c r="W654" s="20">
        <f ca="1">IFERROR(__xludf.DUMMYFUNCTION("""COMPUTED_VALUE"""),161664999)</f>
        <v>161664999</v>
      </c>
      <c r="X654" s="20" t="str">
        <f ca="1">IFERROR(__xludf.DUMMYFUNCTION("""COMPUTED_VALUE""")," MUNICIPALIDAD DE LOS LAGOS ")</f>
        <v xml:space="preserve"> MUNICIPALIDAD DE LOS LAGOS </v>
      </c>
    </row>
    <row r="655" spans="1:24" ht="15.75" customHeight="1" x14ac:dyDescent="0.25">
      <c r="A655" s="16" t="str">
        <f ca="1">IFERROR(__xludf.DUMMYFUNCTION("""COMPUTED_VALUE""")," REGIÓN DE LOS RÍOS ")</f>
        <v xml:space="preserve"> REGIÓN DE LOS RÍOS </v>
      </c>
      <c r="B655" s="16" t="str">
        <f t="shared" ca="1" si="2"/>
        <v xml:space="preserve"> VALDIVIA </v>
      </c>
      <c r="C655" s="16" t="str">
        <f ca="1">IFERROR(__xludf.DUMMYFUNCTION("""COMPUTED_VALUE""")," MEJORAMIENTO AREA VERDE GABRIELA MISTRAL CON MARIANO LATORRE, VALDIVIA ")</f>
        <v xml:space="preserve"> MEJORAMIENTO AREA VERDE GABRIELA MISTRAL CON MARIANO LATORRE, VALDIVIA </v>
      </c>
      <c r="D655" s="16" t="str">
        <f ca="1">IFERROR(__xludf.DUMMYFUNCTION("""COMPUTED_VALUE""")," 1-B-2024-137 ")</f>
        <v xml:space="preserve"> 1-B-2024-137 </v>
      </c>
      <c r="E655" s="16" t="str">
        <f ca="1">IFERROR(__xludf.DUMMYFUNCTION("""COMPUTED_VALUE""")," 100% Girado ")</f>
        <v xml:space="preserve"> 100% Girado </v>
      </c>
      <c r="F655" s="17">
        <f ca="1">IFERROR(__xludf.DUMMYFUNCTION("""COMPUTED_VALUE"""),45517)</f>
        <v>45517</v>
      </c>
      <c r="G655" s="16">
        <f ca="1">IFERROR(__xludf.DUMMYFUNCTION("""COMPUTED_VALUE"""),98400102)</f>
        <v>98400102</v>
      </c>
      <c r="H655" s="16" t="str">
        <f ca="1">IFERROR(__xludf.DUMMYFUNCTION("""COMPUTED_VALUE""")," 100% Girado ")</f>
        <v xml:space="preserve"> 100% Girado </v>
      </c>
      <c r="I655" s="16">
        <f ca="1">IFERROR(__xludf.DUMMYFUNCTION("""COMPUTED_VALUE"""),98400102)</f>
        <v>98400102</v>
      </c>
      <c r="J655" s="83" t="s">
        <v>48</v>
      </c>
      <c r="K655" s="16"/>
      <c r="L655" s="16"/>
      <c r="M655" s="16"/>
      <c r="N655" s="19"/>
      <c r="O655" s="19"/>
      <c r="P655" s="19"/>
      <c r="Q655" s="19"/>
      <c r="R655" s="21">
        <f ca="1">IFERROR(__xludf.DUMMYFUNCTION("""COMPUTED_VALUE"""),98400102)</f>
        <v>98400102</v>
      </c>
      <c r="S655" s="19"/>
      <c r="T655" s="19"/>
      <c r="U655" s="19"/>
      <c r="V655" s="19"/>
      <c r="W655" s="20">
        <f ca="1">IFERROR(__xludf.DUMMYFUNCTION("""COMPUTED_VALUE"""),98400102)</f>
        <v>98400102</v>
      </c>
      <c r="X655" s="20" t="str">
        <f ca="1">IFERROR(__xludf.DUMMYFUNCTION("""COMPUTED_VALUE""")," MUNICIPALIDAD DE VALDIVIA ")</f>
        <v xml:space="preserve"> MUNICIPALIDAD DE VALDIVIA </v>
      </c>
    </row>
    <row r="656" spans="1:24" ht="15.75" customHeight="1" x14ac:dyDescent="0.25">
      <c r="A656" s="16" t="str">
        <f ca="1">IFERROR(__xludf.DUMMYFUNCTION("""COMPUTED_VALUE""")," REGIÓN DE LOS RÍOS ")</f>
        <v xml:space="preserve"> REGIÓN DE LOS RÍOS </v>
      </c>
      <c r="B656" s="16" t="str">
        <f t="shared" ca="1" si="2"/>
        <v xml:space="preserve"> LA UNIÓN </v>
      </c>
      <c r="C656" s="16" t="str">
        <f ca="1">IFERROR(__xludf.DUMMYFUNCTION("""COMPUTED_VALUE""")," REPOSICIÓN DE VEREDAS DESDE CALLE RAFAEL AZOCAR HASTA CALLE CAMILO HENRÍQUEZ, COMUNA DE LA UNIÓN ")</f>
        <v xml:space="preserve"> REPOSICIÓN DE VEREDAS DESDE CALLE RAFAEL AZOCAR HASTA CALLE CAMILO HENRÍQUEZ, COMUNA DE LA UNIÓN </v>
      </c>
      <c r="D656" s="16" t="str">
        <f ca="1">IFERROR(__xludf.DUMMYFUNCTION("""COMPUTED_VALUE""")," 1-B-2024-151 ")</f>
        <v xml:space="preserve"> 1-B-2024-151 </v>
      </c>
      <c r="E656" s="16" t="str">
        <f ca="1">IFERROR(__xludf.DUMMYFUNCTION("""COMPUTED_VALUE""")," 100% Girado ")</f>
        <v xml:space="preserve"> 100% Girado </v>
      </c>
      <c r="F656" s="17">
        <f ca="1">IFERROR(__xludf.DUMMYFUNCTION("""COMPUTED_VALUE"""),45512)</f>
        <v>45512</v>
      </c>
      <c r="G656" s="16">
        <f ca="1">IFERROR(__xludf.DUMMYFUNCTION("""COMPUTED_VALUE"""),97000000)</f>
        <v>97000000</v>
      </c>
      <c r="H656" s="16" t="str">
        <f ca="1">IFERROR(__xludf.DUMMYFUNCTION("""COMPUTED_VALUE""")," 100% Girado ")</f>
        <v xml:space="preserve"> 100% Girado </v>
      </c>
      <c r="I656" s="16">
        <f ca="1">IFERROR(__xludf.DUMMYFUNCTION("""COMPUTED_VALUE"""),97000000)</f>
        <v>97000000</v>
      </c>
      <c r="J656" s="83" t="s">
        <v>48</v>
      </c>
      <c r="K656" s="16"/>
      <c r="L656" s="16"/>
      <c r="M656" s="16"/>
      <c r="N656" s="19"/>
      <c r="O656" s="19"/>
      <c r="P656" s="19"/>
      <c r="Q656" s="19"/>
      <c r="R656" s="21">
        <f ca="1">IFERROR(__xludf.DUMMYFUNCTION("""COMPUTED_VALUE"""),97000000)</f>
        <v>97000000</v>
      </c>
      <c r="S656" s="19"/>
      <c r="T656" s="19"/>
      <c r="U656" s="19"/>
      <c r="V656" s="19"/>
      <c r="W656" s="20">
        <f ca="1">IFERROR(__xludf.DUMMYFUNCTION("""COMPUTED_VALUE"""),97000000)</f>
        <v>97000000</v>
      </c>
      <c r="X656" s="20" t="str">
        <f ca="1">IFERROR(__xludf.DUMMYFUNCTION("""COMPUTED_VALUE""")," MUNICIPALIDAD DE LA UNIÓN ")</f>
        <v xml:space="preserve"> MUNICIPALIDAD DE LA UNIÓN </v>
      </c>
    </row>
    <row r="657" spans="1:24" ht="15.75" customHeight="1" x14ac:dyDescent="0.25">
      <c r="A657" s="16" t="str">
        <f ca="1">IFERROR(__xludf.DUMMYFUNCTION("""COMPUTED_VALUE""")," REGIÓN DE LOS RÍOS ")</f>
        <v xml:space="preserve"> REGIÓN DE LOS RÍOS </v>
      </c>
      <c r="B657" s="16" t="str">
        <f t="shared" ca="1" si="2"/>
        <v xml:space="preserve"> LANCO </v>
      </c>
      <c r="C657" s="16" t="str">
        <f ca="1">IFERROR(__xludf.DUMMYFUNCTION("""COMPUTED_VALUE""")," REPOSICIÓN CIERRE PERIMETRALES EN TERRENOS DE SEDES SOCIALES Y HABILITACIÓN DE AREA RECREATIVA ")</f>
        <v xml:space="preserve"> REPOSICIÓN CIERRE PERIMETRALES EN TERRENOS DE SEDES SOCIALES Y HABILITACIÓN DE AREA RECREATIVA </v>
      </c>
      <c r="D657" s="16" t="str">
        <f ca="1">IFERROR(__xludf.DUMMYFUNCTION("""COMPUTED_VALUE""")," 1-B-2024-232 ")</f>
        <v xml:space="preserve"> 1-B-2024-232 </v>
      </c>
      <c r="E657" s="16" t="str">
        <f ca="1">IFERROR(__xludf.DUMMYFUNCTION("""COMPUTED_VALUE""")," 100% Girado ")</f>
        <v xml:space="preserve"> 100% Girado </v>
      </c>
      <c r="F657" s="17">
        <f ca="1">IFERROR(__xludf.DUMMYFUNCTION("""COMPUTED_VALUE"""),45517)</f>
        <v>45517</v>
      </c>
      <c r="G657" s="16">
        <f ca="1">IFERROR(__xludf.DUMMYFUNCTION("""COMPUTED_VALUE"""),104531577)</f>
        <v>104531577</v>
      </c>
      <c r="H657" s="16" t="str">
        <f ca="1">IFERROR(__xludf.DUMMYFUNCTION("""COMPUTED_VALUE""")," 100% Girado ")</f>
        <v xml:space="preserve"> 100% Girado </v>
      </c>
      <c r="I657" s="16">
        <f ca="1">IFERROR(__xludf.DUMMYFUNCTION("""COMPUTED_VALUE"""),104531577)</f>
        <v>104531577</v>
      </c>
      <c r="J657" s="83" t="s">
        <v>48</v>
      </c>
      <c r="K657" s="16"/>
      <c r="L657" s="16"/>
      <c r="M657" s="16"/>
      <c r="N657" s="19"/>
      <c r="O657" s="19"/>
      <c r="P657" s="19"/>
      <c r="Q657" s="19"/>
      <c r="R657" s="21">
        <f ca="1">IFERROR(__xludf.DUMMYFUNCTION("""COMPUTED_VALUE"""),104531577)</f>
        <v>104531577</v>
      </c>
      <c r="S657" s="19"/>
      <c r="T657" s="19"/>
      <c r="U657" s="19"/>
      <c r="V657" s="19"/>
      <c r="W657" s="20">
        <f ca="1">IFERROR(__xludf.DUMMYFUNCTION("""COMPUTED_VALUE"""),104531577)</f>
        <v>104531577</v>
      </c>
      <c r="X657" s="20" t="str">
        <f ca="1">IFERROR(__xludf.DUMMYFUNCTION("""COMPUTED_VALUE""")," MUNICIPALIDAD DE LANCO ")</f>
        <v xml:space="preserve"> MUNICIPALIDAD DE LANCO </v>
      </c>
    </row>
    <row r="658" spans="1:24" ht="15.75" customHeight="1" x14ac:dyDescent="0.25">
      <c r="A658" s="16" t="str">
        <f ca="1">IFERROR(__xludf.DUMMYFUNCTION("""COMPUTED_VALUE""")," REGIÓN DE ÑUBLE ")</f>
        <v xml:space="preserve"> REGIÓN DE ÑUBLE </v>
      </c>
      <c r="B658" s="16" t="str">
        <f t="shared" ca="1" si="2"/>
        <v xml:space="preserve"> SAN IGNACIO </v>
      </c>
      <c r="C658" s="16" t="str">
        <f ca="1">IFERROR(__xludf.DUMMYFUNCTION("""COMPUTED_VALUE""")," CONSTRUCCIÓN SKATE PARK PLAZA DE ARMAS, COMUNA DE SAN IGNACIO ")</f>
        <v xml:space="preserve"> CONSTRUCCIÓN SKATE PARK PLAZA DE ARMAS, COMUNA DE SAN IGNACIO </v>
      </c>
      <c r="D658" s="16" t="str">
        <f ca="1">IFERROR(__xludf.DUMMYFUNCTION("""COMPUTED_VALUE""")," 1-C-2021-1368 [CHA] ")</f>
        <v xml:space="preserve"> 1-C-2021-1368 [CHA] </v>
      </c>
      <c r="E658" s="16" t="str">
        <f ca="1">IFERROR(__xludf.DUMMYFUNCTION("""COMPUTED_VALUE""")," En Ejecución ")</f>
        <v xml:space="preserve"> En Ejecución </v>
      </c>
      <c r="F658" s="17">
        <f ca="1">IFERROR(__xludf.DUMMYFUNCTION("""COMPUTED_VALUE"""),44783)</f>
        <v>44783</v>
      </c>
      <c r="G658" s="16">
        <f ca="1">IFERROR(__xludf.DUMMYFUNCTION("""COMPUTED_VALUE"""),69100605)</f>
        <v>69100605</v>
      </c>
      <c r="H658" s="16" t="str">
        <f ca="1">IFERROR(__xludf.DUMMYFUNCTION("""COMPUTED_VALUE""")," En Ejecución ")</f>
        <v xml:space="preserve"> En Ejecución </v>
      </c>
      <c r="I658" s="16">
        <f ca="1">IFERROR(__xludf.DUMMYFUNCTION("""COMPUTED_VALUE"""),10167774)</f>
        <v>10167774</v>
      </c>
      <c r="J658" s="83" t="s">
        <v>48</v>
      </c>
      <c r="K658" s="16"/>
      <c r="L658" s="16"/>
      <c r="M658" s="16"/>
      <c r="N658" s="19"/>
      <c r="O658" s="19"/>
      <c r="P658" s="19"/>
      <c r="Q658" s="19"/>
      <c r="R658" s="21">
        <f ca="1">IFERROR(__xludf.DUMMYFUNCTION("""COMPUTED_VALUE"""),10167774)</f>
        <v>10167774</v>
      </c>
      <c r="S658" s="19"/>
      <c r="T658" s="19"/>
      <c r="U658" s="19"/>
      <c r="V658" s="19"/>
      <c r="W658" s="20">
        <f ca="1">IFERROR(__xludf.DUMMYFUNCTION("""COMPUTED_VALUE"""),10167774)</f>
        <v>10167774</v>
      </c>
      <c r="X658" s="20" t="str">
        <f ca="1">IFERROR(__xludf.DUMMYFUNCTION("""COMPUTED_VALUE""")," MUNICIPALIDAD DE SAN IGNACIO ")</f>
        <v xml:space="preserve"> MUNICIPALIDAD DE SAN IGNACIO </v>
      </c>
    </row>
    <row r="659" spans="1:24" ht="15.75" customHeight="1" x14ac:dyDescent="0.25">
      <c r="A659" s="16" t="str">
        <f ca="1">IFERROR(__xludf.DUMMYFUNCTION("""COMPUTED_VALUE""")," REGIÓN DE ÑUBLE ")</f>
        <v xml:space="preserve"> REGIÓN DE ÑUBLE </v>
      </c>
      <c r="B659" s="16" t="str">
        <f t="shared" ca="1" si="2"/>
        <v xml:space="preserve"> COELEMU </v>
      </c>
      <c r="C659" s="16" t="str">
        <f ca="1">IFERROR(__xludf.DUMMYFUNCTION("""COMPUTED_VALUE""")," [SATE] CONSTRUCCIÓN CENTRO COMUNITARIO ESTACIÓN FERROVIARIO, COMUNA DE COELEMU. ")</f>
        <v xml:space="preserve"> [SATE] CONSTRUCCIÓN CENTRO COMUNITARIO ESTACIÓN FERROVIARIO, COMUNA DE COELEMU. </v>
      </c>
      <c r="D659" s="16" t="str">
        <f ca="1">IFERROR(__xludf.DUMMYFUNCTION("""COMPUTED_VALUE""")," 1-C-2023-1098 ")</f>
        <v xml:space="preserve"> 1-C-2023-1098 </v>
      </c>
      <c r="E659" s="16" t="str">
        <f ca="1">IFERROR(__xludf.DUMMYFUNCTION("""COMPUTED_VALUE""")," Con Giro por Anticipo ")</f>
        <v xml:space="preserve"> Con Giro por Anticipo </v>
      </c>
      <c r="F659" s="17">
        <f ca="1">IFERROR(__xludf.DUMMYFUNCTION("""COMPUTED_VALUE"""),45525)</f>
        <v>45525</v>
      </c>
      <c r="G659" s="16">
        <f ca="1">IFERROR(__xludf.DUMMYFUNCTION("""COMPUTED_VALUE"""),154419528)</f>
        <v>154419528</v>
      </c>
      <c r="H659" s="16" t="str">
        <f ca="1">IFERROR(__xludf.DUMMYFUNCTION("""COMPUTED_VALUE""")," Con Giro por Anticipo ")</f>
        <v xml:space="preserve"> Con Giro por Anticipo </v>
      </c>
      <c r="I659" s="16">
        <f ca="1">IFERROR(__xludf.DUMMYFUNCTION("""COMPUTED_VALUE"""),77209764)</f>
        <v>77209764</v>
      </c>
      <c r="J659" s="83" t="s">
        <v>48</v>
      </c>
      <c r="K659" s="16"/>
      <c r="L659" s="16"/>
      <c r="M659" s="16"/>
      <c r="N659" s="19"/>
      <c r="O659" s="19"/>
      <c r="P659" s="19"/>
      <c r="Q659" s="19"/>
      <c r="R659" s="21">
        <f ca="1">IFERROR(__xludf.DUMMYFUNCTION("""COMPUTED_VALUE"""),77209764)</f>
        <v>77209764</v>
      </c>
      <c r="S659" s="19"/>
      <c r="T659" s="19"/>
      <c r="U659" s="19"/>
      <c r="V659" s="19"/>
      <c r="W659" s="20">
        <f ca="1">IFERROR(__xludf.DUMMYFUNCTION("""COMPUTED_VALUE"""),77209764)</f>
        <v>77209764</v>
      </c>
      <c r="X659" s="20" t="str">
        <f ca="1">IFERROR(__xludf.DUMMYFUNCTION("""COMPUTED_VALUE""")," MUNICIPALIDAD DE COELEMU ")</f>
        <v xml:space="preserve"> MUNICIPALIDAD DE COELEMU </v>
      </c>
    </row>
    <row r="660" spans="1:24" ht="15.75" customHeight="1" x14ac:dyDescent="0.25">
      <c r="A660" s="16" t="str">
        <f ca="1">IFERROR(__xludf.DUMMYFUNCTION("""COMPUTED_VALUE""")," REGIÓN DE ÑUBLE ")</f>
        <v xml:space="preserve"> REGIÓN DE ÑUBLE </v>
      </c>
      <c r="B660" s="16" t="str">
        <f t="shared" ca="1" si="2"/>
        <v xml:space="preserve"> SAN IGNACIO </v>
      </c>
      <c r="C660" s="16" t="str">
        <f ca="1">IFERROR(__xludf.DUMMYFUNCTION("""COMPUTED_VALUE""")," MEJORAMIENTO Y AMPLIACIÓN UNIDAD DE PROCEDIMIENTOS CESFAM QUIRIQUINA, COMUNA DE SAN IGNACIO ")</f>
        <v xml:space="preserve"> MEJORAMIENTO Y AMPLIACIÓN UNIDAD DE PROCEDIMIENTOS CESFAM QUIRIQUINA, COMUNA DE SAN IGNACIO </v>
      </c>
      <c r="D660" s="16" t="str">
        <f ca="1">IFERROR(__xludf.DUMMYFUNCTION("""COMPUTED_VALUE""")," 1-C-2023-2071 ")</f>
        <v xml:space="preserve"> 1-C-2023-2071 </v>
      </c>
      <c r="E660" s="16" t="str">
        <f ca="1">IFERROR(__xludf.DUMMYFUNCTION("""COMPUTED_VALUE""")," Con Giro por Anticipo ")</f>
        <v xml:space="preserve"> Con Giro por Anticipo </v>
      </c>
      <c r="F660" s="17">
        <f ca="1">IFERROR(__xludf.DUMMYFUNCTION("""COMPUTED_VALUE"""),45525)</f>
        <v>45525</v>
      </c>
      <c r="G660" s="16">
        <f ca="1">IFERROR(__xludf.DUMMYFUNCTION("""COMPUTED_VALUE"""),150924973)</f>
        <v>150924973</v>
      </c>
      <c r="H660" s="16" t="str">
        <f ca="1">IFERROR(__xludf.DUMMYFUNCTION("""COMPUTED_VALUE""")," Con Giro por Anticipo ")</f>
        <v xml:space="preserve"> Con Giro por Anticipo </v>
      </c>
      <c r="I660" s="16">
        <f ca="1">IFERROR(__xludf.DUMMYFUNCTION("""COMPUTED_VALUE"""),75462487)</f>
        <v>75462487</v>
      </c>
      <c r="J660" s="83" t="s">
        <v>48</v>
      </c>
      <c r="K660" s="16"/>
      <c r="L660" s="16"/>
      <c r="M660" s="16"/>
      <c r="N660" s="19"/>
      <c r="O660" s="19"/>
      <c r="P660" s="19"/>
      <c r="Q660" s="19"/>
      <c r="R660" s="21">
        <f ca="1">IFERROR(__xludf.DUMMYFUNCTION("""COMPUTED_VALUE"""),75462487)</f>
        <v>75462487</v>
      </c>
      <c r="S660" s="19"/>
      <c r="T660" s="19"/>
      <c r="U660" s="19"/>
      <c r="V660" s="19"/>
      <c r="W660" s="20">
        <f ca="1">IFERROR(__xludf.DUMMYFUNCTION("""COMPUTED_VALUE"""),75462487)</f>
        <v>75462487</v>
      </c>
      <c r="X660" s="20" t="str">
        <f ca="1">IFERROR(__xludf.DUMMYFUNCTION("""COMPUTED_VALUE""")," MUNICIPALIDAD DE SAN IGNACIO ")</f>
        <v xml:space="preserve"> MUNICIPALIDAD DE SAN IGNACIO </v>
      </c>
    </row>
    <row r="661" spans="1:24" ht="15.75" customHeight="1" x14ac:dyDescent="0.25">
      <c r="A661" s="16" t="str">
        <f ca="1">IFERROR(__xludf.DUMMYFUNCTION("""COMPUTED_VALUE""")," REGIÓN DE ÑUBLE ")</f>
        <v xml:space="preserve"> REGIÓN DE ÑUBLE </v>
      </c>
      <c r="B661" s="16" t="str">
        <f t="shared" ca="1" si="2"/>
        <v xml:space="preserve"> COELEMU </v>
      </c>
      <c r="C661" s="16" t="str">
        <f ca="1">IFERROR(__xludf.DUMMYFUNCTION("""COMPUTED_VALUE""")," CONSTRUCCIÓN PLAZA VILLA EL CONQUISTADOR, COMUNA DE COELEMU ")</f>
        <v xml:space="preserve"> CONSTRUCCIÓN PLAZA VILLA EL CONQUISTADOR, COMUNA DE COELEMU </v>
      </c>
      <c r="D661" s="16" t="str">
        <f ca="1">IFERROR(__xludf.DUMMYFUNCTION("""COMPUTED_VALUE""")," 1-C-2023-2267 ")</f>
        <v xml:space="preserve"> 1-C-2023-2267 </v>
      </c>
      <c r="E661" s="16" t="str">
        <f ca="1">IFERROR(__xludf.DUMMYFUNCTION("""COMPUTED_VALUE""")," Con Giro por Anticipo ")</f>
        <v xml:space="preserve"> Con Giro por Anticipo </v>
      </c>
      <c r="F661" s="17">
        <f ca="1">IFERROR(__xludf.DUMMYFUNCTION("""COMPUTED_VALUE"""),45525)</f>
        <v>45525</v>
      </c>
      <c r="G661" s="16">
        <f ca="1">IFERROR(__xludf.DUMMYFUNCTION("""COMPUTED_VALUE"""),154415279)</f>
        <v>154415279</v>
      </c>
      <c r="H661" s="16" t="str">
        <f ca="1">IFERROR(__xludf.DUMMYFUNCTION("""COMPUTED_VALUE""")," Con Giro por Anticipo ")</f>
        <v xml:space="preserve"> Con Giro por Anticipo </v>
      </c>
      <c r="I661" s="16">
        <f ca="1">IFERROR(__xludf.DUMMYFUNCTION("""COMPUTED_VALUE"""),77207640)</f>
        <v>77207640</v>
      </c>
      <c r="J661" s="83" t="s">
        <v>48</v>
      </c>
      <c r="K661" s="16"/>
      <c r="L661" s="16"/>
      <c r="M661" s="16"/>
      <c r="N661" s="19"/>
      <c r="O661" s="19"/>
      <c r="P661" s="19"/>
      <c r="Q661" s="19"/>
      <c r="R661" s="21">
        <f ca="1">IFERROR(__xludf.DUMMYFUNCTION("""COMPUTED_VALUE"""),77207640)</f>
        <v>77207640</v>
      </c>
      <c r="S661" s="19"/>
      <c r="T661" s="19"/>
      <c r="U661" s="19"/>
      <c r="V661" s="19"/>
      <c r="W661" s="20">
        <f ca="1">IFERROR(__xludf.DUMMYFUNCTION("""COMPUTED_VALUE"""),77207640)</f>
        <v>77207640</v>
      </c>
      <c r="X661" s="20" t="str">
        <f ca="1">IFERROR(__xludf.DUMMYFUNCTION("""COMPUTED_VALUE""")," MUNICIPALIDAD DE COELEMU ")</f>
        <v xml:space="preserve"> MUNICIPALIDAD DE COELEMU </v>
      </c>
    </row>
    <row r="662" spans="1:24" ht="15.75" hidden="1" customHeight="1" x14ac:dyDescent="0.25">
      <c r="A662" s="16"/>
      <c r="B662" s="16" t="str">
        <f t="shared" si="2"/>
        <v/>
      </c>
      <c r="C662" s="16"/>
      <c r="D662" s="16"/>
      <c r="E662" s="16"/>
      <c r="F662" s="17"/>
      <c r="G662" s="16"/>
      <c r="H662" s="16"/>
      <c r="I662" s="16"/>
      <c r="J662" s="22"/>
      <c r="K662" s="16"/>
      <c r="L662" s="16"/>
      <c r="M662" s="16"/>
      <c r="N662" s="19"/>
      <c r="O662" s="19"/>
      <c r="P662" s="19"/>
      <c r="Q662" s="19"/>
      <c r="R662" s="19"/>
      <c r="S662" s="19"/>
      <c r="T662" s="19"/>
      <c r="U662" s="19"/>
      <c r="V662" s="19"/>
      <c r="W662" s="20"/>
      <c r="X662" s="20"/>
    </row>
    <row r="663" spans="1:24" ht="15.75" hidden="1" customHeight="1" x14ac:dyDescent="0.25">
      <c r="A663" s="16"/>
      <c r="B663" s="16" t="str">
        <f t="shared" si="2"/>
        <v/>
      </c>
      <c r="C663" s="16"/>
      <c r="D663" s="16"/>
      <c r="E663" s="16"/>
      <c r="F663" s="17"/>
      <c r="G663" s="16"/>
      <c r="H663" s="16"/>
      <c r="I663" s="16"/>
      <c r="J663" s="22"/>
      <c r="K663" s="16"/>
      <c r="L663" s="16"/>
      <c r="M663" s="16"/>
      <c r="N663" s="19"/>
      <c r="O663" s="19"/>
      <c r="P663" s="19"/>
      <c r="Q663" s="19"/>
      <c r="R663" s="19"/>
      <c r="S663" s="19"/>
      <c r="T663" s="19"/>
      <c r="U663" s="19"/>
      <c r="V663" s="19"/>
      <c r="W663" s="20"/>
      <c r="X663" s="20"/>
    </row>
    <row r="664" spans="1:24" ht="15.75" hidden="1" customHeight="1" x14ac:dyDescent="0.25">
      <c r="A664" s="16"/>
      <c r="B664" s="16" t="str">
        <f t="shared" si="2"/>
        <v/>
      </c>
      <c r="C664" s="16"/>
      <c r="D664" s="16"/>
      <c r="E664" s="16"/>
      <c r="F664" s="17"/>
      <c r="G664" s="16"/>
      <c r="H664" s="16"/>
      <c r="I664" s="16"/>
      <c r="J664" s="22"/>
      <c r="K664" s="16"/>
      <c r="L664" s="16"/>
      <c r="M664" s="16"/>
      <c r="N664" s="19"/>
      <c r="O664" s="19"/>
      <c r="P664" s="19"/>
      <c r="Q664" s="19"/>
      <c r="R664" s="19"/>
      <c r="S664" s="19"/>
      <c r="T664" s="19"/>
      <c r="U664" s="19"/>
      <c r="V664" s="19"/>
      <c r="W664" s="20"/>
      <c r="X664" s="20"/>
    </row>
    <row r="665" spans="1:24" ht="15.75" hidden="1" customHeight="1" x14ac:dyDescent="0.25">
      <c r="A665" s="16"/>
      <c r="B665" s="16" t="str">
        <f t="shared" si="2"/>
        <v/>
      </c>
      <c r="C665" s="16"/>
      <c r="D665" s="16"/>
      <c r="E665" s="16"/>
      <c r="F665" s="17"/>
      <c r="G665" s="16"/>
      <c r="H665" s="16"/>
      <c r="I665" s="16"/>
      <c r="J665" s="22"/>
      <c r="K665" s="16"/>
      <c r="L665" s="16"/>
      <c r="M665" s="16"/>
      <c r="N665" s="19"/>
      <c r="O665" s="19"/>
      <c r="P665" s="19"/>
      <c r="Q665" s="19"/>
      <c r="R665" s="19"/>
      <c r="S665" s="19"/>
      <c r="T665" s="19"/>
      <c r="U665" s="19"/>
      <c r="V665" s="19"/>
      <c r="W665" s="20"/>
      <c r="X665" s="20"/>
    </row>
    <row r="666" spans="1:24" ht="15.75" hidden="1" customHeight="1" x14ac:dyDescent="0.25">
      <c r="A666" s="16"/>
      <c r="B666" s="16" t="str">
        <f t="shared" si="2"/>
        <v/>
      </c>
      <c r="C666" s="16"/>
      <c r="D666" s="16"/>
      <c r="E666" s="16"/>
      <c r="F666" s="17"/>
      <c r="G666" s="16"/>
      <c r="H666" s="16"/>
      <c r="I666" s="16"/>
      <c r="J666" s="22"/>
      <c r="K666" s="16"/>
      <c r="L666" s="16"/>
      <c r="M666" s="16"/>
      <c r="N666" s="19"/>
      <c r="O666" s="19"/>
      <c r="P666" s="19"/>
      <c r="Q666" s="19"/>
      <c r="R666" s="19"/>
      <c r="S666" s="19"/>
      <c r="T666" s="19"/>
      <c r="U666" s="19"/>
      <c r="V666" s="19"/>
      <c r="W666" s="20"/>
      <c r="X666" s="20"/>
    </row>
    <row r="667" spans="1:24" ht="15.75" hidden="1" customHeight="1" x14ac:dyDescent="0.25">
      <c r="A667" s="16"/>
      <c r="B667" s="16" t="str">
        <f t="shared" si="2"/>
        <v/>
      </c>
      <c r="C667" s="16"/>
      <c r="D667" s="16"/>
      <c r="E667" s="16"/>
      <c r="F667" s="17"/>
      <c r="G667" s="16"/>
      <c r="H667" s="16"/>
      <c r="I667" s="16"/>
      <c r="J667" s="22"/>
      <c r="K667" s="16"/>
      <c r="L667" s="16"/>
      <c r="M667" s="16"/>
      <c r="N667" s="19"/>
      <c r="O667" s="19"/>
      <c r="P667" s="19"/>
      <c r="Q667" s="19"/>
      <c r="R667" s="19"/>
      <c r="S667" s="19"/>
      <c r="T667" s="19"/>
      <c r="U667" s="19"/>
      <c r="V667" s="19"/>
      <c r="W667" s="20"/>
      <c r="X667" s="20"/>
    </row>
    <row r="668" spans="1:24" ht="15.75" hidden="1" customHeight="1" x14ac:dyDescent="0.25">
      <c r="A668" s="16"/>
      <c r="B668" s="16" t="str">
        <f t="shared" si="2"/>
        <v/>
      </c>
      <c r="C668" s="16"/>
      <c r="D668" s="16"/>
      <c r="E668" s="16"/>
      <c r="F668" s="17"/>
      <c r="G668" s="16"/>
      <c r="H668" s="16"/>
      <c r="I668" s="16"/>
      <c r="J668" s="22"/>
      <c r="K668" s="16"/>
      <c r="L668" s="16"/>
      <c r="M668" s="16"/>
      <c r="N668" s="19"/>
      <c r="O668" s="19"/>
      <c r="P668" s="19"/>
      <c r="Q668" s="19"/>
      <c r="R668" s="19"/>
      <c r="S668" s="19"/>
      <c r="T668" s="19"/>
      <c r="U668" s="19"/>
      <c r="V668" s="19"/>
      <c r="W668" s="20"/>
      <c r="X668" s="20"/>
    </row>
    <row r="669" spans="1:24" ht="15.75" hidden="1" customHeight="1" x14ac:dyDescent="0.25">
      <c r="A669" s="16"/>
      <c r="B669" s="16" t="str">
        <f t="shared" si="2"/>
        <v/>
      </c>
      <c r="C669" s="16"/>
      <c r="D669" s="16"/>
      <c r="E669" s="16"/>
      <c r="F669" s="17"/>
      <c r="G669" s="16"/>
      <c r="H669" s="16"/>
      <c r="I669" s="16"/>
      <c r="J669" s="22"/>
      <c r="K669" s="16"/>
      <c r="L669" s="16"/>
      <c r="M669" s="16"/>
      <c r="N669" s="19"/>
      <c r="O669" s="19"/>
      <c r="P669" s="19"/>
      <c r="Q669" s="19"/>
      <c r="R669" s="19"/>
      <c r="S669" s="19"/>
      <c r="T669" s="19"/>
      <c r="U669" s="19"/>
      <c r="V669" s="19"/>
      <c r="W669" s="20"/>
      <c r="X669" s="20"/>
    </row>
    <row r="670" spans="1:24" ht="15.75" hidden="1" customHeight="1" x14ac:dyDescent="0.25">
      <c r="A670" s="16"/>
      <c r="B670" s="16" t="str">
        <f t="shared" si="2"/>
        <v/>
      </c>
      <c r="C670" s="16"/>
      <c r="D670" s="16"/>
      <c r="E670" s="16"/>
      <c r="F670" s="17"/>
      <c r="G670" s="16"/>
      <c r="H670" s="16"/>
      <c r="I670" s="16"/>
      <c r="J670" s="22"/>
      <c r="K670" s="16"/>
      <c r="L670" s="16"/>
      <c r="M670" s="16"/>
      <c r="N670" s="19"/>
      <c r="O670" s="19"/>
      <c r="P670" s="19"/>
      <c r="Q670" s="19"/>
      <c r="R670" s="19"/>
      <c r="S670" s="19"/>
      <c r="T670" s="19"/>
      <c r="U670" s="19"/>
      <c r="V670" s="19"/>
      <c r="W670" s="20"/>
      <c r="X670" s="20"/>
    </row>
    <row r="671" spans="1:24" ht="15.75" hidden="1" customHeight="1" x14ac:dyDescent="0.25">
      <c r="A671" s="16"/>
      <c r="B671" s="16" t="str">
        <f t="shared" si="2"/>
        <v/>
      </c>
      <c r="C671" s="16"/>
      <c r="D671" s="16"/>
      <c r="E671" s="16"/>
      <c r="F671" s="17"/>
      <c r="G671" s="16"/>
      <c r="H671" s="16"/>
      <c r="I671" s="16"/>
      <c r="J671" s="22"/>
      <c r="K671" s="16"/>
      <c r="L671" s="16"/>
      <c r="M671" s="16"/>
      <c r="N671" s="19"/>
      <c r="O671" s="19"/>
      <c r="P671" s="19"/>
      <c r="Q671" s="19"/>
      <c r="R671" s="19"/>
      <c r="S671" s="19"/>
      <c r="T671" s="19"/>
      <c r="U671" s="19"/>
      <c r="V671" s="19"/>
      <c r="W671" s="20"/>
      <c r="X671" s="20"/>
    </row>
    <row r="672" spans="1:24" ht="15.75" hidden="1" customHeight="1" x14ac:dyDescent="0.25">
      <c r="A672" s="16"/>
      <c r="B672" s="16" t="str">
        <f t="shared" si="2"/>
        <v/>
      </c>
      <c r="C672" s="16"/>
      <c r="D672" s="16"/>
      <c r="E672" s="16"/>
      <c r="F672" s="17"/>
      <c r="G672" s="16"/>
      <c r="H672" s="16"/>
      <c r="I672" s="16"/>
      <c r="J672" s="22"/>
      <c r="K672" s="16"/>
      <c r="L672" s="16"/>
      <c r="M672" s="16"/>
      <c r="N672" s="19"/>
      <c r="O672" s="19"/>
      <c r="P672" s="19"/>
      <c r="Q672" s="19"/>
      <c r="R672" s="19"/>
      <c r="S672" s="19"/>
      <c r="T672" s="19"/>
      <c r="U672" s="19"/>
      <c r="V672" s="19"/>
      <c r="W672" s="20"/>
      <c r="X672" s="20"/>
    </row>
    <row r="673" spans="1:24" ht="15.75" hidden="1" customHeight="1" x14ac:dyDescent="0.25">
      <c r="A673" s="16"/>
      <c r="B673" s="16" t="str">
        <f t="shared" si="2"/>
        <v/>
      </c>
      <c r="C673" s="16"/>
      <c r="D673" s="16"/>
      <c r="E673" s="16"/>
      <c r="F673" s="17"/>
      <c r="G673" s="16"/>
      <c r="H673" s="16"/>
      <c r="I673" s="16"/>
      <c r="J673" s="22"/>
      <c r="K673" s="16"/>
      <c r="L673" s="16"/>
      <c r="M673" s="16"/>
      <c r="N673" s="19"/>
      <c r="O673" s="19"/>
      <c r="P673" s="19"/>
      <c r="Q673" s="19"/>
      <c r="R673" s="19"/>
      <c r="S673" s="19"/>
      <c r="T673" s="19"/>
      <c r="U673" s="19"/>
      <c r="V673" s="19"/>
      <c r="W673" s="20"/>
      <c r="X673" s="20"/>
    </row>
    <row r="674" spans="1:24" ht="15.75" hidden="1" customHeight="1" x14ac:dyDescent="0.25">
      <c r="A674" s="16"/>
      <c r="B674" s="16" t="str">
        <f t="shared" si="2"/>
        <v/>
      </c>
      <c r="C674" s="16"/>
      <c r="D674" s="16"/>
      <c r="E674" s="16"/>
      <c r="F674" s="17"/>
      <c r="G674" s="16"/>
      <c r="H674" s="16"/>
      <c r="I674" s="16"/>
      <c r="J674" s="22"/>
      <c r="K674" s="16"/>
      <c r="L674" s="16"/>
      <c r="M674" s="16"/>
      <c r="N674" s="19"/>
      <c r="O674" s="19"/>
      <c r="P674" s="19"/>
      <c r="Q674" s="19"/>
      <c r="R674" s="19"/>
      <c r="S674" s="19"/>
      <c r="T674" s="19"/>
      <c r="U674" s="19"/>
      <c r="V674" s="19"/>
      <c r="W674" s="20"/>
      <c r="X674" s="20"/>
    </row>
    <row r="675" spans="1:24" ht="15.75" hidden="1" customHeight="1" x14ac:dyDescent="0.25">
      <c r="A675" s="16"/>
      <c r="B675" s="16" t="str">
        <f t="shared" si="2"/>
        <v/>
      </c>
      <c r="C675" s="16"/>
      <c r="D675" s="16"/>
      <c r="E675" s="16"/>
      <c r="F675" s="17"/>
      <c r="G675" s="16"/>
      <c r="H675" s="16"/>
      <c r="I675" s="16"/>
      <c r="J675" s="22"/>
      <c r="K675" s="16"/>
      <c r="L675" s="16"/>
      <c r="M675" s="16"/>
      <c r="N675" s="19"/>
      <c r="O675" s="19"/>
      <c r="P675" s="19"/>
      <c r="Q675" s="19"/>
      <c r="R675" s="19"/>
      <c r="S675" s="19"/>
      <c r="T675" s="19"/>
      <c r="U675" s="19"/>
      <c r="V675" s="19"/>
      <c r="W675" s="20"/>
      <c r="X675" s="20"/>
    </row>
    <row r="676" spans="1:24" ht="15.75" hidden="1" customHeight="1" x14ac:dyDescent="0.25">
      <c r="A676" s="16"/>
      <c r="B676" s="16" t="str">
        <f t="shared" si="2"/>
        <v/>
      </c>
      <c r="C676" s="16"/>
      <c r="D676" s="16"/>
      <c r="E676" s="16"/>
      <c r="F676" s="17"/>
      <c r="G676" s="16"/>
      <c r="H676" s="16"/>
      <c r="I676" s="16"/>
      <c r="J676" s="22"/>
      <c r="K676" s="16"/>
      <c r="L676" s="16"/>
      <c r="M676" s="16"/>
      <c r="N676" s="19"/>
      <c r="O676" s="19"/>
      <c r="P676" s="19"/>
      <c r="Q676" s="19"/>
      <c r="R676" s="19"/>
      <c r="S676" s="19"/>
      <c r="T676" s="19"/>
      <c r="U676" s="19"/>
      <c r="V676" s="19"/>
      <c r="W676" s="20"/>
      <c r="X676" s="20"/>
    </row>
    <row r="677" spans="1:24" ht="15.75" hidden="1" customHeight="1" x14ac:dyDescent="0.25">
      <c r="A677" s="16"/>
      <c r="B677" s="16" t="str">
        <f t="shared" si="2"/>
        <v/>
      </c>
      <c r="C677" s="16"/>
      <c r="D677" s="16"/>
      <c r="E677" s="16"/>
      <c r="F677" s="17"/>
      <c r="G677" s="16"/>
      <c r="H677" s="16"/>
      <c r="I677" s="16"/>
      <c r="J677" s="22"/>
      <c r="K677" s="16"/>
      <c r="L677" s="16"/>
      <c r="M677" s="16"/>
      <c r="N677" s="19"/>
      <c r="O677" s="19"/>
      <c r="P677" s="19"/>
      <c r="Q677" s="19"/>
      <c r="R677" s="19"/>
      <c r="S677" s="19"/>
      <c r="T677" s="19"/>
      <c r="U677" s="19"/>
      <c r="V677" s="19"/>
      <c r="W677" s="20"/>
      <c r="X677" s="20"/>
    </row>
    <row r="678" spans="1:24" ht="15.75" hidden="1" customHeight="1" x14ac:dyDescent="0.25">
      <c r="A678" s="16"/>
      <c r="B678" s="16" t="str">
        <f t="shared" si="2"/>
        <v/>
      </c>
      <c r="C678" s="16"/>
      <c r="D678" s="16"/>
      <c r="E678" s="16"/>
      <c r="F678" s="17"/>
      <c r="G678" s="16"/>
      <c r="H678" s="16"/>
      <c r="I678" s="16"/>
      <c r="J678" s="22"/>
      <c r="K678" s="16"/>
      <c r="L678" s="16"/>
      <c r="M678" s="16"/>
      <c r="N678" s="19"/>
      <c r="O678" s="19"/>
      <c r="P678" s="19"/>
      <c r="Q678" s="19"/>
      <c r="R678" s="19"/>
      <c r="S678" s="19"/>
      <c r="T678" s="19"/>
      <c r="U678" s="19"/>
      <c r="V678" s="19"/>
      <c r="W678" s="20"/>
      <c r="X678" s="20"/>
    </row>
    <row r="679" spans="1:24" ht="15.75" hidden="1" customHeight="1" x14ac:dyDescent="0.25">
      <c r="A679" s="16"/>
      <c r="B679" s="16" t="str">
        <f t="shared" si="2"/>
        <v/>
      </c>
      <c r="C679" s="16"/>
      <c r="D679" s="16"/>
      <c r="E679" s="16"/>
      <c r="F679" s="17"/>
      <c r="G679" s="16"/>
      <c r="H679" s="16"/>
      <c r="I679" s="16"/>
      <c r="J679" s="22"/>
      <c r="K679" s="16"/>
      <c r="L679" s="16"/>
      <c r="M679" s="16"/>
      <c r="N679" s="19"/>
      <c r="O679" s="19"/>
      <c r="P679" s="19"/>
      <c r="Q679" s="19"/>
      <c r="R679" s="19"/>
      <c r="S679" s="19"/>
      <c r="T679" s="19"/>
      <c r="U679" s="19"/>
      <c r="V679" s="19"/>
      <c r="W679" s="20"/>
      <c r="X679" s="20"/>
    </row>
    <row r="680" spans="1:24" ht="15.75" hidden="1" customHeight="1" x14ac:dyDescent="0.25">
      <c r="A680" s="16"/>
      <c r="B680" s="16" t="str">
        <f t="shared" si="2"/>
        <v/>
      </c>
      <c r="C680" s="16"/>
      <c r="D680" s="16"/>
      <c r="E680" s="16"/>
      <c r="F680" s="17"/>
      <c r="G680" s="16"/>
      <c r="H680" s="16"/>
      <c r="I680" s="16"/>
      <c r="J680" s="22"/>
      <c r="K680" s="16"/>
      <c r="L680" s="16"/>
      <c r="M680" s="16"/>
      <c r="N680" s="19"/>
      <c r="O680" s="19"/>
      <c r="P680" s="19"/>
      <c r="Q680" s="19"/>
      <c r="R680" s="19"/>
      <c r="S680" s="19"/>
      <c r="T680" s="19"/>
      <c r="U680" s="19"/>
      <c r="V680" s="19"/>
      <c r="W680" s="20"/>
      <c r="X680" s="20"/>
    </row>
    <row r="681" spans="1:24" ht="15.75" hidden="1" customHeight="1" x14ac:dyDescent="0.25">
      <c r="A681" s="16"/>
      <c r="B681" s="16" t="str">
        <f t="shared" si="2"/>
        <v/>
      </c>
      <c r="C681" s="16"/>
      <c r="D681" s="16"/>
      <c r="E681" s="16"/>
      <c r="F681" s="17"/>
      <c r="G681" s="16"/>
      <c r="H681" s="16"/>
      <c r="I681" s="16"/>
      <c r="J681" s="22"/>
      <c r="K681" s="16"/>
      <c r="L681" s="16"/>
      <c r="M681" s="16"/>
      <c r="N681" s="19"/>
      <c r="O681" s="19"/>
      <c r="P681" s="19"/>
      <c r="Q681" s="19"/>
      <c r="R681" s="19"/>
      <c r="S681" s="19"/>
      <c r="T681" s="19"/>
      <c r="U681" s="19"/>
      <c r="V681" s="19"/>
      <c r="W681" s="20"/>
      <c r="X681" s="20"/>
    </row>
    <row r="682" spans="1:24" ht="15.75" hidden="1" customHeight="1" x14ac:dyDescent="0.25">
      <c r="A682" s="16"/>
      <c r="B682" s="16" t="str">
        <f t="shared" si="2"/>
        <v/>
      </c>
      <c r="C682" s="16"/>
      <c r="D682" s="16"/>
      <c r="E682" s="16"/>
      <c r="F682" s="17"/>
      <c r="G682" s="16"/>
      <c r="H682" s="16"/>
      <c r="I682" s="16"/>
      <c r="J682" s="22"/>
      <c r="K682" s="16"/>
      <c r="L682" s="16"/>
      <c r="M682" s="16"/>
      <c r="N682" s="19"/>
      <c r="O682" s="19"/>
      <c r="P682" s="19"/>
      <c r="Q682" s="19"/>
      <c r="R682" s="19"/>
      <c r="S682" s="19"/>
      <c r="T682" s="19"/>
      <c r="U682" s="19"/>
      <c r="V682" s="19"/>
      <c r="W682" s="20"/>
      <c r="X682" s="20"/>
    </row>
    <row r="683" spans="1:24" ht="15.75" hidden="1" customHeight="1" x14ac:dyDescent="0.25">
      <c r="A683" s="16"/>
      <c r="B683" s="16" t="str">
        <f t="shared" si="2"/>
        <v/>
      </c>
      <c r="C683" s="16"/>
      <c r="D683" s="16"/>
      <c r="E683" s="16"/>
      <c r="F683" s="17"/>
      <c r="G683" s="16"/>
      <c r="H683" s="16"/>
      <c r="I683" s="16"/>
      <c r="J683" s="22"/>
      <c r="K683" s="16"/>
      <c r="L683" s="16"/>
      <c r="M683" s="16"/>
      <c r="N683" s="19"/>
      <c r="O683" s="19"/>
      <c r="P683" s="19"/>
      <c r="Q683" s="19"/>
      <c r="R683" s="19"/>
      <c r="S683" s="19"/>
      <c r="T683" s="19"/>
      <c r="U683" s="19"/>
      <c r="V683" s="19"/>
      <c r="W683" s="20"/>
      <c r="X683" s="20"/>
    </row>
    <row r="684" spans="1:24" ht="15.75" hidden="1" customHeight="1" x14ac:dyDescent="0.25">
      <c r="A684" s="16"/>
      <c r="B684" s="16" t="str">
        <f t="shared" si="2"/>
        <v/>
      </c>
      <c r="C684" s="16"/>
      <c r="D684" s="16"/>
      <c r="E684" s="16"/>
      <c r="F684" s="17"/>
      <c r="G684" s="16"/>
      <c r="H684" s="16"/>
      <c r="I684" s="16"/>
      <c r="J684" s="22"/>
      <c r="K684" s="16"/>
      <c r="L684" s="16"/>
      <c r="M684" s="16"/>
      <c r="N684" s="19"/>
      <c r="O684" s="19"/>
      <c r="P684" s="19"/>
      <c r="Q684" s="19"/>
      <c r="R684" s="19"/>
      <c r="S684" s="19"/>
      <c r="T684" s="19"/>
      <c r="U684" s="19"/>
      <c r="V684" s="19"/>
      <c r="W684" s="20"/>
      <c r="X684" s="20"/>
    </row>
    <row r="685" spans="1:24" ht="15.75" hidden="1" customHeight="1" x14ac:dyDescent="0.25">
      <c r="A685" s="16"/>
      <c r="B685" s="16" t="str">
        <f t="shared" si="2"/>
        <v/>
      </c>
      <c r="C685" s="16"/>
      <c r="D685" s="16"/>
      <c r="E685" s="16"/>
      <c r="F685" s="17"/>
      <c r="G685" s="16"/>
      <c r="H685" s="16"/>
      <c r="I685" s="16"/>
      <c r="J685" s="22"/>
      <c r="K685" s="16"/>
      <c r="L685" s="16"/>
      <c r="M685" s="16"/>
      <c r="N685" s="19"/>
      <c r="O685" s="19"/>
      <c r="P685" s="19"/>
      <c r="Q685" s="19"/>
      <c r="R685" s="19"/>
      <c r="S685" s="19"/>
      <c r="T685" s="19"/>
      <c r="U685" s="19"/>
      <c r="V685" s="19"/>
      <c r="W685" s="20"/>
      <c r="X685" s="20"/>
    </row>
    <row r="686" spans="1:24" ht="15.75" hidden="1" customHeight="1" x14ac:dyDescent="0.25">
      <c r="A686" s="16"/>
      <c r="B686" s="16" t="str">
        <f t="shared" si="2"/>
        <v/>
      </c>
      <c r="C686" s="16"/>
      <c r="D686" s="16"/>
      <c r="E686" s="16"/>
      <c r="F686" s="17"/>
      <c r="G686" s="16"/>
      <c r="H686" s="16"/>
      <c r="I686" s="16"/>
      <c r="J686" s="22"/>
      <c r="K686" s="16"/>
      <c r="L686" s="16"/>
      <c r="M686" s="16"/>
      <c r="N686" s="19"/>
      <c r="O686" s="19"/>
      <c r="P686" s="19"/>
      <c r="Q686" s="19"/>
      <c r="R686" s="19"/>
      <c r="S686" s="19"/>
      <c r="T686" s="19"/>
      <c r="U686" s="19"/>
      <c r="V686" s="19"/>
      <c r="W686" s="20"/>
      <c r="X686" s="20"/>
    </row>
    <row r="687" spans="1:24" ht="15.75" hidden="1" customHeight="1" x14ac:dyDescent="0.25">
      <c r="A687" s="16"/>
      <c r="B687" s="16" t="str">
        <f t="shared" si="2"/>
        <v/>
      </c>
      <c r="C687" s="16"/>
      <c r="D687" s="16"/>
      <c r="E687" s="16"/>
      <c r="F687" s="17"/>
      <c r="G687" s="16"/>
      <c r="H687" s="16"/>
      <c r="I687" s="16"/>
      <c r="J687" s="22"/>
      <c r="K687" s="16"/>
      <c r="L687" s="16"/>
      <c r="M687" s="16"/>
      <c r="N687" s="19"/>
      <c r="O687" s="19"/>
      <c r="P687" s="19"/>
      <c r="Q687" s="19"/>
      <c r="R687" s="19"/>
      <c r="S687" s="19"/>
      <c r="T687" s="19"/>
      <c r="U687" s="19"/>
      <c r="V687" s="19"/>
      <c r="W687" s="20"/>
      <c r="X687" s="20"/>
    </row>
    <row r="688" spans="1:24" ht="15.75" hidden="1" customHeight="1" x14ac:dyDescent="0.25">
      <c r="A688" s="16"/>
      <c r="B688" s="16" t="str">
        <f t="shared" si="2"/>
        <v/>
      </c>
      <c r="C688" s="16"/>
      <c r="D688" s="16"/>
      <c r="E688" s="16"/>
      <c r="F688" s="17"/>
      <c r="G688" s="16"/>
      <c r="H688" s="16"/>
      <c r="I688" s="16"/>
      <c r="J688" s="22"/>
      <c r="K688" s="16"/>
      <c r="L688" s="16"/>
      <c r="M688" s="16"/>
      <c r="N688" s="19"/>
      <c r="O688" s="19"/>
      <c r="P688" s="19"/>
      <c r="Q688" s="19"/>
      <c r="R688" s="19"/>
      <c r="S688" s="19"/>
      <c r="T688" s="19"/>
      <c r="U688" s="19"/>
      <c r="V688" s="19"/>
      <c r="W688" s="20"/>
      <c r="X688" s="20"/>
    </row>
    <row r="689" spans="1:24" ht="15.75" hidden="1" customHeight="1" x14ac:dyDescent="0.25">
      <c r="A689" s="16"/>
      <c r="B689" s="16" t="str">
        <f t="shared" si="2"/>
        <v/>
      </c>
      <c r="C689" s="16"/>
      <c r="D689" s="16"/>
      <c r="E689" s="16"/>
      <c r="F689" s="17"/>
      <c r="G689" s="16"/>
      <c r="H689" s="16"/>
      <c r="I689" s="16"/>
      <c r="J689" s="22"/>
      <c r="K689" s="16"/>
      <c r="L689" s="16"/>
      <c r="M689" s="16"/>
      <c r="N689" s="19"/>
      <c r="O689" s="19"/>
      <c r="P689" s="19"/>
      <c r="Q689" s="19"/>
      <c r="R689" s="19"/>
      <c r="S689" s="19"/>
      <c r="T689" s="19"/>
      <c r="U689" s="19"/>
      <c r="V689" s="19"/>
      <c r="W689" s="20"/>
      <c r="X689" s="20"/>
    </row>
    <row r="690" spans="1:24" ht="15.75" hidden="1" customHeight="1" x14ac:dyDescent="0.25">
      <c r="A690" s="16"/>
      <c r="B690" s="16" t="str">
        <f t="shared" si="2"/>
        <v/>
      </c>
      <c r="C690" s="16"/>
      <c r="D690" s="16"/>
      <c r="E690" s="16"/>
      <c r="F690" s="17"/>
      <c r="G690" s="16"/>
      <c r="H690" s="16"/>
      <c r="I690" s="16"/>
      <c r="J690" s="22"/>
      <c r="K690" s="16"/>
      <c r="L690" s="16"/>
      <c r="M690" s="16"/>
      <c r="N690" s="19"/>
      <c r="O690" s="19"/>
      <c r="P690" s="19"/>
      <c r="Q690" s="19"/>
      <c r="R690" s="19"/>
      <c r="S690" s="19"/>
      <c r="T690" s="19"/>
      <c r="U690" s="19"/>
      <c r="V690" s="19"/>
      <c r="W690" s="20"/>
      <c r="X690" s="20"/>
    </row>
    <row r="691" spans="1:24" ht="15.75" hidden="1" customHeight="1" x14ac:dyDescent="0.25">
      <c r="A691" s="16"/>
      <c r="B691" s="16" t="str">
        <f t="shared" si="2"/>
        <v/>
      </c>
      <c r="C691" s="16"/>
      <c r="D691" s="16"/>
      <c r="E691" s="16"/>
      <c r="F691" s="17"/>
      <c r="G691" s="16"/>
      <c r="H691" s="16"/>
      <c r="I691" s="16"/>
      <c r="J691" s="22"/>
      <c r="K691" s="16"/>
      <c r="L691" s="16"/>
      <c r="M691" s="16"/>
      <c r="N691" s="19"/>
      <c r="O691" s="19"/>
      <c r="P691" s="19"/>
      <c r="Q691" s="19"/>
      <c r="R691" s="19"/>
      <c r="S691" s="19"/>
      <c r="T691" s="19"/>
      <c r="U691" s="19"/>
      <c r="V691" s="19"/>
      <c r="W691" s="20"/>
      <c r="X691" s="20"/>
    </row>
    <row r="692" spans="1:24" ht="15.75" hidden="1" customHeight="1" x14ac:dyDescent="0.25">
      <c r="A692" s="16"/>
      <c r="B692" s="16" t="str">
        <f t="shared" si="2"/>
        <v/>
      </c>
      <c r="C692" s="16"/>
      <c r="D692" s="16"/>
      <c r="E692" s="16"/>
      <c r="F692" s="17"/>
      <c r="G692" s="16"/>
      <c r="H692" s="16"/>
      <c r="I692" s="16"/>
      <c r="J692" s="22"/>
      <c r="K692" s="16"/>
      <c r="L692" s="16"/>
      <c r="M692" s="16"/>
      <c r="N692" s="19"/>
      <c r="O692" s="19"/>
      <c r="P692" s="19"/>
      <c r="Q692" s="19"/>
      <c r="R692" s="19"/>
      <c r="S692" s="19"/>
      <c r="T692" s="19"/>
      <c r="U692" s="19"/>
      <c r="V692" s="19"/>
      <c r="W692" s="20"/>
      <c r="X692" s="20"/>
    </row>
    <row r="693" spans="1:24" ht="15.75" hidden="1" customHeight="1" x14ac:dyDescent="0.25">
      <c r="A693" s="16"/>
      <c r="B693" s="16" t="str">
        <f t="shared" si="2"/>
        <v/>
      </c>
      <c r="C693" s="16"/>
      <c r="D693" s="16"/>
      <c r="E693" s="16"/>
      <c r="F693" s="17"/>
      <c r="G693" s="16"/>
      <c r="H693" s="16"/>
      <c r="I693" s="16"/>
      <c r="J693" s="22"/>
      <c r="K693" s="16"/>
      <c r="L693" s="16"/>
      <c r="M693" s="16"/>
      <c r="N693" s="19"/>
      <c r="O693" s="19"/>
      <c r="P693" s="19"/>
      <c r="Q693" s="19"/>
      <c r="R693" s="19"/>
      <c r="S693" s="19"/>
      <c r="T693" s="19"/>
      <c r="U693" s="19"/>
      <c r="V693" s="19"/>
      <c r="W693" s="20"/>
      <c r="X693" s="20"/>
    </row>
    <row r="694" spans="1:24" ht="15.75" hidden="1" customHeight="1" x14ac:dyDescent="0.25">
      <c r="A694" s="16"/>
      <c r="B694" s="16" t="str">
        <f t="shared" si="2"/>
        <v/>
      </c>
      <c r="C694" s="16"/>
      <c r="D694" s="16"/>
      <c r="E694" s="16"/>
      <c r="F694" s="17"/>
      <c r="G694" s="16"/>
      <c r="H694" s="16"/>
      <c r="I694" s="16"/>
      <c r="J694" s="22"/>
      <c r="K694" s="16"/>
      <c r="L694" s="16"/>
      <c r="M694" s="16"/>
      <c r="N694" s="19"/>
      <c r="O694" s="19"/>
      <c r="P694" s="19"/>
      <c r="Q694" s="19"/>
      <c r="R694" s="19"/>
      <c r="S694" s="19"/>
      <c r="T694" s="19"/>
      <c r="U694" s="19"/>
      <c r="V694" s="19"/>
      <c r="W694" s="20"/>
      <c r="X694" s="20"/>
    </row>
    <row r="695" spans="1:24" ht="15.75" hidden="1" customHeight="1" x14ac:dyDescent="0.25">
      <c r="A695" s="16"/>
      <c r="B695" s="16" t="str">
        <f t="shared" si="2"/>
        <v/>
      </c>
      <c r="C695" s="16"/>
      <c r="D695" s="16"/>
      <c r="E695" s="16"/>
      <c r="F695" s="17"/>
      <c r="G695" s="16"/>
      <c r="H695" s="16"/>
      <c r="I695" s="16"/>
      <c r="J695" s="22"/>
      <c r="K695" s="16"/>
      <c r="L695" s="16"/>
      <c r="M695" s="16"/>
      <c r="N695" s="19"/>
      <c r="O695" s="19"/>
      <c r="P695" s="19"/>
      <c r="Q695" s="19"/>
      <c r="R695" s="19"/>
      <c r="S695" s="19"/>
      <c r="T695" s="19"/>
      <c r="U695" s="19"/>
      <c r="V695" s="19"/>
      <c r="W695" s="20"/>
      <c r="X695" s="20"/>
    </row>
    <row r="696" spans="1:24" ht="15.75" hidden="1" customHeight="1" x14ac:dyDescent="0.25">
      <c r="A696" s="16"/>
      <c r="B696" s="16" t="str">
        <f t="shared" si="2"/>
        <v/>
      </c>
      <c r="C696" s="16"/>
      <c r="D696" s="16"/>
      <c r="E696" s="16"/>
      <c r="F696" s="17"/>
      <c r="G696" s="16"/>
      <c r="H696" s="16"/>
      <c r="I696" s="16"/>
      <c r="J696" s="22"/>
      <c r="K696" s="16"/>
      <c r="L696" s="16"/>
      <c r="M696" s="16"/>
      <c r="N696" s="19"/>
      <c r="O696" s="19"/>
      <c r="P696" s="19"/>
      <c r="Q696" s="19"/>
      <c r="R696" s="19"/>
      <c r="S696" s="19"/>
      <c r="T696" s="19"/>
      <c r="U696" s="19"/>
      <c r="V696" s="19"/>
      <c r="W696" s="20"/>
      <c r="X696" s="20"/>
    </row>
    <row r="697" spans="1:24" ht="15.75" hidden="1" customHeight="1" x14ac:dyDescent="0.25">
      <c r="A697" s="16"/>
      <c r="B697" s="16" t="str">
        <f t="shared" si="2"/>
        <v/>
      </c>
      <c r="C697" s="16"/>
      <c r="D697" s="16"/>
      <c r="E697" s="16"/>
      <c r="F697" s="17"/>
      <c r="G697" s="16"/>
      <c r="H697" s="16"/>
      <c r="I697" s="16"/>
      <c r="J697" s="22"/>
      <c r="K697" s="16"/>
      <c r="L697" s="16"/>
      <c r="M697" s="16"/>
      <c r="N697" s="19"/>
      <c r="O697" s="19"/>
      <c r="P697" s="19"/>
      <c r="Q697" s="19"/>
      <c r="R697" s="19"/>
      <c r="S697" s="19"/>
      <c r="T697" s="19"/>
      <c r="U697" s="19"/>
      <c r="V697" s="19"/>
      <c r="W697" s="20"/>
      <c r="X697" s="20"/>
    </row>
    <row r="698" spans="1:24" ht="15.75" hidden="1" customHeight="1" x14ac:dyDescent="0.25">
      <c r="A698" s="16"/>
      <c r="B698" s="16" t="str">
        <f t="shared" si="2"/>
        <v/>
      </c>
      <c r="C698" s="16"/>
      <c r="D698" s="16"/>
      <c r="E698" s="16"/>
      <c r="F698" s="17"/>
      <c r="G698" s="16"/>
      <c r="H698" s="16"/>
      <c r="I698" s="16"/>
      <c r="J698" s="22"/>
      <c r="K698" s="16"/>
      <c r="L698" s="16"/>
      <c r="M698" s="16"/>
      <c r="N698" s="19"/>
      <c r="O698" s="19"/>
      <c r="P698" s="19"/>
      <c r="Q698" s="19"/>
      <c r="R698" s="19"/>
      <c r="S698" s="19"/>
      <c r="T698" s="19"/>
      <c r="U698" s="19"/>
      <c r="V698" s="19"/>
      <c r="W698" s="20"/>
      <c r="X698" s="20"/>
    </row>
    <row r="699" spans="1:24" ht="15.75" hidden="1" customHeight="1" x14ac:dyDescent="0.25">
      <c r="A699" s="16"/>
      <c r="B699" s="16" t="str">
        <f t="shared" si="2"/>
        <v/>
      </c>
      <c r="C699" s="16"/>
      <c r="D699" s="16"/>
      <c r="E699" s="16"/>
      <c r="F699" s="17"/>
      <c r="G699" s="16"/>
      <c r="H699" s="16"/>
      <c r="I699" s="16"/>
      <c r="J699" s="22"/>
      <c r="K699" s="16"/>
      <c r="L699" s="16"/>
      <c r="M699" s="16"/>
      <c r="N699" s="19"/>
      <c r="O699" s="19"/>
      <c r="P699" s="19"/>
      <c r="Q699" s="19"/>
      <c r="R699" s="19"/>
      <c r="S699" s="19"/>
      <c r="T699" s="19"/>
      <c r="U699" s="19"/>
      <c r="V699" s="19"/>
      <c r="W699" s="20"/>
      <c r="X699" s="20"/>
    </row>
    <row r="700" spans="1:24" ht="15.75" hidden="1" customHeight="1" x14ac:dyDescent="0.25">
      <c r="A700" s="16"/>
      <c r="B700" s="16" t="str">
        <f t="shared" si="2"/>
        <v/>
      </c>
      <c r="C700" s="16"/>
      <c r="D700" s="16"/>
      <c r="E700" s="16"/>
      <c r="F700" s="17"/>
      <c r="G700" s="16"/>
      <c r="H700" s="16"/>
      <c r="I700" s="16"/>
      <c r="J700" s="22"/>
      <c r="K700" s="16"/>
      <c r="L700" s="16"/>
      <c r="M700" s="16"/>
      <c r="N700" s="19"/>
      <c r="O700" s="19"/>
      <c r="P700" s="19"/>
      <c r="Q700" s="19"/>
      <c r="R700" s="19"/>
      <c r="S700" s="19"/>
      <c r="T700" s="19"/>
      <c r="U700" s="19"/>
      <c r="V700" s="19"/>
      <c r="W700" s="20"/>
      <c r="X700" s="20"/>
    </row>
    <row r="701" spans="1:24" ht="15.75" hidden="1" customHeight="1" x14ac:dyDescent="0.25">
      <c r="A701" s="16"/>
      <c r="B701" s="16" t="str">
        <f t="shared" si="2"/>
        <v/>
      </c>
      <c r="C701" s="16"/>
      <c r="D701" s="16"/>
      <c r="E701" s="16"/>
      <c r="F701" s="17"/>
      <c r="G701" s="16"/>
      <c r="H701" s="16"/>
      <c r="I701" s="16"/>
      <c r="J701" s="22"/>
      <c r="K701" s="16"/>
      <c r="L701" s="16"/>
      <c r="M701" s="16"/>
      <c r="N701" s="19"/>
      <c r="O701" s="19"/>
      <c r="P701" s="19"/>
      <c r="Q701" s="19"/>
      <c r="R701" s="19"/>
      <c r="S701" s="19"/>
      <c r="T701" s="19"/>
      <c r="U701" s="19"/>
      <c r="V701" s="19"/>
      <c r="W701" s="20"/>
      <c r="X701" s="20"/>
    </row>
    <row r="702" spans="1:24" ht="15.75" hidden="1" customHeight="1" x14ac:dyDescent="0.25">
      <c r="A702" s="16"/>
      <c r="B702" s="16" t="str">
        <f t="shared" si="2"/>
        <v/>
      </c>
      <c r="C702" s="16"/>
      <c r="D702" s="16"/>
      <c r="E702" s="16"/>
      <c r="F702" s="17"/>
      <c r="G702" s="16"/>
      <c r="H702" s="16"/>
      <c r="I702" s="16"/>
      <c r="J702" s="22"/>
      <c r="K702" s="16"/>
      <c r="L702" s="16"/>
      <c r="M702" s="16"/>
      <c r="N702" s="19"/>
      <c r="O702" s="19"/>
      <c r="P702" s="19"/>
      <c r="Q702" s="19"/>
      <c r="R702" s="19"/>
      <c r="S702" s="19"/>
      <c r="T702" s="19"/>
      <c r="U702" s="19"/>
      <c r="V702" s="19"/>
      <c r="W702" s="20"/>
      <c r="X702" s="20"/>
    </row>
    <row r="703" spans="1:24" ht="15.75" hidden="1" customHeight="1" x14ac:dyDescent="0.25">
      <c r="A703" s="16"/>
      <c r="B703" s="16" t="str">
        <f t="shared" si="2"/>
        <v/>
      </c>
      <c r="C703" s="16"/>
      <c r="D703" s="16"/>
      <c r="E703" s="16"/>
      <c r="F703" s="17"/>
      <c r="G703" s="16"/>
      <c r="H703" s="16"/>
      <c r="I703" s="16"/>
      <c r="J703" s="22"/>
      <c r="K703" s="16"/>
      <c r="L703" s="16"/>
      <c r="M703" s="16"/>
      <c r="N703" s="19"/>
      <c r="O703" s="19"/>
      <c r="P703" s="19"/>
      <c r="Q703" s="19"/>
      <c r="R703" s="19"/>
      <c r="S703" s="19"/>
      <c r="T703" s="19"/>
      <c r="U703" s="19"/>
      <c r="V703" s="19"/>
      <c r="W703" s="20"/>
      <c r="X703" s="20"/>
    </row>
    <row r="704" spans="1:24" ht="15.75" hidden="1" customHeight="1" x14ac:dyDescent="0.25">
      <c r="A704" s="16"/>
      <c r="B704" s="16" t="str">
        <f t="shared" si="2"/>
        <v/>
      </c>
      <c r="C704" s="16"/>
      <c r="D704" s="16"/>
      <c r="E704" s="16"/>
      <c r="F704" s="17"/>
      <c r="G704" s="16"/>
      <c r="H704" s="16"/>
      <c r="I704" s="16"/>
      <c r="J704" s="22"/>
      <c r="K704" s="16"/>
      <c r="L704" s="16"/>
      <c r="M704" s="16"/>
      <c r="N704" s="19"/>
      <c r="O704" s="19"/>
      <c r="P704" s="19"/>
      <c r="Q704" s="19"/>
      <c r="R704" s="19"/>
      <c r="S704" s="19"/>
      <c r="T704" s="19"/>
      <c r="U704" s="19"/>
      <c r="V704" s="19"/>
      <c r="W704" s="20"/>
      <c r="X704" s="20"/>
    </row>
    <row r="705" spans="1:24" ht="15.75" hidden="1" customHeight="1" x14ac:dyDescent="0.25">
      <c r="A705" s="16"/>
      <c r="B705" s="16" t="str">
        <f t="shared" si="2"/>
        <v/>
      </c>
      <c r="C705" s="16"/>
      <c r="D705" s="16"/>
      <c r="E705" s="16"/>
      <c r="F705" s="17"/>
      <c r="G705" s="16"/>
      <c r="H705" s="16"/>
      <c r="I705" s="16"/>
      <c r="J705" s="22"/>
      <c r="K705" s="16"/>
      <c r="L705" s="16"/>
      <c r="M705" s="16"/>
      <c r="N705" s="19"/>
      <c r="O705" s="19"/>
      <c r="P705" s="19"/>
      <c r="Q705" s="19"/>
      <c r="R705" s="19"/>
      <c r="S705" s="19"/>
      <c r="T705" s="19"/>
      <c r="U705" s="19"/>
      <c r="V705" s="19"/>
      <c r="W705" s="20"/>
      <c r="X705" s="20"/>
    </row>
    <row r="706" spans="1:24" ht="15.75" hidden="1" customHeight="1" x14ac:dyDescent="0.25">
      <c r="A706" s="16"/>
      <c r="B706" s="16" t="str">
        <f t="shared" si="2"/>
        <v/>
      </c>
      <c r="C706" s="16"/>
      <c r="D706" s="16"/>
      <c r="E706" s="16"/>
      <c r="F706" s="17"/>
      <c r="G706" s="16"/>
      <c r="H706" s="16"/>
      <c r="I706" s="16"/>
      <c r="J706" s="22"/>
      <c r="K706" s="16"/>
      <c r="L706" s="16"/>
      <c r="M706" s="16"/>
      <c r="N706" s="19"/>
      <c r="O706" s="19"/>
      <c r="P706" s="19"/>
      <c r="Q706" s="19"/>
      <c r="R706" s="19"/>
      <c r="S706" s="19"/>
      <c r="T706" s="19"/>
      <c r="U706" s="19"/>
      <c r="V706" s="19"/>
      <c r="W706" s="20"/>
      <c r="X706" s="20"/>
    </row>
    <row r="707" spans="1:24" ht="15.75" hidden="1" customHeight="1" x14ac:dyDescent="0.25">
      <c r="A707" s="16"/>
      <c r="B707" s="16" t="str">
        <f t="shared" si="2"/>
        <v/>
      </c>
      <c r="C707" s="16"/>
      <c r="D707" s="16"/>
      <c r="E707" s="16"/>
      <c r="F707" s="17"/>
      <c r="G707" s="16"/>
      <c r="H707" s="16"/>
      <c r="I707" s="16"/>
      <c r="J707" s="22"/>
      <c r="K707" s="16"/>
      <c r="L707" s="16"/>
      <c r="M707" s="16"/>
      <c r="N707" s="19"/>
      <c r="O707" s="19"/>
      <c r="P707" s="19"/>
      <c r="Q707" s="19"/>
      <c r="R707" s="19"/>
      <c r="S707" s="19"/>
      <c r="T707" s="19"/>
      <c r="U707" s="19"/>
      <c r="V707" s="19"/>
      <c r="W707" s="20"/>
      <c r="X707" s="20"/>
    </row>
    <row r="708" spans="1:24" ht="15.75" hidden="1" customHeight="1" x14ac:dyDescent="0.25">
      <c r="A708" s="16"/>
      <c r="B708" s="16" t="str">
        <f t="shared" si="2"/>
        <v/>
      </c>
      <c r="C708" s="16"/>
      <c r="D708" s="16"/>
      <c r="E708" s="16"/>
      <c r="F708" s="17"/>
      <c r="G708" s="16"/>
      <c r="H708" s="16"/>
      <c r="I708" s="16"/>
      <c r="J708" s="22"/>
      <c r="K708" s="16"/>
      <c r="L708" s="16"/>
      <c r="M708" s="16"/>
      <c r="N708" s="19"/>
      <c r="O708" s="19"/>
      <c r="P708" s="19"/>
      <c r="Q708" s="19"/>
      <c r="R708" s="19"/>
      <c r="S708" s="19"/>
      <c r="T708" s="19"/>
      <c r="U708" s="19"/>
      <c r="V708" s="19"/>
      <c r="W708" s="20"/>
      <c r="X708" s="20"/>
    </row>
    <row r="709" spans="1:24" ht="15.75" hidden="1" customHeight="1" x14ac:dyDescent="0.25">
      <c r="A709" s="16"/>
      <c r="B709" s="16" t="str">
        <f t="shared" si="2"/>
        <v/>
      </c>
      <c r="C709" s="16"/>
      <c r="D709" s="16"/>
      <c r="E709" s="16"/>
      <c r="F709" s="17"/>
      <c r="G709" s="16"/>
      <c r="H709" s="16"/>
      <c r="I709" s="16"/>
      <c r="J709" s="22"/>
      <c r="K709" s="16"/>
      <c r="L709" s="16"/>
      <c r="M709" s="16"/>
      <c r="N709" s="19"/>
      <c r="O709" s="19"/>
      <c r="P709" s="19"/>
      <c r="Q709" s="19"/>
      <c r="R709" s="19"/>
      <c r="S709" s="19"/>
      <c r="T709" s="19"/>
      <c r="U709" s="19"/>
      <c r="V709" s="19"/>
      <c r="W709" s="20"/>
      <c r="X709" s="20"/>
    </row>
    <row r="710" spans="1:24" ht="15.75" hidden="1" customHeight="1" x14ac:dyDescent="0.25">
      <c r="A710" s="16"/>
      <c r="B710" s="16" t="str">
        <f t="shared" si="2"/>
        <v/>
      </c>
      <c r="C710" s="16"/>
      <c r="D710" s="16"/>
      <c r="E710" s="16"/>
      <c r="F710" s="17"/>
      <c r="G710" s="16"/>
      <c r="H710" s="16"/>
      <c r="I710" s="16"/>
      <c r="J710" s="22"/>
      <c r="K710" s="16"/>
      <c r="L710" s="16"/>
      <c r="M710" s="16"/>
      <c r="N710" s="19"/>
      <c r="O710" s="19"/>
      <c r="P710" s="19"/>
      <c r="Q710" s="19"/>
      <c r="R710" s="19"/>
      <c r="S710" s="19"/>
      <c r="T710" s="19"/>
      <c r="U710" s="19"/>
      <c r="V710" s="19"/>
      <c r="W710" s="20"/>
      <c r="X710" s="20"/>
    </row>
    <row r="711" spans="1:24" ht="15.75" hidden="1" customHeight="1" x14ac:dyDescent="0.25">
      <c r="A711" s="16"/>
      <c r="B711" s="16" t="str">
        <f t="shared" si="2"/>
        <v/>
      </c>
      <c r="C711" s="16"/>
      <c r="D711" s="16"/>
      <c r="E711" s="16"/>
      <c r="F711" s="17"/>
      <c r="G711" s="16"/>
      <c r="H711" s="16"/>
      <c r="I711" s="16"/>
      <c r="J711" s="22"/>
      <c r="K711" s="16"/>
      <c r="L711" s="16"/>
      <c r="M711" s="16"/>
      <c r="N711" s="19"/>
      <c r="O711" s="19"/>
      <c r="P711" s="19"/>
      <c r="Q711" s="19"/>
      <c r="R711" s="19"/>
      <c r="S711" s="19"/>
      <c r="T711" s="19"/>
      <c r="U711" s="19"/>
      <c r="V711" s="19"/>
      <c r="W711" s="20"/>
      <c r="X711" s="20"/>
    </row>
    <row r="712" spans="1:24" ht="15.75" hidden="1" customHeight="1" x14ac:dyDescent="0.25">
      <c r="A712" s="16"/>
      <c r="B712" s="16" t="str">
        <f t="shared" si="2"/>
        <v/>
      </c>
      <c r="C712" s="16"/>
      <c r="D712" s="16"/>
      <c r="E712" s="16"/>
      <c r="F712" s="17"/>
      <c r="G712" s="16"/>
      <c r="H712" s="16"/>
      <c r="I712" s="16"/>
      <c r="J712" s="22"/>
      <c r="K712" s="16"/>
      <c r="L712" s="16"/>
      <c r="M712" s="16"/>
      <c r="N712" s="19"/>
      <c r="O712" s="19"/>
      <c r="P712" s="19"/>
      <c r="Q712" s="19"/>
      <c r="R712" s="19"/>
      <c r="S712" s="19"/>
      <c r="T712" s="19"/>
      <c r="U712" s="19"/>
      <c r="V712" s="19"/>
      <c r="W712" s="20"/>
      <c r="X712" s="20"/>
    </row>
    <row r="713" spans="1:24" ht="15.75" hidden="1" customHeight="1" x14ac:dyDescent="0.25">
      <c r="A713" s="16"/>
      <c r="B713" s="16" t="str">
        <f t="shared" si="2"/>
        <v/>
      </c>
      <c r="C713" s="16"/>
      <c r="D713" s="16"/>
      <c r="E713" s="16"/>
      <c r="F713" s="17"/>
      <c r="G713" s="16"/>
      <c r="H713" s="16"/>
      <c r="I713" s="16"/>
      <c r="J713" s="22"/>
      <c r="K713" s="16"/>
      <c r="L713" s="16"/>
      <c r="M713" s="16"/>
      <c r="N713" s="19"/>
      <c r="O713" s="19"/>
      <c r="P713" s="19"/>
      <c r="Q713" s="19"/>
      <c r="R713" s="19"/>
      <c r="S713" s="19"/>
      <c r="T713" s="19"/>
      <c r="U713" s="19"/>
      <c r="V713" s="19"/>
      <c r="W713" s="20"/>
      <c r="X713" s="20"/>
    </row>
    <row r="714" spans="1:24" ht="15.75" hidden="1" customHeight="1" x14ac:dyDescent="0.25">
      <c r="A714" s="16"/>
      <c r="B714" s="16" t="str">
        <f t="shared" si="2"/>
        <v/>
      </c>
      <c r="C714" s="16"/>
      <c r="D714" s="16"/>
      <c r="E714" s="16"/>
      <c r="F714" s="17"/>
      <c r="G714" s="16"/>
      <c r="H714" s="16"/>
      <c r="I714" s="16"/>
      <c r="J714" s="22"/>
      <c r="K714" s="16"/>
      <c r="L714" s="16"/>
      <c r="M714" s="16"/>
      <c r="N714" s="19"/>
      <c r="O714" s="19"/>
      <c r="P714" s="19"/>
      <c r="Q714" s="19"/>
      <c r="R714" s="19"/>
      <c r="S714" s="19"/>
      <c r="T714" s="19"/>
      <c r="U714" s="19"/>
      <c r="V714" s="19"/>
      <c r="W714" s="20"/>
      <c r="X714" s="20"/>
    </row>
    <row r="715" spans="1:24" ht="15.75" hidden="1" customHeight="1" x14ac:dyDescent="0.25">
      <c r="A715" s="16"/>
      <c r="B715" s="16" t="str">
        <f t="shared" si="2"/>
        <v/>
      </c>
      <c r="C715" s="16"/>
      <c r="D715" s="16"/>
      <c r="E715" s="16"/>
      <c r="F715" s="17"/>
      <c r="G715" s="16"/>
      <c r="H715" s="16"/>
      <c r="I715" s="16"/>
      <c r="J715" s="22"/>
      <c r="K715" s="16"/>
      <c r="L715" s="16"/>
      <c r="M715" s="16"/>
      <c r="N715" s="19"/>
      <c r="O715" s="19"/>
      <c r="P715" s="19"/>
      <c r="Q715" s="19"/>
      <c r="R715" s="19"/>
      <c r="S715" s="19"/>
      <c r="T715" s="19"/>
      <c r="U715" s="19"/>
      <c r="V715" s="19"/>
      <c r="W715" s="20"/>
      <c r="X715" s="20"/>
    </row>
    <row r="716" spans="1:24" ht="15.75" hidden="1" customHeight="1" x14ac:dyDescent="0.25">
      <c r="A716" s="16"/>
      <c r="B716" s="16" t="str">
        <f t="shared" si="2"/>
        <v/>
      </c>
      <c r="C716" s="16"/>
      <c r="D716" s="16"/>
      <c r="E716" s="16"/>
      <c r="F716" s="17"/>
      <c r="G716" s="16"/>
      <c r="H716" s="16"/>
      <c r="I716" s="16"/>
      <c r="J716" s="22"/>
      <c r="K716" s="16"/>
      <c r="L716" s="16"/>
      <c r="M716" s="16"/>
      <c r="N716" s="19"/>
      <c r="O716" s="19"/>
      <c r="P716" s="19"/>
      <c r="Q716" s="19"/>
      <c r="R716" s="19"/>
      <c r="S716" s="19"/>
      <c r="T716" s="19"/>
      <c r="U716" s="19"/>
      <c r="V716" s="19"/>
      <c r="W716" s="20"/>
      <c r="X716" s="20"/>
    </row>
    <row r="717" spans="1:24" ht="15.75" hidden="1" customHeight="1" x14ac:dyDescent="0.25">
      <c r="A717" s="16"/>
      <c r="B717" s="16" t="str">
        <f t="shared" si="2"/>
        <v/>
      </c>
      <c r="C717" s="16"/>
      <c r="D717" s="16"/>
      <c r="E717" s="16"/>
      <c r="F717" s="17"/>
      <c r="G717" s="16"/>
      <c r="H717" s="16"/>
      <c r="I717" s="16"/>
      <c r="J717" s="22"/>
      <c r="K717" s="16"/>
      <c r="L717" s="16"/>
      <c r="M717" s="16"/>
      <c r="N717" s="19"/>
      <c r="O717" s="19"/>
      <c r="P717" s="19"/>
      <c r="Q717" s="19"/>
      <c r="R717" s="19"/>
      <c r="S717" s="19"/>
      <c r="T717" s="19"/>
      <c r="U717" s="19"/>
      <c r="V717" s="19"/>
      <c r="W717" s="20"/>
      <c r="X717" s="20"/>
    </row>
    <row r="718" spans="1:24" ht="15.75" hidden="1" customHeight="1" x14ac:dyDescent="0.25">
      <c r="A718" s="16"/>
      <c r="B718" s="16" t="str">
        <f t="shared" si="2"/>
        <v/>
      </c>
      <c r="C718" s="16"/>
      <c r="D718" s="16"/>
      <c r="E718" s="16"/>
      <c r="F718" s="17"/>
      <c r="G718" s="16"/>
      <c r="H718" s="16"/>
      <c r="I718" s="16"/>
      <c r="J718" s="22"/>
      <c r="K718" s="16"/>
      <c r="L718" s="16"/>
      <c r="M718" s="16"/>
      <c r="N718" s="19"/>
      <c r="O718" s="19"/>
      <c r="P718" s="19"/>
      <c r="Q718" s="19"/>
      <c r="R718" s="19"/>
      <c r="S718" s="19"/>
      <c r="T718" s="19"/>
      <c r="U718" s="19"/>
      <c r="V718" s="19"/>
      <c r="W718" s="20"/>
      <c r="X718" s="20"/>
    </row>
    <row r="719" spans="1:24" ht="15.75" hidden="1" customHeight="1" x14ac:dyDescent="0.25">
      <c r="A719" s="16"/>
      <c r="B719" s="16" t="str">
        <f t="shared" si="2"/>
        <v/>
      </c>
      <c r="C719" s="16"/>
      <c r="D719" s="16"/>
      <c r="E719" s="16"/>
      <c r="F719" s="17"/>
      <c r="G719" s="16"/>
      <c r="H719" s="16"/>
      <c r="I719" s="16"/>
      <c r="J719" s="22"/>
      <c r="K719" s="16"/>
      <c r="L719" s="16"/>
      <c r="M719" s="16"/>
      <c r="N719" s="19"/>
      <c r="O719" s="19"/>
      <c r="P719" s="19"/>
      <c r="Q719" s="19"/>
      <c r="R719" s="19"/>
      <c r="S719" s="19"/>
      <c r="T719" s="19"/>
      <c r="U719" s="19"/>
      <c r="V719" s="19"/>
      <c r="W719" s="20"/>
      <c r="X719" s="20"/>
    </row>
    <row r="720" spans="1:24" ht="15.75" hidden="1" customHeight="1" x14ac:dyDescent="0.25">
      <c r="A720" s="16"/>
      <c r="B720" s="16" t="str">
        <f t="shared" si="2"/>
        <v/>
      </c>
      <c r="C720" s="16"/>
      <c r="D720" s="16"/>
      <c r="E720" s="16"/>
      <c r="F720" s="17"/>
      <c r="G720" s="16"/>
      <c r="H720" s="16"/>
      <c r="I720" s="16"/>
      <c r="J720" s="22"/>
      <c r="K720" s="16"/>
      <c r="L720" s="16"/>
      <c r="M720" s="16"/>
      <c r="N720" s="19"/>
      <c r="O720" s="19"/>
      <c r="P720" s="19"/>
      <c r="Q720" s="19"/>
      <c r="R720" s="19"/>
      <c r="S720" s="19"/>
      <c r="T720" s="19"/>
      <c r="U720" s="19"/>
      <c r="V720" s="19"/>
      <c r="W720" s="20"/>
      <c r="X720" s="20"/>
    </row>
    <row r="721" spans="1:24" ht="15.75" hidden="1" customHeight="1" x14ac:dyDescent="0.25">
      <c r="A721" s="16"/>
      <c r="B721" s="16" t="str">
        <f t="shared" si="2"/>
        <v/>
      </c>
      <c r="C721" s="16"/>
      <c r="D721" s="16"/>
      <c r="E721" s="16"/>
      <c r="F721" s="17"/>
      <c r="G721" s="16"/>
      <c r="H721" s="16"/>
      <c r="I721" s="16"/>
      <c r="J721" s="22"/>
      <c r="K721" s="16"/>
      <c r="L721" s="16"/>
      <c r="M721" s="16"/>
      <c r="N721" s="19"/>
      <c r="O721" s="19"/>
      <c r="P721" s="19"/>
      <c r="Q721" s="19"/>
      <c r="R721" s="19"/>
      <c r="S721" s="19"/>
      <c r="T721" s="19"/>
      <c r="U721" s="19"/>
      <c r="V721" s="19"/>
      <c r="W721" s="20"/>
      <c r="X721" s="20"/>
    </row>
    <row r="722" spans="1:24" ht="15.75" hidden="1" customHeight="1" x14ac:dyDescent="0.25">
      <c r="A722" s="16"/>
      <c r="B722" s="16" t="str">
        <f t="shared" si="2"/>
        <v/>
      </c>
      <c r="C722" s="16"/>
      <c r="D722" s="16"/>
      <c r="E722" s="16"/>
      <c r="F722" s="17"/>
      <c r="G722" s="16"/>
      <c r="H722" s="16"/>
      <c r="I722" s="16"/>
      <c r="J722" s="22"/>
      <c r="K722" s="16"/>
      <c r="L722" s="16"/>
      <c r="M722" s="16"/>
      <c r="N722" s="19"/>
      <c r="O722" s="19"/>
      <c r="P722" s="19"/>
      <c r="Q722" s="19"/>
      <c r="R722" s="19"/>
      <c r="S722" s="19"/>
      <c r="T722" s="19"/>
      <c r="U722" s="19"/>
      <c r="V722" s="19"/>
      <c r="W722" s="20"/>
      <c r="X722" s="20"/>
    </row>
    <row r="723" spans="1:24" ht="15.75" hidden="1" customHeight="1" x14ac:dyDescent="0.25">
      <c r="A723" s="16"/>
      <c r="B723" s="16" t="str">
        <f t="shared" si="2"/>
        <v/>
      </c>
      <c r="C723" s="16"/>
      <c r="D723" s="16"/>
      <c r="E723" s="16"/>
      <c r="F723" s="17"/>
      <c r="G723" s="16"/>
      <c r="H723" s="16"/>
      <c r="I723" s="16"/>
      <c r="J723" s="22"/>
      <c r="K723" s="16"/>
      <c r="L723" s="16"/>
      <c r="M723" s="16"/>
      <c r="N723" s="19"/>
      <c r="O723" s="19"/>
      <c r="P723" s="19"/>
      <c r="Q723" s="19"/>
      <c r="R723" s="19"/>
      <c r="S723" s="19"/>
      <c r="T723" s="19"/>
      <c r="U723" s="19"/>
      <c r="V723" s="19"/>
      <c r="W723" s="20"/>
      <c r="X723" s="20"/>
    </row>
    <row r="724" spans="1:24" ht="15.75" hidden="1" customHeight="1" x14ac:dyDescent="0.25">
      <c r="A724" s="16"/>
      <c r="B724" s="16" t="str">
        <f t="shared" si="2"/>
        <v/>
      </c>
      <c r="C724" s="16"/>
      <c r="D724" s="16"/>
      <c r="E724" s="16"/>
      <c r="F724" s="17"/>
      <c r="G724" s="16"/>
      <c r="H724" s="16"/>
      <c r="I724" s="16"/>
      <c r="J724" s="22"/>
      <c r="K724" s="16"/>
      <c r="L724" s="16"/>
      <c r="M724" s="16"/>
      <c r="N724" s="19"/>
      <c r="O724" s="19"/>
      <c r="P724" s="19"/>
      <c r="Q724" s="19"/>
      <c r="R724" s="19"/>
      <c r="S724" s="19"/>
      <c r="T724" s="19"/>
      <c r="U724" s="19"/>
      <c r="V724" s="19"/>
      <c r="W724" s="20"/>
      <c r="X724" s="20"/>
    </row>
    <row r="725" spans="1:24" ht="15.75" hidden="1" customHeight="1" x14ac:dyDescent="0.25">
      <c r="A725" s="16"/>
      <c r="B725" s="16" t="str">
        <f t="shared" si="2"/>
        <v/>
      </c>
      <c r="C725" s="16"/>
      <c r="D725" s="16"/>
      <c r="E725" s="16"/>
      <c r="F725" s="17"/>
      <c r="G725" s="16"/>
      <c r="H725" s="16"/>
      <c r="I725" s="16"/>
      <c r="J725" s="22"/>
      <c r="K725" s="16"/>
      <c r="L725" s="16"/>
      <c r="M725" s="16"/>
      <c r="N725" s="19"/>
      <c r="O725" s="19"/>
      <c r="P725" s="19"/>
      <c r="Q725" s="19"/>
      <c r="R725" s="19"/>
      <c r="S725" s="19"/>
      <c r="T725" s="19"/>
      <c r="U725" s="19"/>
      <c r="V725" s="19"/>
      <c r="W725" s="20"/>
      <c r="X725" s="20"/>
    </row>
    <row r="726" spans="1:24" ht="15.75" hidden="1" customHeight="1" x14ac:dyDescent="0.25">
      <c r="A726" s="16"/>
      <c r="B726" s="16" t="str">
        <f t="shared" si="2"/>
        <v/>
      </c>
      <c r="C726" s="16"/>
      <c r="D726" s="16"/>
      <c r="E726" s="16"/>
      <c r="F726" s="17"/>
      <c r="G726" s="16"/>
      <c r="H726" s="16"/>
      <c r="I726" s="16"/>
      <c r="J726" s="22"/>
      <c r="K726" s="16"/>
      <c r="L726" s="16"/>
      <c r="M726" s="16"/>
      <c r="N726" s="19"/>
      <c r="O726" s="19"/>
      <c r="P726" s="19"/>
      <c r="Q726" s="19"/>
      <c r="R726" s="19"/>
      <c r="S726" s="19"/>
      <c r="T726" s="19"/>
      <c r="U726" s="19"/>
      <c r="V726" s="19"/>
      <c r="W726" s="20"/>
      <c r="X726" s="20"/>
    </row>
    <row r="727" spans="1:24" ht="15.75" hidden="1" customHeight="1" x14ac:dyDescent="0.25">
      <c r="A727" s="16"/>
      <c r="B727" s="16" t="str">
        <f t="shared" si="2"/>
        <v/>
      </c>
      <c r="C727" s="16"/>
      <c r="D727" s="16"/>
      <c r="E727" s="16"/>
      <c r="F727" s="17"/>
      <c r="G727" s="16"/>
      <c r="H727" s="16"/>
      <c r="I727" s="16"/>
      <c r="J727" s="22"/>
      <c r="K727" s="16"/>
      <c r="L727" s="16"/>
      <c r="M727" s="16"/>
      <c r="N727" s="19"/>
      <c r="O727" s="19"/>
      <c r="P727" s="19"/>
      <c r="Q727" s="19"/>
      <c r="R727" s="19"/>
      <c r="S727" s="19"/>
      <c r="T727" s="19"/>
      <c r="U727" s="19"/>
      <c r="V727" s="19"/>
      <c r="W727" s="20"/>
      <c r="X727" s="20"/>
    </row>
    <row r="728" spans="1:24" ht="15.75" hidden="1" customHeight="1" x14ac:dyDescent="0.25">
      <c r="A728" s="16"/>
      <c r="B728" s="16" t="str">
        <f t="shared" si="2"/>
        <v/>
      </c>
      <c r="C728" s="16"/>
      <c r="D728" s="16"/>
      <c r="E728" s="16"/>
      <c r="F728" s="17"/>
      <c r="G728" s="16"/>
      <c r="H728" s="16"/>
      <c r="I728" s="16"/>
      <c r="J728" s="22"/>
      <c r="K728" s="16"/>
      <c r="L728" s="16"/>
      <c r="M728" s="16"/>
      <c r="N728" s="19"/>
      <c r="O728" s="19"/>
      <c r="P728" s="19"/>
      <c r="Q728" s="19"/>
      <c r="R728" s="19"/>
      <c r="S728" s="19"/>
      <c r="T728" s="19"/>
      <c r="U728" s="19"/>
      <c r="V728" s="19"/>
      <c r="W728" s="20"/>
      <c r="X728" s="20"/>
    </row>
    <row r="729" spans="1:24" ht="15.75" hidden="1" customHeight="1" x14ac:dyDescent="0.25">
      <c r="A729" s="16"/>
      <c r="B729" s="16" t="str">
        <f t="shared" si="2"/>
        <v/>
      </c>
      <c r="C729" s="16"/>
      <c r="D729" s="16"/>
      <c r="E729" s="16"/>
      <c r="F729" s="17"/>
      <c r="G729" s="16"/>
      <c r="H729" s="16"/>
      <c r="I729" s="16"/>
      <c r="J729" s="22"/>
      <c r="K729" s="16"/>
      <c r="L729" s="16"/>
      <c r="M729" s="16"/>
      <c r="N729" s="19"/>
      <c r="O729" s="19"/>
      <c r="P729" s="19"/>
      <c r="Q729" s="19"/>
      <c r="R729" s="19"/>
      <c r="S729" s="19"/>
      <c r="T729" s="19"/>
      <c r="U729" s="19"/>
      <c r="V729" s="19"/>
      <c r="W729" s="20"/>
      <c r="X729" s="20"/>
    </row>
    <row r="730" spans="1:24" ht="15.75" hidden="1" customHeight="1" x14ac:dyDescent="0.25">
      <c r="A730" s="16"/>
      <c r="B730" s="16" t="str">
        <f t="shared" si="2"/>
        <v/>
      </c>
      <c r="C730" s="16"/>
      <c r="D730" s="16"/>
      <c r="E730" s="16"/>
      <c r="F730" s="17"/>
      <c r="G730" s="16"/>
      <c r="H730" s="16"/>
      <c r="I730" s="16"/>
      <c r="J730" s="22"/>
      <c r="K730" s="16"/>
      <c r="L730" s="16"/>
      <c r="M730" s="16"/>
      <c r="N730" s="19"/>
      <c r="O730" s="19"/>
      <c r="P730" s="19"/>
      <c r="Q730" s="19"/>
      <c r="R730" s="19"/>
      <c r="S730" s="19"/>
      <c r="T730" s="19"/>
      <c r="U730" s="19"/>
      <c r="V730" s="19"/>
      <c r="W730" s="20"/>
      <c r="X730" s="20"/>
    </row>
    <row r="731" spans="1:24" ht="15.75" hidden="1" customHeight="1" x14ac:dyDescent="0.25">
      <c r="A731" s="16"/>
      <c r="B731" s="16" t="str">
        <f t="shared" si="2"/>
        <v/>
      </c>
      <c r="C731" s="16"/>
      <c r="D731" s="16"/>
      <c r="E731" s="16"/>
      <c r="F731" s="17"/>
      <c r="G731" s="16"/>
      <c r="H731" s="16"/>
      <c r="I731" s="16"/>
      <c r="J731" s="22"/>
      <c r="K731" s="16"/>
      <c r="L731" s="16"/>
      <c r="M731" s="16"/>
      <c r="N731" s="19"/>
      <c r="O731" s="19"/>
      <c r="P731" s="19"/>
      <c r="Q731" s="19"/>
      <c r="R731" s="19"/>
      <c r="S731" s="19"/>
      <c r="T731" s="19"/>
      <c r="U731" s="19"/>
      <c r="V731" s="19"/>
      <c r="W731" s="20"/>
      <c r="X731" s="20"/>
    </row>
    <row r="732" spans="1:24" ht="15.75" hidden="1" customHeight="1" x14ac:dyDescent="0.25">
      <c r="A732" s="16"/>
      <c r="B732" s="16" t="str">
        <f t="shared" si="2"/>
        <v/>
      </c>
      <c r="C732" s="16"/>
      <c r="D732" s="16"/>
      <c r="E732" s="16"/>
      <c r="F732" s="17"/>
      <c r="G732" s="16"/>
      <c r="H732" s="16"/>
      <c r="I732" s="16"/>
      <c r="J732" s="22"/>
      <c r="K732" s="16"/>
      <c r="L732" s="16"/>
      <c r="M732" s="16"/>
      <c r="N732" s="19"/>
      <c r="O732" s="19"/>
      <c r="P732" s="19"/>
      <c r="Q732" s="19"/>
      <c r="R732" s="19"/>
      <c r="S732" s="19"/>
      <c r="T732" s="19"/>
      <c r="U732" s="19"/>
      <c r="V732" s="19"/>
      <c r="W732" s="20"/>
      <c r="X732" s="20"/>
    </row>
    <row r="733" spans="1:24" ht="15.75" hidden="1" customHeight="1" x14ac:dyDescent="0.25">
      <c r="A733" s="16"/>
      <c r="B733" s="16" t="str">
        <f t="shared" si="2"/>
        <v/>
      </c>
      <c r="C733" s="16"/>
      <c r="D733" s="16"/>
      <c r="E733" s="16"/>
      <c r="F733" s="17"/>
      <c r="G733" s="16"/>
      <c r="H733" s="16"/>
      <c r="I733" s="16"/>
      <c r="J733" s="22"/>
      <c r="K733" s="16"/>
      <c r="L733" s="16"/>
      <c r="M733" s="16"/>
      <c r="N733" s="19"/>
      <c r="O733" s="19"/>
      <c r="P733" s="19"/>
      <c r="Q733" s="19"/>
      <c r="R733" s="19"/>
      <c r="S733" s="19"/>
      <c r="T733" s="19"/>
      <c r="U733" s="19"/>
      <c r="V733" s="19"/>
      <c r="W733" s="20"/>
      <c r="X733" s="20"/>
    </row>
    <row r="734" spans="1:24" ht="15.75" hidden="1" customHeight="1" x14ac:dyDescent="0.25">
      <c r="A734" s="16"/>
      <c r="B734" s="16" t="str">
        <f t="shared" si="2"/>
        <v/>
      </c>
      <c r="C734" s="16"/>
      <c r="D734" s="16"/>
      <c r="E734" s="16"/>
      <c r="F734" s="17"/>
      <c r="G734" s="16"/>
      <c r="H734" s="16"/>
      <c r="I734" s="16"/>
      <c r="J734" s="22"/>
      <c r="K734" s="16"/>
      <c r="L734" s="16"/>
      <c r="M734" s="16"/>
      <c r="N734" s="19"/>
      <c r="O734" s="19"/>
      <c r="P734" s="19"/>
      <c r="Q734" s="19"/>
      <c r="R734" s="19"/>
      <c r="S734" s="19"/>
      <c r="T734" s="19"/>
      <c r="U734" s="19"/>
      <c r="V734" s="19"/>
      <c r="W734" s="20"/>
      <c r="X734" s="20"/>
    </row>
    <row r="735" spans="1:24" ht="15.75" hidden="1" customHeight="1" x14ac:dyDescent="0.25">
      <c r="A735" s="16"/>
      <c r="B735" s="16" t="str">
        <f t="shared" si="2"/>
        <v/>
      </c>
      <c r="C735" s="16"/>
      <c r="D735" s="16"/>
      <c r="E735" s="16"/>
      <c r="F735" s="17"/>
      <c r="G735" s="16"/>
      <c r="H735" s="16"/>
      <c r="I735" s="16"/>
      <c r="J735" s="22"/>
      <c r="K735" s="16"/>
      <c r="L735" s="16"/>
      <c r="M735" s="16"/>
      <c r="N735" s="19"/>
      <c r="O735" s="19"/>
      <c r="P735" s="19"/>
      <c r="Q735" s="19"/>
      <c r="R735" s="19"/>
      <c r="S735" s="19"/>
      <c r="T735" s="19"/>
      <c r="U735" s="19"/>
      <c r="V735" s="19"/>
      <c r="W735" s="20"/>
      <c r="X735" s="20"/>
    </row>
    <row r="736" spans="1:24" ht="15.75" hidden="1" customHeight="1" x14ac:dyDescent="0.25">
      <c r="A736" s="16"/>
      <c r="B736" s="16" t="str">
        <f t="shared" si="2"/>
        <v/>
      </c>
      <c r="C736" s="16"/>
      <c r="D736" s="16"/>
      <c r="E736" s="16"/>
      <c r="F736" s="17"/>
      <c r="G736" s="16"/>
      <c r="H736" s="16"/>
      <c r="I736" s="16"/>
      <c r="J736" s="22"/>
      <c r="K736" s="16"/>
      <c r="L736" s="16"/>
      <c r="M736" s="16"/>
      <c r="N736" s="19"/>
      <c r="O736" s="19"/>
      <c r="P736" s="19"/>
      <c r="Q736" s="19"/>
      <c r="R736" s="19"/>
      <c r="S736" s="19"/>
      <c r="T736" s="19"/>
      <c r="U736" s="19"/>
      <c r="V736" s="19"/>
      <c r="W736" s="20"/>
      <c r="X736" s="20"/>
    </row>
    <row r="737" spans="1:24" ht="15.75" hidden="1" customHeight="1" x14ac:dyDescent="0.25">
      <c r="A737" s="16"/>
      <c r="B737" s="16" t="str">
        <f t="shared" si="2"/>
        <v/>
      </c>
      <c r="C737" s="16"/>
      <c r="D737" s="16"/>
      <c r="E737" s="16"/>
      <c r="F737" s="17"/>
      <c r="G737" s="16"/>
      <c r="H737" s="16"/>
      <c r="I737" s="16"/>
      <c r="J737" s="22"/>
      <c r="K737" s="16"/>
      <c r="L737" s="16"/>
      <c r="M737" s="16"/>
      <c r="N737" s="19"/>
      <c r="O737" s="19"/>
      <c r="P737" s="19"/>
      <c r="Q737" s="19"/>
      <c r="R737" s="19"/>
      <c r="S737" s="19"/>
      <c r="T737" s="19"/>
      <c r="U737" s="19"/>
      <c r="V737" s="19"/>
      <c r="W737" s="20"/>
      <c r="X737" s="20"/>
    </row>
    <row r="738" spans="1:24" ht="15.75" hidden="1" customHeight="1" x14ac:dyDescent="0.25">
      <c r="A738" s="16"/>
      <c r="B738" s="16" t="str">
        <f t="shared" si="2"/>
        <v/>
      </c>
      <c r="C738" s="16"/>
      <c r="D738" s="16"/>
      <c r="E738" s="16"/>
      <c r="F738" s="17"/>
      <c r="G738" s="16"/>
      <c r="H738" s="16"/>
      <c r="I738" s="16"/>
      <c r="J738" s="22"/>
      <c r="K738" s="16"/>
      <c r="L738" s="16"/>
      <c r="M738" s="16"/>
      <c r="N738" s="19"/>
      <c r="O738" s="19"/>
      <c r="P738" s="19"/>
      <c r="Q738" s="19"/>
      <c r="R738" s="19"/>
      <c r="S738" s="19"/>
      <c r="T738" s="19"/>
      <c r="U738" s="19"/>
      <c r="V738" s="19"/>
      <c r="W738" s="20"/>
      <c r="X738" s="20"/>
    </row>
    <row r="739" spans="1:24" ht="15.75" hidden="1" customHeight="1" x14ac:dyDescent="0.25">
      <c r="A739" s="16"/>
      <c r="B739" s="16" t="str">
        <f t="shared" si="2"/>
        <v/>
      </c>
      <c r="C739" s="16"/>
      <c r="D739" s="16"/>
      <c r="E739" s="16"/>
      <c r="F739" s="17"/>
      <c r="G739" s="16"/>
      <c r="H739" s="16"/>
      <c r="I739" s="16"/>
      <c r="J739" s="22"/>
      <c r="K739" s="16"/>
      <c r="L739" s="16"/>
      <c r="M739" s="16"/>
      <c r="N739" s="19"/>
      <c r="O739" s="19"/>
      <c r="P739" s="19"/>
      <c r="Q739" s="19"/>
      <c r="R739" s="19"/>
      <c r="S739" s="19"/>
      <c r="T739" s="19"/>
      <c r="U739" s="19"/>
      <c r="V739" s="19"/>
      <c r="W739" s="20"/>
      <c r="X739" s="20"/>
    </row>
    <row r="740" spans="1:24" ht="15.75" hidden="1" customHeight="1" x14ac:dyDescent="0.25">
      <c r="A740" s="16"/>
      <c r="B740" s="16" t="str">
        <f t="shared" si="2"/>
        <v/>
      </c>
      <c r="C740" s="16"/>
      <c r="D740" s="16"/>
      <c r="E740" s="16"/>
      <c r="F740" s="17"/>
      <c r="G740" s="16"/>
      <c r="H740" s="16"/>
      <c r="I740" s="16"/>
      <c r="J740" s="22"/>
      <c r="K740" s="16"/>
      <c r="L740" s="16"/>
      <c r="M740" s="16"/>
      <c r="N740" s="19"/>
      <c r="O740" s="19"/>
      <c r="P740" s="19"/>
      <c r="Q740" s="19"/>
      <c r="R740" s="19"/>
      <c r="S740" s="19"/>
      <c r="T740" s="19"/>
      <c r="U740" s="19"/>
      <c r="V740" s="19"/>
      <c r="W740" s="20"/>
      <c r="X740" s="20"/>
    </row>
    <row r="741" spans="1:24" ht="15.75" hidden="1" customHeight="1" x14ac:dyDescent="0.25">
      <c r="A741" s="16"/>
      <c r="B741" s="16" t="str">
        <f t="shared" si="2"/>
        <v/>
      </c>
      <c r="C741" s="16"/>
      <c r="D741" s="16"/>
      <c r="E741" s="16"/>
      <c r="F741" s="17"/>
      <c r="G741" s="16"/>
      <c r="H741" s="16"/>
      <c r="I741" s="16"/>
      <c r="J741" s="22"/>
      <c r="K741" s="16"/>
      <c r="L741" s="16"/>
      <c r="M741" s="16"/>
      <c r="N741" s="19"/>
      <c r="O741" s="19"/>
      <c r="P741" s="19"/>
      <c r="Q741" s="19"/>
      <c r="R741" s="19"/>
      <c r="S741" s="19"/>
      <c r="T741" s="19"/>
      <c r="U741" s="19"/>
      <c r="V741" s="19"/>
      <c r="W741" s="20"/>
      <c r="X741" s="20"/>
    </row>
    <row r="742" spans="1:24" ht="15.75" hidden="1" customHeight="1" x14ac:dyDescent="0.25">
      <c r="A742" s="16"/>
      <c r="B742" s="16" t="str">
        <f t="shared" si="2"/>
        <v/>
      </c>
      <c r="C742" s="16"/>
      <c r="D742" s="16"/>
      <c r="E742" s="16"/>
      <c r="F742" s="17"/>
      <c r="G742" s="16"/>
      <c r="H742" s="16"/>
      <c r="I742" s="16"/>
      <c r="J742" s="22"/>
      <c r="K742" s="16"/>
      <c r="L742" s="16"/>
      <c r="M742" s="16"/>
      <c r="N742" s="19"/>
      <c r="O742" s="19"/>
      <c r="P742" s="19"/>
      <c r="Q742" s="19"/>
      <c r="R742" s="19"/>
      <c r="S742" s="19"/>
      <c r="T742" s="19"/>
      <c r="U742" s="19"/>
      <c r="V742" s="19"/>
      <c r="W742" s="20"/>
      <c r="X742" s="20"/>
    </row>
    <row r="743" spans="1:24" ht="15.75" hidden="1" customHeight="1" x14ac:dyDescent="0.25">
      <c r="A743" s="16"/>
      <c r="B743" s="16" t="str">
        <f t="shared" si="2"/>
        <v/>
      </c>
      <c r="C743" s="16"/>
      <c r="D743" s="16"/>
      <c r="E743" s="16"/>
      <c r="F743" s="17"/>
      <c r="G743" s="16"/>
      <c r="H743" s="16"/>
      <c r="I743" s="16"/>
      <c r="J743" s="22"/>
      <c r="K743" s="16"/>
      <c r="L743" s="16"/>
      <c r="M743" s="16"/>
      <c r="N743" s="19"/>
      <c r="O743" s="19"/>
      <c r="P743" s="19"/>
      <c r="Q743" s="19"/>
      <c r="R743" s="19"/>
      <c r="S743" s="19"/>
      <c r="T743" s="19"/>
      <c r="U743" s="19"/>
      <c r="V743" s="19"/>
      <c r="W743" s="20"/>
      <c r="X743" s="20"/>
    </row>
    <row r="744" spans="1:24" ht="15.75" hidden="1" customHeight="1" x14ac:dyDescent="0.25">
      <c r="A744" s="16"/>
      <c r="B744" s="16" t="str">
        <f t="shared" si="2"/>
        <v/>
      </c>
      <c r="C744" s="16"/>
      <c r="D744" s="16"/>
      <c r="E744" s="16"/>
      <c r="F744" s="17"/>
      <c r="G744" s="16"/>
      <c r="H744" s="16"/>
      <c r="I744" s="16"/>
      <c r="J744" s="22"/>
      <c r="K744" s="16"/>
      <c r="L744" s="16"/>
      <c r="M744" s="16"/>
      <c r="N744" s="19"/>
      <c r="O744" s="19"/>
      <c r="P744" s="19"/>
      <c r="Q744" s="19"/>
      <c r="R744" s="19"/>
      <c r="S744" s="19"/>
      <c r="T744" s="19"/>
      <c r="U744" s="19"/>
      <c r="V744" s="19"/>
      <c r="W744" s="20"/>
      <c r="X744" s="20"/>
    </row>
    <row r="745" spans="1:24" ht="15.75" hidden="1" customHeight="1" x14ac:dyDescent="0.25">
      <c r="A745" s="16"/>
      <c r="B745" s="16" t="str">
        <f t="shared" si="2"/>
        <v/>
      </c>
      <c r="C745" s="16"/>
      <c r="D745" s="16"/>
      <c r="E745" s="16"/>
      <c r="F745" s="17"/>
      <c r="G745" s="16"/>
      <c r="H745" s="16"/>
      <c r="I745" s="16"/>
      <c r="J745" s="22"/>
      <c r="K745" s="16"/>
      <c r="L745" s="16"/>
      <c r="M745" s="16"/>
      <c r="N745" s="19"/>
      <c r="O745" s="19"/>
      <c r="P745" s="19"/>
      <c r="Q745" s="19"/>
      <c r="R745" s="19"/>
      <c r="S745" s="19"/>
      <c r="T745" s="19"/>
      <c r="U745" s="19"/>
      <c r="V745" s="19"/>
      <c r="W745" s="20"/>
      <c r="X745" s="20"/>
    </row>
    <row r="746" spans="1:24" ht="15.75" hidden="1" customHeight="1" x14ac:dyDescent="0.25">
      <c r="A746" s="16"/>
      <c r="B746" s="16" t="str">
        <f t="shared" si="2"/>
        <v/>
      </c>
      <c r="C746" s="16"/>
      <c r="D746" s="16"/>
      <c r="E746" s="16"/>
      <c r="F746" s="17"/>
      <c r="G746" s="16"/>
      <c r="H746" s="16"/>
      <c r="I746" s="16"/>
      <c r="J746" s="22"/>
      <c r="K746" s="16"/>
      <c r="L746" s="16"/>
      <c r="M746" s="16"/>
      <c r="N746" s="19"/>
      <c r="O746" s="19"/>
      <c r="P746" s="19"/>
      <c r="Q746" s="19"/>
      <c r="R746" s="19"/>
      <c r="S746" s="19"/>
      <c r="T746" s="19"/>
      <c r="U746" s="19"/>
      <c r="V746" s="19"/>
      <c r="W746" s="20"/>
      <c r="X746" s="20"/>
    </row>
    <row r="747" spans="1:24" ht="15.75" hidden="1" customHeight="1" x14ac:dyDescent="0.25">
      <c r="A747" s="16"/>
      <c r="B747" s="16" t="str">
        <f t="shared" si="2"/>
        <v/>
      </c>
      <c r="C747" s="16"/>
      <c r="D747" s="16"/>
      <c r="E747" s="16"/>
      <c r="F747" s="17"/>
      <c r="G747" s="16"/>
      <c r="H747" s="16"/>
      <c r="I747" s="16"/>
      <c r="J747" s="22"/>
      <c r="K747" s="16"/>
      <c r="L747" s="16"/>
      <c r="M747" s="16"/>
      <c r="N747" s="19"/>
      <c r="O747" s="19"/>
      <c r="P747" s="19"/>
      <c r="Q747" s="19"/>
      <c r="R747" s="19"/>
      <c r="S747" s="19"/>
      <c r="T747" s="19"/>
      <c r="U747" s="19"/>
      <c r="V747" s="19"/>
      <c r="W747" s="20"/>
      <c r="X747" s="20"/>
    </row>
    <row r="748" spans="1:24" ht="15.75" hidden="1" customHeight="1" x14ac:dyDescent="0.25">
      <c r="A748" s="16"/>
      <c r="B748" s="16" t="str">
        <f t="shared" si="2"/>
        <v/>
      </c>
      <c r="C748" s="16"/>
      <c r="D748" s="16"/>
      <c r="E748" s="16"/>
      <c r="F748" s="17"/>
      <c r="G748" s="16"/>
      <c r="H748" s="16"/>
      <c r="I748" s="16"/>
      <c r="J748" s="22"/>
      <c r="K748" s="16"/>
      <c r="L748" s="16"/>
      <c r="M748" s="16"/>
      <c r="N748" s="19"/>
      <c r="O748" s="19"/>
      <c r="P748" s="19"/>
      <c r="Q748" s="19"/>
      <c r="R748" s="19"/>
      <c r="S748" s="19"/>
      <c r="T748" s="19"/>
      <c r="U748" s="19"/>
      <c r="V748" s="19"/>
      <c r="W748" s="20"/>
      <c r="X748" s="20"/>
    </row>
    <row r="749" spans="1:24" ht="15.75" hidden="1" customHeight="1" x14ac:dyDescent="0.25">
      <c r="A749" s="16"/>
      <c r="B749" s="16" t="str">
        <f t="shared" si="2"/>
        <v/>
      </c>
      <c r="C749" s="16"/>
      <c r="D749" s="16"/>
      <c r="E749" s="16"/>
      <c r="F749" s="17"/>
      <c r="G749" s="16"/>
      <c r="H749" s="16"/>
      <c r="I749" s="16"/>
      <c r="J749" s="22"/>
      <c r="K749" s="16"/>
      <c r="L749" s="16"/>
      <c r="M749" s="16"/>
      <c r="N749" s="19"/>
      <c r="O749" s="19"/>
      <c r="P749" s="19"/>
      <c r="Q749" s="19"/>
      <c r="R749" s="19"/>
      <c r="S749" s="19"/>
      <c r="T749" s="19"/>
      <c r="U749" s="19"/>
      <c r="V749" s="19"/>
      <c r="W749" s="20"/>
      <c r="X749" s="20"/>
    </row>
    <row r="750" spans="1:24" ht="15.75" hidden="1" customHeight="1" x14ac:dyDescent="0.25">
      <c r="A750" s="16"/>
      <c r="B750" s="16" t="str">
        <f t="shared" si="2"/>
        <v/>
      </c>
      <c r="C750" s="16"/>
      <c r="D750" s="16"/>
      <c r="E750" s="16"/>
      <c r="F750" s="17"/>
      <c r="G750" s="16"/>
      <c r="H750" s="16"/>
      <c r="I750" s="16"/>
      <c r="J750" s="22"/>
      <c r="K750" s="16"/>
      <c r="L750" s="16"/>
      <c r="M750" s="16"/>
      <c r="N750" s="19"/>
      <c r="O750" s="19"/>
      <c r="P750" s="19"/>
      <c r="Q750" s="19"/>
      <c r="R750" s="19"/>
      <c r="S750" s="19"/>
      <c r="T750" s="19"/>
      <c r="U750" s="19"/>
      <c r="V750" s="19"/>
      <c r="W750" s="20"/>
      <c r="X750" s="20"/>
    </row>
    <row r="751" spans="1:24" ht="15.75" hidden="1" customHeight="1" x14ac:dyDescent="0.25">
      <c r="A751" s="16"/>
      <c r="B751" s="16" t="str">
        <f t="shared" si="2"/>
        <v/>
      </c>
      <c r="C751" s="16"/>
      <c r="D751" s="16"/>
      <c r="E751" s="16"/>
      <c r="F751" s="17"/>
      <c r="G751" s="16"/>
      <c r="H751" s="16"/>
      <c r="I751" s="16"/>
      <c r="J751" s="22"/>
      <c r="K751" s="16"/>
      <c r="L751" s="16"/>
      <c r="M751" s="16"/>
      <c r="N751" s="19"/>
      <c r="O751" s="19"/>
      <c r="P751" s="19"/>
      <c r="Q751" s="19"/>
      <c r="R751" s="19"/>
      <c r="S751" s="19"/>
      <c r="T751" s="19"/>
      <c r="U751" s="19"/>
      <c r="V751" s="19"/>
      <c r="W751" s="20"/>
      <c r="X751" s="20"/>
    </row>
    <row r="752" spans="1:24" ht="15.75" hidden="1" customHeight="1" x14ac:dyDescent="0.25">
      <c r="A752" s="16"/>
      <c r="B752" s="16" t="str">
        <f t="shared" si="2"/>
        <v/>
      </c>
      <c r="C752" s="16"/>
      <c r="D752" s="16"/>
      <c r="E752" s="16"/>
      <c r="F752" s="17"/>
      <c r="G752" s="16"/>
      <c r="H752" s="16"/>
      <c r="I752" s="16"/>
      <c r="J752" s="22"/>
      <c r="K752" s="16"/>
      <c r="L752" s="16"/>
      <c r="M752" s="16"/>
      <c r="N752" s="19"/>
      <c r="O752" s="19"/>
      <c r="P752" s="19"/>
      <c r="Q752" s="19"/>
      <c r="R752" s="19"/>
      <c r="S752" s="19"/>
      <c r="T752" s="19"/>
      <c r="U752" s="19"/>
      <c r="V752" s="19"/>
      <c r="W752" s="20"/>
      <c r="X752" s="20"/>
    </row>
    <row r="753" spans="1:24" ht="15.75" hidden="1" customHeight="1" x14ac:dyDescent="0.25">
      <c r="A753" s="16"/>
      <c r="B753" s="16" t="str">
        <f t="shared" si="2"/>
        <v/>
      </c>
      <c r="C753" s="16"/>
      <c r="D753" s="16"/>
      <c r="E753" s="16"/>
      <c r="F753" s="17"/>
      <c r="G753" s="16"/>
      <c r="H753" s="16"/>
      <c r="I753" s="16"/>
      <c r="J753" s="22"/>
      <c r="K753" s="16"/>
      <c r="L753" s="16"/>
      <c r="M753" s="16"/>
      <c r="N753" s="19"/>
      <c r="O753" s="19"/>
      <c r="P753" s="19"/>
      <c r="Q753" s="19"/>
      <c r="R753" s="19"/>
      <c r="S753" s="19"/>
      <c r="T753" s="19"/>
      <c r="U753" s="19"/>
      <c r="V753" s="19"/>
      <c r="W753" s="20"/>
      <c r="X753" s="20"/>
    </row>
    <row r="754" spans="1:24" ht="15.75" hidden="1" customHeight="1" x14ac:dyDescent="0.25">
      <c r="A754" s="16"/>
      <c r="B754" s="16" t="str">
        <f t="shared" si="2"/>
        <v/>
      </c>
      <c r="C754" s="16"/>
      <c r="D754" s="16"/>
      <c r="E754" s="16"/>
      <c r="F754" s="17"/>
      <c r="G754" s="16"/>
      <c r="H754" s="16"/>
      <c r="I754" s="16"/>
      <c r="J754" s="22"/>
      <c r="K754" s="16"/>
      <c r="L754" s="16"/>
      <c r="M754" s="16"/>
      <c r="N754" s="19"/>
      <c r="O754" s="19"/>
      <c r="P754" s="19"/>
      <c r="Q754" s="19"/>
      <c r="R754" s="19"/>
      <c r="S754" s="19"/>
      <c r="T754" s="19"/>
      <c r="U754" s="19"/>
      <c r="V754" s="19"/>
      <c r="W754" s="20"/>
      <c r="X754" s="20"/>
    </row>
    <row r="755" spans="1:24" ht="15.75" hidden="1" customHeight="1" x14ac:dyDescent="0.25">
      <c r="A755" s="16"/>
      <c r="B755" s="16" t="str">
        <f t="shared" si="2"/>
        <v/>
      </c>
      <c r="C755" s="16"/>
      <c r="D755" s="16"/>
      <c r="E755" s="16"/>
      <c r="F755" s="17"/>
      <c r="G755" s="16"/>
      <c r="H755" s="16"/>
      <c r="I755" s="16"/>
      <c r="J755" s="22"/>
      <c r="K755" s="16"/>
      <c r="L755" s="16"/>
      <c r="M755" s="16"/>
      <c r="N755" s="19"/>
      <c r="O755" s="19"/>
      <c r="P755" s="19"/>
      <c r="Q755" s="19"/>
      <c r="R755" s="19"/>
      <c r="S755" s="19"/>
      <c r="T755" s="19"/>
      <c r="U755" s="19"/>
      <c r="V755" s="19"/>
      <c r="W755" s="20"/>
      <c r="X755" s="20"/>
    </row>
    <row r="756" spans="1:24" ht="15.75" hidden="1" customHeight="1" x14ac:dyDescent="0.25">
      <c r="A756" s="16"/>
      <c r="B756" s="16" t="str">
        <f t="shared" si="2"/>
        <v/>
      </c>
      <c r="C756" s="16"/>
      <c r="D756" s="16"/>
      <c r="E756" s="16"/>
      <c r="F756" s="17"/>
      <c r="G756" s="16"/>
      <c r="H756" s="16"/>
      <c r="I756" s="16"/>
      <c r="J756" s="22"/>
      <c r="K756" s="16"/>
      <c r="L756" s="16"/>
      <c r="M756" s="16"/>
      <c r="N756" s="19"/>
      <c r="O756" s="19"/>
      <c r="P756" s="19"/>
      <c r="Q756" s="19"/>
      <c r="R756" s="19"/>
      <c r="S756" s="19"/>
      <c r="T756" s="19"/>
      <c r="U756" s="19"/>
      <c r="V756" s="19"/>
      <c r="W756" s="20"/>
      <c r="X756" s="20"/>
    </row>
    <row r="757" spans="1:24" ht="15.75" hidden="1" customHeight="1" x14ac:dyDescent="0.25">
      <c r="A757" s="16"/>
      <c r="B757" s="16" t="str">
        <f t="shared" si="2"/>
        <v/>
      </c>
      <c r="C757" s="16"/>
      <c r="D757" s="16"/>
      <c r="E757" s="16"/>
      <c r="F757" s="17"/>
      <c r="G757" s="16"/>
      <c r="H757" s="16"/>
      <c r="I757" s="16"/>
      <c r="J757" s="22"/>
      <c r="K757" s="16"/>
      <c r="L757" s="16"/>
      <c r="M757" s="16"/>
      <c r="N757" s="19"/>
      <c r="O757" s="19"/>
      <c r="P757" s="19"/>
      <c r="Q757" s="19"/>
      <c r="R757" s="19"/>
      <c r="S757" s="19"/>
      <c r="T757" s="19"/>
      <c r="U757" s="19"/>
      <c r="V757" s="19"/>
      <c r="W757" s="20"/>
      <c r="X757" s="20"/>
    </row>
    <row r="758" spans="1:24" ht="15.75" hidden="1" customHeight="1" x14ac:dyDescent="0.25">
      <c r="A758" s="16"/>
      <c r="B758" s="16" t="str">
        <f t="shared" si="2"/>
        <v/>
      </c>
      <c r="C758" s="16"/>
      <c r="D758" s="16"/>
      <c r="E758" s="16"/>
      <c r="F758" s="17"/>
      <c r="G758" s="16"/>
      <c r="H758" s="16"/>
      <c r="I758" s="16"/>
      <c r="J758" s="22"/>
      <c r="K758" s="16"/>
      <c r="L758" s="16"/>
      <c r="M758" s="16"/>
      <c r="N758" s="19"/>
      <c r="O758" s="19"/>
      <c r="P758" s="19"/>
      <c r="Q758" s="19"/>
      <c r="R758" s="19"/>
      <c r="S758" s="19"/>
      <c r="T758" s="19"/>
      <c r="U758" s="19"/>
      <c r="V758" s="19"/>
      <c r="W758" s="20"/>
      <c r="X758" s="20"/>
    </row>
    <row r="759" spans="1:24" ht="15.75" hidden="1" customHeight="1" x14ac:dyDescent="0.25">
      <c r="A759" s="16"/>
      <c r="B759" s="16" t="str">
        <f t="shared" si="2"/>
        <v/>
      </c>
      <c r="C759" s="16"/>
      <c r="D759" s="16"/>
      <c r="E759" s="16"/>
      <c r="F759" s="17"/>
      <c r="G759" s="16"/>
      <c r="H759" s="16"/>
      <c r="I759" s="16"/>
      <c r="J759" s="22"/>
      <c r="K759" s="16"/>
      <c r="L759" s="16"/>
      <c r="M759" s="16"/>
      <c r="N759" s="19"/>
      <c r="O759" s="19"/>
      <c r="P759" s="19"/>
      <c r="Q759" s="19"/>
      <c r="R759" s="19"/>
      <c r="S759" s="19"/>
      <c r="T759" s="19"/>
      <c r="U759" s="19"/>
      <c r="V759" s="19"/>
      <c r="W759" s="20"/>
      <c r="X759" s="20"/>
    </row>
    <row r="760" spans="1:24" ht="15.75" hidden="1" customHeight="1" x14ac:dyDescent="0.25">
      <c r="A760" s="16"/>
      <c r="B760" s="16" t="str">
        <f t="shared" si="2"/>
        <v/>
      </c>
      <c r="C760" s="16"/>
      <c r="D760" s="16"/>
      <c r="E760" s="16"/>
      <c r="F760" s="17"/>
      <c r="G760" s="16"/>
      <c r="H760" s="16"/>
      <c r="I760" s="16"/>
      <c r="J760" s="22"/>
      <c r="K760" s="16"/>
      <c r="L760" s="16"/>
      <c r="M760" s="16"/>
      <c r="N760" s="19"/>
      <c r="O760" s="19"/>
      <c r="P760" s="19"/>
      <c r="Q760" s="19"/>
      <c r="R760" s="19"/>
      <c r="S760" s="19"/>
      <c r="T760" s="19"/>
      <c r="U760" s="19"/>
      <c r="V760" s="19"/>
      <c r="W760" s="20"/>
      <c r="X760" s="20"/>
    </row>
    <row r="761" spans="1:24" ht="15.75" hidden="1" customHeight="1" x14ac:dyDescent="0.25">
      <c r="A761" s="16"/>
      <c r="B761" s="16" t="str">
        <f t="shared" si="2"/>
        <v/>
      </c>
      <c r="C761" s="16"/>
      <c r="D761" s="16"/>
      <c r="E761" s="16"/>
      <c r="F761" s="17"/>
      <c r="G761" s="16"/>
      <c r="H761" s="16"/>
      <c r="I761" s="16"/>
      <c r="J761" s="22"/>
      <c r="K761" s="16"/>
      <c r="L761" s="16"/>
      <c r="M761" s="16"/>
      <c r="N761" s="19"/>
      <c r="O761" s="19"/>
      <c r="P761" s="19"/>
      <c r="Q761" s="19"/>
      <c r="R761" s="19"/>
      <c r="S761" s="19"/>
      <c r="T761" s="19"/>
      <c r="U761" s="19"/>
      <c r="V761" s="19"/>
      <c r="W761" s="20"/>
      <c r="X761" s="20"/>
    </row>
    <row r="762" spans="1:24" ht="15.75" hidden="1" customHeight="1" x14ac:dyDescent="0.25">
      <c r="A762" s="16"/>
      <c r="B762" s="16" t="str">
        <f t="shared" si="2"/>
        <v/>
      </c>
      <c r="C762" s="16"/>
      <c r="D762" s="16"/>
      <c r="E762" s="16"/>
      <c r="F762" s="17"/>
      <c r="G762" s="16"/>
      <c r="H762" s="16"/>
      <c r="I762" s="16"/>
      <c r="J762" s="22"/>
      <c r="K762" s="16"/>
      <c r="L762" s="16"/>
      <c r="M762" s="16"/>
      <c r="N762" s="19"/>
      <c r="O762" s="19"/>
      <c r="P762" s="19"/>
      <c r="Q762" s="19"/>
      <c r="R762" s="19"/>
      <c r="S762" s="19"/>
      <c r="T762" s="19"/>
      <c r="U762" s="19"/>
      <c r="V762" s="19"/>
      <c r="W762" s="20"/>
      <c r="X762" s="20"/>
    </row>
    <row r="763" spans="1:24" ht="15.75" hidden="1" customHeight="1" x14ac:dyDescent="0.25">
      <c r="A763" s="16"/>
      <c r="B763" s="16" t="str">
        <f t="shared" si="2"/>
        <v/>
      </c>
      <c r="C763" s="16"/>
      <c r="D763" s="16"/>
      <c r="E763" s="16"/>
      <c r="F763" s="17"/>
      <c r="G763" s="16"/>
      <c r="H763" s="16"/>
      <c r="I763" s="16"/>
      <c r="J763" s="22"/>
      <c r="K763" s="16"/>
      <c r="L763" s="16"/>
      <c r="M763" s="16"/>
      <c r="N763" s="19"/>
      <c r="O763" s="19"/>
      <c r="P763" s="19"/>
      <c r="Q763" s="19"/>
      <c r="R763" s="19"/>
      <c r="S763" s="19"/>
      <c r="T763" s="19"/>
      <c r="U763" s="19"/>
      <c r="V763" s="19"/>
      <c r="W763" s="20"/>
      <c r="X763" s="20"/>
    </row>
    <row r="764" spans="1:24" ht="15.75" hidden="1" customHeight="1" x14ac:dyDescent="0.25">
      <c r="A764" s="16"/>
      <c r="B764" s="16" t="str">
        <f t="shared" si="2"/>
        <v/>
      </c>
      <c r="C764" s="16"/>
      <c r="D764" s="16"/>
      <c r="E764" s="16"/>
      <c r="F764" s="17"/>
      <c r="G764" s="16"/>
      <c r="H764" s="16"/>
      <c r="I764" s="16"/>
      <c r="J764" s="22"/>
      <c r="K764" s="16"/>
      <c r="L764" s="16"/>
      <c r="M764" s="16"/>
      <c r="N764" s="19"/>
      <c r="O764" s="19"/>
      <c r="P764" s="19"/>
      <c r="Q764" s="19"/>
      <c r="R764" s="19"/>
      <c r="S764" s="19"/>
      <c r="T764" s="19"/>
      <c r="U764" s="19"/>
      <c r="V764" s="19"/>
      <c r="W764" s="20"/>
      <c r="X764" s="20"/>
    </row>
    <row r="765" spans="1:24" ht="15.75" hidden="1" customHeight="1" x14ac:dyDescent="0.25">
      <c r="A765" s="16"/>
      <c r="B765" s="16" t="str">
        <f t="shared" si="2"/>
        <v/>
      </c>
      <c r="C765" s="16"/>
      <c r="D765" s="16"/>
      <c r="E765" s="16"/>
      <c r="F765" s="17"/>
      <c r="G765" s="16"/>
      <c r="H765" s="16"/>
      <c r="I765" s="16"/>
      <c r="J765" s="22"/>
      <c r="K765" s="16"/>
      <c r="L765" s="16"/>
      <c r="M765" s="16"/>
      <c r="N765" s="19"/>
      <c r="O765" s="19"/>
      <c r="P765" s="19"/>
      <c r="Q765" s="19"/>
      <c r="R765" s="19"/>
      <c r="S765" s="19"/>
      <c r="T765" s="19"/>
      <c r="U765" s="19"/>
      <c r="V765" s="19"/>
      <c r="W765" s="20"/>
      <c r="X765" s="20"/>
    </row>
    <row r="766" spans="1:24" ht="15.75" hidden="1" customHeight="1" x14ac:dyDescent="0.25">
      <c r="A766" s="16"/>
      <c r="B766" s="16" t="str">
        <f t="shared" si="2"/>
        <v/>
      </c>
      <c r="C766" s="16"/>
      <c r="D766" s="16"/>
      <c r="E766" s="16"/>
      <c r="F766" s="17"/>
      <c r="G766" s="16"/>
      <c r="H766" s="16"/>
      <c r="I766" s="16"/>
      <c r="J766" s="22"/>
      <c r="K766" s="16"/>
      <c r="L766" s="16"/>
      <c r="M766" s="16"/>
      <c r="N766" s="19"/>
      <c r="O766" s="19"/>
      <c r="P766" s="19"/>
      <c r="Q766" s="19"/>
      <c r="R766" s="19"/>
      <c r="S766" s="19"/>
      <c r="T766" s="19"/>
      <c r="U766" s="19"/>
      <c r="V766" s="19"/>
      <c r="W766" s="20"/>
      <c r="X766" s="20"/>
    </row>
    <row r="767" spans="1:24" ht="15.75" hidden="1" customHeight="1" x14ac:dyDescent="0.25">
      <c r="A767" s="16"/>
      <c r="B767" s="16" t="str">
        <f t="shared" si="2"/>
        <v/>
      </c>
      <c r="C767" s="16"/>
      <c r="D767" s="16"/>
      <c r="E767" s="16"/>
      <c r="F767" s="17"/>
      <c r="G767" s="16"/>
      <c r="H767" s="16"/>
      <c r="I767" s="16"/>
      <c r="J767" s="22"/>
      <c r="K767" s="16"/>
      <c r="L767" s="16"/>
      <c r="M767" s="16"/>
      <c r="N767" s="19"/>
      <c r="O767" s="19"/>
      <c r="P767" s="19"/>
      <c r="Q767" s="19"/>
      <c r="R767" s="19"/>
      <c r="S767" s="19"/>
      <c r="T767" s="19"/>
      <c r="U767" s="19"/>
      <c r="V767" s="19"/>
      <c r="W767" s="20"/>
      <c r="X767" s="20"/>
    </row>
    <row r="768" spans="1:24" ht="15.75" hidden="1" customHeight="1" x14ac:dyDescent="0.25">
      <c r="A768" s="16"/>
      <c r="B768" s="16" t="str">
        <f t="shared" si="2"/>
        <v/>
      </c>
      <c r="C768" s="16"/>
      <c r="D768" s="16"/>
      <c r="E768" s="16"/>
      <c r="F768" s="17"/>
      <c r="G768" s="16"/>
      <c r="H768" s="16"/>
      <c r="I768" s="16"/>
      <c r="J768" s="22"/>
      <c r="K768" s="16"/>
      <c r="L768" s="16"/>
      <c r="M768" s="16"/>
      <c r="N768" s="19"/>
      <c r="O768" s="19"/>
      <c r="P768" s="19"/>
      <c r="Q768" s="19"/>
      <c r="R768" s="19"/>
      <c r="S768" s="19"/>
      <c r="T768" s="19"/>
      <c r="U768" s="19"/>
      <c r="V768" s="19"/>
      <c r="W768" s="20"/>
      <c r="X768" s="20"/>
    </row>
    <row r="769" spans="1:24" ht="15.75" hidden="1" customHeight="1" x14ac:dyDescent="0.25">
      <c r="A769" s="16"/>
      <c r="B769" s="16" t="str">
        <f t="shared" si="2"/>
        <v/>
      </c>
      <c r="C769" s="16"/>
      <c r="D769" s="16"/>
      <c r="E769" s="16"/>
      <c r="F769" s="17"/>
      <c r="G769" s="16"/>
      <c r="H769" s="16"/>
      <c r="I769" s="16"/>
      <c r="J769" s="22"/>
      <c r="K769" s="16"/>
      <c r="L769" s="16"/>
      <c r="M769" s="16"/>
      <c r="N769" s="19"/>
      <c r="O769" s="19"/>
      <c r="P769" s="19"/>
      <c r="Q769" s="19"/>
      <c r="R769" s="19"/>
      <c r="S769" s="19"/>
      <c r="T769" s="19"/>
      <c r="U769" s="19"/>
      <c r="V769" s="19"/>
      <c r="W769" s="20"/>
      <c r="X769" s="20"/>
    </row>
    <row r="770" spans="1:24" ht="15.75" hidden="1" customHeight="1" x14ac:dyDescent="0.25">
      <c r="A770" s="16"/>
      <c r="B770" s="16" t="str">
        <f t="shared" si="2"/>
        <v/>
      </c>
      <c r="C770" s="16"/>
      <c r="D770" s="16"/>
      <c r="E770" s="16"/>
      <c r="F770" s="17"/>
      <c r="G770" s="16"/>
      <c r="H770" s="16"/>
      <c r="I770" s="16"/>
      <c r="J770" s="22"/>
      <c r="K770" s="16"/>
      <c r="L770" s="16"/>
      <c r="M770" s="16"/>
      <c r="N770" s="19"/>
      <c r="O770" s="19"/>
      <c r="P770" s="19"/>
      <c r="Q770" s="19"/>
      <c r="R770" s="19"/>
      <c r="S770" s="19"/>
      <c r="T770" s="19"/>
      <c r="U770" s="19"/>
      <c r="V770" s="19"/>
      <c r="W770" s="20"/>
      <c r="X770" s="20"/>
    </row>
    <row r="771" spans="1:24" ht="15.75" hidden="1" customHeight="1" x14ac:dyDescent="0.25">
      <c r="A771" s="16"/>
      <c r="B771" s="16" t="str">
        <f t="shared" si="2"/>
        <v/>
      </c>
      <c r="C771" s="16"/>
      <c r="D771" s="16"/>
      <c r="E771" s="16"/>
      <c r="F771" s="17"/>
      <c r="G771" s="16"/>
      <c r="H771" s="16"/>
      <c r="I771" s="16"/>
      <c r="J771" s="22"/>
      <c r="K771" s="16"/>
      <c r="L771" s="16"/>
      <c r="M771" s="16"/>
      <c r="N771" s="19"/>
      <c r="O771" s="19"/>
      <c r="P771" s="19"/>
      <c r="Q771" s="19"/>
      <c r="R771" s="19"/>
      <c r="S771" s="19"/>
      <c r="T771" s="19"/>
      <c r="U771" s="19"/>
      <c r="V771" s="19"/>
      <c r="W771" s="20"/>
      <c r="X771" s="20"/>
    </row>
    <row r="772" spans="1:24" ht="15.75" hidden="1" customHeight="1" x14ac:dyDescent="0.25">
      <c r="A772" s="16"/>
      <c r="B772" s="16" t="str">
        <f t="shared" si="2"/>
        <v/>
      </c>
      <c r="C772" s="16"/>
      <c r="D772" s="16"/>
      <c r="E772" s="16"/>
      <c r="F772" s="17"/>
      <c r="G772" s="16"/>
      <c r="H772" s="16"/>
      <c r="I772" s="16"/>
      <c r="J772" s="22"/>
      <c r="K772" s="16"/>
      <c r="L772" s="16"/>
      <c r="M772" s="16"/>
      <c r="N772" s="19"/>
      <c r="O772" s="19"/>
      <c r="P772" s="19"/>
      <c r="Q772" s="19"/>
      <c r="R772" s="19"/>
      <c r="S772" s="19"/>
      <c r="T772" s="19"/>
      <c r="U772" s="19"/>
      <c r="V772" s="19"/>
      <c r="W772" s="20"/>
      <c r="X772" s="20"/>
    </row>
    <row r="773" spans="1:24" ht="15.75" hidden="1" customHeight="1" x14ac:dyDescent="0.25">
      <c r="A773" s="16"/>
      <c r="B773" s="16" t="str">
        <f t="shared" si="2"/>
        <v/>
      </c>
      <c r="C773" s="16"/>
      <c r="D773" s="16"/>
      <c r="E773" s="16"/>
      <c r="F773" s="17"/>
      <c r="G773" s="16"/>
      <c r="H773" s="16"/>
      <c r="I773" s="16"/>
      <c r="J773" s="22"/>
      <c r="K773" s="16"/>
      <c r="L773" s="16"/>
      <c r="M773" s="16"/>
      <c r="N773" s="19"/>
      <c r="O773" s="19"/>
      <c r="P773" s="19"/>
      <c r="Q773" s="19"/>
      <c r="R773" s="19"/>
      <c r="S773" s="19"/>
      <c r="T773" s="19"/>
      <c r="U773" s="19"/>
      <c r="V773" s="19"/>
      <c r="W773" s="20"/>
      <c r="X773" s="20"/>
    </row>
    <row r="774" spans="1:24" ht="15.75" hidden="1" customHeight="1" x14ac:dyDescent="0.25">
      <c r="A774" s="16"/>
      <c r="B774" s="16" t="str">
        <f t="shared" si="2"/>
        <v/>
      </c>
      <c r="C774" s="16"/>
      <c r="D774" s="16"/>
      <c r="E774" s="16"/>
      <c r="F774" s="17"/>
      <c r="G774" s="16"/>
      <c r="H774" s="16"/>
      <c r="I774" s="16"/>
      <c r="J774" s="22"/>
      <c r="K774" s="16"/>
      <c r="L774" s="16"/>
      <c r="M774" s="16"/>
      <c r="N774" s="19"/>
      <c r="O774" s="19"/>
      <c r="P774" s="19"/>
      <c r="Q774" s="19"/>
      <c r="R774" s="19"/>
      <c r="S774" s="19"/>
      <c r="T774" s="19"/>
      <c r="U774" s="19"/>
      <c r="V774" s="19"/>
      <c r="W774" s="20"/>
      <c r="X774" s="20"/>
    </row>
    <row r="775" spans="1:24" ht="15.75" hidden="1" customHeight="1" x14ac:dyDescent="0.25">
      <c r="A775" s="16"/>
      <c r="B775" s="16" t="str">
        <f t="shared" si="2"/>
        <v/>
      </c>
      <c r="C775" s="16"/>
      <c r="D775" s="16"/>
      <c r="E775" s="16"/>
      <c r="F775" s="17"/>
      <c r="G775" s="16"/>
      <c r="H775" s="16"/>
      <c r="I775" s="16"/>
      <c r="J775" s="22"/>
      <c r="K775" s="16"/>
      <c r="L775" s="16"/>
      <c r="M775" s="16"/>
      <c r="N775" s="19"/>
      <c r="O775" s="19"/>
      <c r="P775" s="19"/>
      <c r="Q775" s="19"/>
      <c r="R775" s="19"/>
      <c r="S775" s="19"/>
      <c r="T775" s="19"/>
      <c r="U775" s="19"/>
      <c r="V775" s="19"/>
      <c r="W775" s="20"/>
      <c r="X775" s="20"/>
    </row>
    <row r="776" spans="1:24" ht="15.75" hidden="1" customHeight="1" x14ac:dyDescent="0.25">
      <c r="A776" s="16"/>
      <c r="B776" s="16" t="str">
        <f t="shared" si="2"/>
        <v/>
      </c>
      <c r="C776" s="16"/>
      <c r="D776" s="16"/>
      <c r="E776" s="16"/>
      <c r="F776" s="17"/>
      <c r="G776" s="16"/>
      <c r="H776" s="16"/>
      <c r="I776" s="16"/>
      <c r="J776" s="22"/>
      <c r="K776" s="16"/>
      <c r="L776" s="16"/>
      <c r="M776" s="16"/>
      <c r="N776" s="19"/>
      <c r="O776" s="19"/>
      <c r="P776" s="19"/>
      <c r="Q776" s="19"/>
      <c r="R776" s="19"/>
      <c r="S776" s="19"/>
      <c r="T776" s="19"/>
      <c r="U776" s="19"/>
      <c r="V776" s="19"/>
      <c r="W776" s="20"/>
      <c r="X776" s="20"/>
    </row>
    <row r="777" spans="1:24" ht="15.75" hidden="1" customHeight="1" x14ac:dyDescent="0.25">
      <c r="A777" s="16"/>
      <c r="B777" s="16" t="str">
        <f t="shared" si="2"/>
        <v/>
      </c>
      <c r="C777" s="16"/>
      <c r="D777" s="16"/>
      <c r="E777" s="16"/>
      <c r="F777" s="17"/>
      <c r="G777" s="16"/>
      <c r="H777" s="16"/>
      <c r="I777" s="16"/>
      <c r="J777" s="22"/>
      <c r="K777" s="16"/>
      <c r="L777" s="16"/>
      <c r="M777" s="16"/>
      <c r="N777" s="19"/>
      <c r="O777" s="19"/>
      <c r="P777" s="19"/>
      <c r="Q777" s="19"/>
      <c r="R777" s="19"/>
      <c r="S777" s="19"/>
      <c r="T777" s="19"/>
      <c r="U777" s="19"/>
      <c r="V777" s="19"/>
      <c r="W777" s="20"/>
      <c r="X777" s="20"/>
    </row>
    <row r="778" spans="1:24" ht="15.75" hidden="1" customHeight="1" x14ac:dyDescent="0.25">
      <c r="A778" s="16"/>
      <c r="B778" s="16" t="str">
        <f t="shared" si="2"/>
        <v/>
      </c>
      <c r="C778" s="16"/>
      <c r="D778" s="16"/>
      <c r="E778" s="16"/>
      <c r="F778" s="17"/>
      <c r="G778" s="16"/>
      <c r="H778" s="16"/>
      <c r="I778" s="16"/>
      <c r="J778" s="22"/>
      <c r="K778" s="16"/>
      <c r="L778" s="16"/>
      <c r="M778" s="16"/>
      <c r="N778" s="19"/>
      <c r="O778" s="19"/>
      <c r="P778" s="19"/>
      <c r="Q778" s="19"/>
      <c r="R778" s="19"/>
      <c r="S778" s="19"/>
      <c r="T778" s="19"/>
      <c r="U778" s="19"/>
      <c r="V778" s="19"/>
      <c r="W778" s="20"/>
      <c r="X778" s="20"/>
    </row>
    <row r="779" spans="1:24" ht="15.75" hidden="1" customHeight="1" x14ac:dyDescent="0.25">
      <c r="A779" s="16"/>
      <c r="B779" s="16" t="str">
        <f t="shared" si="2"/>
        <v/>
      </c>
      <c r="C779" s="16"/>
      <c r="D779" s="16"/>
      <c r="E779" s="16"/>
      <c r="F779" s="17"/>
      <c r="G779" s="16"/>
      <c r="H779" s="16"/>
      <c r="I779" s="16"/>
      <c r="J779" s="22"/>
      <c r="K779" s="16"/>
      <c r="L779" s="16"/>
      <c r="M779" s="16"/>
      <c r="N779" s="19"/>
      <c r="O779" s="19"/>
      <c r="P779" s="19"/>
      <c r="Q779" s="19"/>
      <c r="R779" s="19"/>
      <c r="S779" s="19"/>
      <c r="T779" s="19"/>
      <c r="U779" s="19"/>
      <c r="V779" s="19"/>
      <c r="W779" s="20"/>
      <c r="X779" s="20"/>
    </row>
    <row r="780" spans="1:24" ht="15.75" hidden="1" customHeight="1" x14ac:dyDescent="0.25">
      <c r="A780" s="16"/>
      <c r="B780" s="16" t="str">
        <f t="shared" si="2"/>
        <v/>
      </c>
      <c r="C780" s="16"/>
      <c r="D780" s="16"/>
      <c r="E780" s="16"/>
      <c r="F780" s="17"/>
      <c r="G780" s="16"/>
      <c r="H780" s="16"/>
      <c r="I780" s="16"/>
      <c r="J780" s="22"/>
      <c r="K780" s="16"/>
      <c r="L780" s="16"/>
      <c r="M780" s="16"/>
      <c r="N780" s="19"/>
      <c r="O780" s="19"/>
      <c r="P780" s="19"/>
      <c r="Q780" s="19"/>
      <c r="R780" s="19"/>
      <c r="S780" s="19"/>
      <c r="T780" s="19"/>
      <c r="U780" s="19"/>
      <c r="V780" s="19"/>
      <c r="W780" s="20"/>
      <c r="X780" s="20"/>
    </row>
    <row r="781" spans="1:24" ht="15.75" hidden="1" customHeight="1" x14ac:dyDescent="0.25">
      <c r="A781" s="16"/>
      <c r="B781" s="16" t="str">
        <f t="shared" si="2"/>
        <v/>
      </c>
      <c r="C781" s="16"/>
      <c r="D781" s="16"/>
      <c r="E781" s="16"/>
      <c r="F781" s="17"/>
      <c r="G781" s="16"/>
      <c r="H781" s="16"/>
      <c r="I781" s="16"/>
      <c r="J781" s="22"/>
      <c r="K781" s="16"/>
      <c r="L781" s="16"/>
      <c r="M781" s="16"/>
      <c r="N781" s="19"/>
      <c r="O781" s="19"/>
      <c r="P781" s="19"/>
      <c r="Q781" s="19"/>
      <c r="R781" s="19"/>
      <c r="S781" s="19"/>
      <c r="T781" s="19"/>
      <c r="U781" s="19"/>
      <c r="V781" s="19"/>
      <c r="W781" s="20"/>
      <c r="X781" s="20"/>
    </row>
    <row r="782" spans="1:24" ht="15.75" hidden="1" customHeight="1" x14ac:dyDescent="0.25">
      <c r="A782" s="16"/>
      <c r="B782" s="16" t="str">
        <f t="shared" si="2"/>
        <v/>
      </c>
      <c r="C782" s="16"/>
      <c r="D782" s="16"/>
      <c r="E782" s="16"/>
      <c r="F782" s="17"/>
      <c r="G782" s="16"/>
      <c r="H782" s="16"/>
      <c r="I782" s="16"/>
      <c r="J782" s="22"/>
      <c r="K782" s="16"/>
      <c r="L782" s="16"/>
      <c r="M782" s="16"/>
      <c r="N782" s="19"/>
      <c r="O782" s="19"/>
      <c r="P782" s="19"/>
      <c r="Q782" s="19"/>
      <c r="R782" s="19"/>
      <c r="S782" s="19"/>
      <c r="T782" s="19"/>
      <c r="U782" s="19"/>
      <c r="V782" s="19"/>
      <c r="W782" s="20"/>
      <c r="X782" s="20"/>
    </row>
    <row r="783" spans="1:24" ht="15.75" hidden="1" customHeight="1" x14ac:dyDescent="0.25">
      <c r="A783" s="16"/>
      <c r="B783" s="16" t="str">
        <f t="shared" si="2"/>
        <v/>
      </c>
      <c r="C783" s="16"/>
      <c r="D783" s="16"/>
      <c r="E783" s="16"/>
      <c r="F783" s="17"/>
      <c r="G783" s="16"/>
      <c r="H783" s="16"/>
      <c r="I783" s="16"/>
      <c r="J783" s="22"/>
      <c r="K783" s="16"/>
      <c r="L783" s="16"/>
      <c r="M783" s="16"/>
      <c r="N783" s="19"/>
      <c r="O783" s="19"/>
      <c r="P783" s="19"/>
      <c r="Q783" s="19"/>
      <c r="R783" s="19"/>
      <c r="S783" s="19"/>
      <c r="T783" s="19"/>
      <c r="U783" s="19"/>
      <c r="V783" s="19"/>
      <c r="W783" s="20"/>
      <c r="X783" s="20"/>
    </row>
    <row r="784" spans="1:24" ht="15.75" hidden="1" customHeight="1" x14ac:dyDescent="0.25">
      <c r="A784" s="16"/>
      <c r="B784" s="16" t="str">
        <f t="shared" si="2"/>
        <v/>
      </c>
      <c r="C784" s="16"/>
      <c r="D784" s="16"/>
      <c r="E784" s="16"/>
      <c r="F784" s="17"/>
      <c r="G784" s="16"/>
      <c r="H784" s="16"/>
      <c r="I784" s="16"/>
      <c r="J784" s="22"/>
      <c r="K784" s="16"/>
      <c r="L784" s="16"/>
      <c r="M784" s="16"/>
      <c r="N784" s="19"/>
      <c r="O784" s="19"/>
      <c r="P784" s="19"/>
      <c r="Q784" s="19"/>
      <c r="R784" s="19"/>
      <c r="S784" s="19"/>
      <c r="T784" s="19"/>
      <c r="U784" s="19"/>
      <c r="V784" s="19"/>
      <c r="W784" s="20"/>
      <c r="X784" s="20"/>
    </row>
    <row r="785" spans="1:24" ht="15.75" hidden="1" customHeight="1" x14ac:dyDescent="0.25">
      <c r="A785" s="16"/>
      <c r="B785" s="16" t="str">
        <f t="shared" ref="B785:B1039" si="3">MID(X785,18,30)</f>
        <v/>
      </c>
      <c r="C785" s="16"/>
      <c r="D785" s="16"/>
      <c r="E785" s="16"/>
      <c r="F785" s="17"/>
      <c r="G785" s="16"/>
      <c r="H785" s="16"/>
      <c r="I785" s="16"/>
      <c r="J785" s="22"/>
      <c r="K785" s="16"/>
      <c r="L785" s="16"/>
      <c r="M785" s="16"/>
      <c r="N785" s="19"/>
      <c r="O785" s="19"/>
      <c r="P785" s="19"/>
      <c r="Q785" s="19"/>
      <c r="R785" s="19"/>
      <c r="S785" s="19"/>
      <c r="T785" s="19"/>
      <c r="U785" s="19"/>
      <c r="V785" s="19"/>
      <c r="W785" s="20"/>
      <c r="X785" s="20"/>
    </row>
    <row r="786" spans="1:24" ht="15.75" hidden="1" customHeight="1" x14ac:dyDescent="0.25">
      <c r="A786" s="16"/>
      <c r="B786" s="16" t="str">
        <f t="shared" si="3"/>
        <v/>
      </c>
      <c r="C786" s="16"/>
      <c r="D786" s="16"/>
      <c r="E786" s="16"/>
      <c r="F786" s="17"/>
      <c r="G786" s="16"/>
      <c r="H786" s="16"/>
      <c r="I786" s="16"/>
      <c r="J786" s="22"/>
      <c r="K786" s="16"/>
      <c r="L786" s="16"/>
      <c r="M786" s="16"/>
      <c r="N786" s="19"/>
      <c r="O786" s="19"/>
      <c r="P786" s="19"/>
      <c r="Q786" s="19"/>
      <c r="R786" s="19"/>
      <c r="S786" s="19"/>
      <c r="T786" s="19"/>
      <c r="U786" s="19"/>
      <c r="V786" s="19"/>
      <c r="W786" s="20"/>
      <c r="X786" s="20"/>
    </row>
    <row r="787" spans="1:24" ht="15.75" hidden="1" customHeight="1" x14ac:dyDescent="0.25">
      <c r="A787" s="16"/>
      <c r="B787" s="16" t="str">
        <f t="shared" si="3"/>
        <v/>
      </c>
      <c r="C787" s="16"/>
      <c r="D787" s="16"/>
      <c r="E787" s="16"/>
      <c r="F787" s="17"/>
      <c r="G787" s="16"/>
      <c r="H787" s="16"/>
      <c r="I787" s="16"/>
      <c r="J787" s="22"/>
      <c r="K787" s="16"/>
      <c r="L787" s="16"/>
      <c r="M787" s="16"/>
      <c r="N787" s="19"/>
      <c r="O787" s="19"/>
      <c r="P787" s="19"/>
      <c r="Q787" s="19"/>
      <c r="R787" s="19"/>
      <c r="S787" s="19"/>
      <c r="T787" s="19"/>
      <c r="U787" s="19"/>
      <c r="V787" s="19"/>
      <c r="W787" s="20"/>
      <c r="X787" s="20"/>
    </row>
    <row r="788" spans="1:24" ht="15.75" hidden="1" customHeight="1" x14ac:dyDescent="0.25">
      <c r="A788" s="16"/>
      <c r="B788" s="16" t="str">
        <f t="shared" si="3"/>
        <v/>
      </c>
      <c r="C788" s="16"/>
      <c r="D788" s="16"/>
      <c r="E788" s="16"/>
      <c r="F788" s="17"/>
      <c r="G788" s="16"/>
      <c r="H788" s="16"/>
      <c r="I788" s="16"/>
      <c r="J788" s="22"/>
      <c r="K788" s="16"/>
      <c r="L788" s="16"/>
      <c r="M788" s="16"/>
      <c r="N788" s="19"/>
      <c r="O788" s="19"/>
      <c r="P788" s="19"/>
      <c r="Q788" s="19"/>
      <c r="R788" s="19"/>
      <c r="S788" s="19"/>
      <c r="T788" s="19"/>
      <c r="U788" s="19"/>
      <c r="V788" s="19"/>
      <c r="W788" s="20"/>
      <c r="X788" s="20"/>
    </row>
    <row r="789" spans="1:24" ht="15.75" hidden="1" customHeight="1" x14ac:dyDescent="0.25">
      <c r="A789" s="16"/>
      <c r="B789" s="16" t="str">
        <f t="shared" si="3"/>
        <v/>
      </c>
      <c r="C789" s="16"/>
      <c r="D789" s="16"/>
      <c r="E789" s="16"/>
      <c r="F789" s="17"/>
      <c r="G789" s="16"/>
      <c r="H789" s="16"/>
      <c r="I789" s="16"/>
      <c r="J789" s="22"/>
      <c r="K789" s="16"/>
      <c r="L789" s="16"/>
      <c r="M789" s="16"/>
      <c r="N789" s="19"/>
      <c r="O789" s="19"/>
      <c r="P789" s="19"/>
      <c r="Q789" s="19"/>
      <c r="R789" s="19"/>
      <c r="S789" s="19"/>
      <c r="T789" s="19"/>
      <c r="U789" s="19"/>
      <c r="V789" s="19"/>
      <c r="W789" s="20"/>
      <c r="X789" s="20"/>
    </row>
    <row r="790" spans="1:24" ht="15.75" hidden="1" customHeight="1" x14ac:dyDescent="0.25">
      <c r="A790" s="16"/>
      <c r="B790" s="16" t="str">
        <f t="shared" si="3"/>
        <v/>
      </c>
      <c r="C790" s="16"/>
      <c r="D790" s="16"/>
      <c r="E790" s="16"/>
      <c r="F790" s="17"/>
      <c r="G790" s="16"/>
      <c r="H790" s="16"/>
      <c r="I790" s="16"/>
      <c r="J790" s="22"/>
      <c r="K790" s="16"/>
      <c r="L790" s="16"/>
      <c r="M790" s="16"/>
      <c r="N790" s="19"/>
      <c r="O790" s="19"/>
      <c r="P790" s="19"/>
      <c r="Q790" s="19"/>
      <c r="R790" s="19"/>
      <c r="S790" s="19"/>
      <c r="T790" s="19"/>
      <c r="U790" s="19"/>
      <c r="V790" s="19"/>
      <c r="W790" s="20"/>
      <c r="X790" s="20"/>
    </row>
    <row r="791" spans="1:24" ht="15.75" hidden="1" customHeight="1" x14ac:dyDescent="0.25">
      <c r="A791" s="16"/>
      <c r="B791" s="16" t="str">
        <f t="shared" si="3"/>
        <v/>
      </c>
      <c r="C791" s="16"/>
      <c r="D791" s="16"/>
      <c r="E791" s="16"/>
      <c r="F791" s="17"/>
      <c r="G791" s="16"/>
      <c r="H791" s="16"/>
      <c r="I791" s="16"/>
      <c r="J791" s="22"/>
      <c r="K791" s="16"/>
      <c r="L791" s="16"/>
      <c r="M791" s="16"/>
      <c r="N791" s="19"/>
      <c r="O791" s="19"/>
      <c r="P791" s="19"/>
      <c r="Q791" s="19"/>
      <c r="R791" s="19"/>
      <c r="S791" s="19"/>
      <c r="T791" s="19"/>
      <c r="U791" s="19"/>
      <c r="V791" s="19"/>
      <c r="W791" s="20"/>
      <c r="X791" s="20"/>
    </row>
    <row r="792" spans="1:24" ht="15.75" hidden="1" customHeight="1" x14ac:dyDescent="0.25">
      <c r="A792" s="16"/>
      <c r="B792" s="16" t="str">
        <f t="shared" si="3"/>
        <v/>
      </c>
      <c r="C792" s="16"/>
      <c r="D792" s="16"/>
      <c r="E792" s="16"/>
      <c r="F792" s="17"/>
      <c r="G792" s="16"/>
      <c r="H792" s="16"/>
      <c r="I792" s="16"/>
      <c r="J792" s="22"/>
      <c r="K792" s="16"/>
      <c r="L792" s="16"/>
      <c r="M792" s="16"/>
      <c r="N792" s="19"/>
      <c r="O792" s="19"/>
      <c r="P792" s="19"/>
      <c r="Q792" s="19"/>
      <c r="R792" s="19"/>
      <c r="S792" s="19"/>
      <c r="T792" s="19"/>
      <c r="U792" s="19"/>
      <c r="V792" s="19"/>
      <c r="W792" s="20"/>
      <c r="X792" s="20"/>
    </row>
    <row r="793" spans="1:24" ht="15.75" hidden="1" customHeight="1" x14ac:dyDescent="0.25">
      <c r="A793" s="16"/>
      <c r="B793" s="16" t="str">
        <f t="shared" si="3"/>
        <v/>
      </c>
      <c r="C793" s="16"/>
      <c r="D793" s="16"/>
      <c r="E793" s="16"/>
      <c r="F793" s="17"/>
      <c r="G793" s="16"/>
      <c r="H793" s="16"/>
      <c r="I793" s="16"/>
      <c r="J793" s="22"/>
      <c r="K793" s="16"/>
      <c r="L793" s="16"/>
      <c r="M793" s="16"/>
      <c r="N793" s="19"/>
      <c r="O793" s="19"/>
      <c r="P793" s="19"/>
      <c r="Q793" s="19"/>
      <c r="R793" s="19"/>
      <c r="S793" s="19"/>
      <c r="T793" s="19"/>
      <c r="U793" s="19"/>
      <c r="V793" s="19"/>
      <c r="W793" s="20"/>
      <c r="X793" s="20"/>
    </row>
    <row r="794" spans="1:24" ht="15.75" hidden="1" customHeight="1" x14ac:dyDescent="0.25">
      <c r="A794" s="16"/>
      <c r="B794" s="16" t="str">
        <f t="shared" si="3"/>
        <v/>
      </c>
      <c r="C794" s="16"/>
      <c r="D794" s="16"/>
      <c r="E794" s="16"/>
      <c r="F794" s="17"/>
      <c r="G794" s="16"/>
      <c r="H794" s="16"/>
      <c r="I794" s="16"/>
      <c r="J794" s="22"/>
      <c r="K794" s="16"/>
      <c r="L794" s="16"/>
      <c r="M794" s="16"/>
      <c r="N794" s="19"/>
      <c r="O794" s="19"/>
      <c r="P794" s="19"/>
      <c r="Q794" s="19"/>
      <c r="R794" s="19"/>
      <c r="S794" s="19"/>
      <c r="T794" s="19"/>
      <c r="U794" s="19"/>
      <c r="V794" s="19"/>
      <c r="W794" s="20"/>
      <c r="X794" s="20"/>
    </row>
    <row r="795" spans="1:24" ht="15.75" hidden="1" customHeight="1" x14ac:dyDescent="0.25">
      <c r="A795" s="16"/>
      <c r="B795" s="16" t="str">
        <f t="shared" si="3"/>
        <v/>
      </c>
      <c r="C795" s="16"/>
      <c r="D795" s="16"/>
      <c r="E795" s="16"/>
      <c r="F795" s="17"/>
      <c r="G795" s="16"/>
      <c r="H795" s="16"/>
      <c r="I795" s="16"/>
      <c r="J795" s="22"/>
      <c r="K795" s="16"/>
      <c r="L795" s="16"/>
      <c r="M795" s="16"/>
      <c r="N795" s="19"/>
      <c r="O795" s="19"/>
      <c r="P795" s="19"/>
      <c r="Q795" s="19"/>
      <c r="R795" s="19"/>
      <c r="S795" s="19"/>
      <c r="T795" s="19"/>
      <c r="U795" s="19"/>
      <c r="V795" s="19"/>
      <c r="W795" s="20"/>
      <c r="X795" s="20"/>
    </row>
    <row r="796" spans="1:24" ht="15.75" hidden="1" customHeight="1" x14ac:dyDescent="0.25">
      <c r="A796" s="16"/>
      <c r="B796" s="16" t="str">
        <f t="shared" si="3"/>
        <v/>
      </c>
      <c r="C796" s="16"/>
      <c r="D796" s="16"/>
      <c r="E796" s="16"/>
      <c r="F796" s="17"/>
      <c r="G796" s="16"/>
      <c r="H796" s="16"/>
      <c r="I796" s="16"/>
      <c r="J796" s="22"/>
      <c r="K796" s="16"/>
      <c r="L796" s="16"/>
      <c r="M796" s="16"/>
      <c r="N796" s="19"/>
      <c r="O796" s="19"/>
      <c r="P796" s="19"/>
      <c r="Q796" s="19"/>
      <c r="R796" s="19"/>
      <c r="S796" s="19"/>
      <c r="T796" s="19"/>
      <c r="U796" s="19"/>
      <c r="V796" s="19"/>
      <c r="W796" s="20"/>
      <c r="X796" s="20"/>
    </row>
    <row r="797" spans="1:24" ht="15.75" hidden="1" customHeight="1" x14ac:dyDescent="0.25">
      <c r="A797" s="16"/>
      <c r="B797" s="16" t="str">
        <f t="shared" si="3"/>
        <v/>
      </c>
      <c r="C797" s="16"/>
      <c r="D797" s="16"/>
      <c r="E797" s="16"/>
      <c r="F797" s="17"/>
      <c r="G797" s="16"/>
      <c r="H797" s="16"/>
      <c r="I797" s="16"/>
      <c r="J797" s="22"/>
      <c r="K797" s="16"/>
      <c r="L797" s="16"/>
      <c r="M797" s="16"/>
      <c r="N797" s="19"/>
      <c r="O797" s="19"/>
      <c r="P797" s="19"/>
      <c r="Q797" s="19"/>
      <c r="R797" s="19"/>
      <c r="S797" s="19"/>
      <c r="T797" s="19"/>
      <c r="U797" s="19"/>
      <c r="V797" s="19"/>
      <c r="W797" s="20"/>
      <c r="X797" s="20"/>
    </row>
    <row r="798" spans="1:24" ht="15.75" hidden="1" customHeight="1" x14ac:dyDescent="0.25">
      <c r="A798" s="16"/>
      <c r="B798" s="16" t="str">
        <f t="shared" si="3"/>
        <v/>
      </c>
      <c r="C798" s="16"/>
      <c r="D798" s="16"/>
      <c r="E798" s="16"/>
      <c r="F798" s="17"/>
      <c r="G798" s="16"/>
      <c r="H798" s="16"/>
      <c r="I798" s="16"/>
      <c r="J798" s="22"/>
      <c r="K798" s="16"/>
      <c r="L798" s="16"/>
      <c r="M798" s="16"/>
      <c r="N798" s="19"/>
      <c r="O798" s="19"/>
      <c r="P798" s="19"/>
      <c r="Q798" s="19"/>
      <c r="R798" s="19"/>
      <c r="S798" s="19"/>
      <c r="T798" s="19"/>
      <c r="U798" s="19"/>
      <c r="V798" s="19"/>
      <c r="W798" s="20"/>
      <c r="X798" s="20"/>
    </row>
    <row r="799" spans="1:24" ht="15.75" hidden="1" customHeight="1" x14ac:dyDescent="0.25">
      <c r="A799" s="16"/>
      <c r="B799" s="16" t="str">
        <f t="shared" si="3"/>
        <v/>
      </c>
      <c r="C799" s="16"/>
      <c r="D799" s="16"/>
      <c r="E799" s="16"/>
      <c r="F799" s="17"/>
      <c r="G799" s="16"/>
      <c r="H799" s="16"/>
      <c r="I799" s="16"/>
      <c r="J799" s="22"/>
      <c r="K799" s="16"/>
      <c r="L799" s="16"/>
      <c r="M799" s="16"/>
      <c r="N799" s="19"/>
      <c r="O799" s="19"/>
      <c r="P799" s="19"/>
      <c r="Q799" s="19"/>
      <c r="R799" s="19"/>
      <c r="S799" s="19"/>
      <c r="T799" s="19"/>
      <c r="U799" s="19"/>
      <c r="V799" s="19"/>
      <c r="W799" s="20"/>
      <c r="X799" s="20"/>
    </row>
    <row r="800" spans="1:24" ht="15.75" hidden="1" customHeight="1" x14ac:dyDescent="0.25">
      <c r="A800" s="16"/>
      <c r="B800" s="16" t="str">
        <f t="shared" si="3"/>
        <v/>
      </c>
      <c r="C800" s="16"/>
      <c r="D800" s="16"/>
      <c r="E800" s="16"/>
      <c r="F800" s="17"/>
      <c r="G800" s="16"/>
      <c r="H800" s="16"/>
      <c r="I800" s="16"/>
      <c r="J800" s="22"/>
      <c r="K800" s="16"/>
      <c r="L800" s="16"/>
      <c r="M800" s="16"/>
      <c r="N800" s="19"/>
      <c r="O800" s="19"/>
      <c r="P800" s="19"/>
      <c r="Q800" s="19"/>
      <c r="R800" s="19"/>
      <c r="S800" s="19"/>
      <c r="T800" s="19"/>
      <c r="U800" s="19"/>
      <c r="V800" s="19"/>
      <c r="W800" s="20"/>
      <c r="X800" s="20"/>
    </row>
    <row r="801" spans="1:24" ht="15.75" hidden="1" customHeight="1" x14ac:dyDescent="0.25">
      <c r="A801" s="16"/>
      <c r="B801" s="16" t="str">
        <f t="shared" si="3"/>
        <v/>
      </c>
      <c r="C801" s="16"/>
      <c r="D801" s="16"/>
      <c r="E801" s="16"/>
      <c r="F801" s="17"/>
      <c r="G801" s="16"/>
      <c r="H801" s="16"/>
      <c r="I801" s="16"/>
      <c r="J801" s="22"/>
      <c r="K801" s="16"/>
      <c r="L801" s="16"/>
      <c r="M801" s="16"/>
      <c r="N801" s="19"/>
      <c r="O801" s="19"/>
      <c r="P801" s="19"/>
      <c r="Q801" s="19"/>
      <c r="R801" s="19"/>
      <c r="S801" s="19"/>
      <c r="T801" s="19"/>
      <c r="U801" s="19"/>
      <c r="V801" s="19"/>
      <c r="W801" s="20"/>
      <c r="X801" s="20"/>
    </row>
    <row r="802" spans="1:24" ht="15.75" hidden="1" customHeight="1" x14ac:dyDescent="0.25">
      <c r="A802" s="16"/>
      <c r="B802" s="16" t="str">
        <f t="shared" si="3"/>
        <v/>
      </c>
      <c r="C802" s="16"/>
      <c r="D802" s="16"/>
      <c r="E802" s="16"/>
      <c r="F802" s="17"/>
      <c r="G802" s="16"/>
      <c r="H802" s="16"/>
      <c r="I802" s="16"/>
      <c r="J802" s="22"/>
      <c r="K802" s="16"/>
      <c r="L802" s="16"/>
      <c r="M802" s="16"/>
      <c r="N802" s="19"/>
      <c r="O802" s="19"/>
      <c r="P802" s="19"/>
      <c r="Q802" s="19"/>
      <c r="R802" s="19"/>
      <c r="S802" s="19"/>
      <c r="T802" s="19"/>
      <c r="U802" s="19"/>
      <c r="V802" s="19"/>
      <c r="W802" s="20"/>
      <c r="X802" s="20"/>
    </row>
    <row r="803" spans="1:24" ht="15.75" hidden="1" customHeight="1" x14ac:dyDescent="0.25">
      <c r="A803" s="16"/>
      <c r="B803" s="16" t="str">
        <f t="shared" si="3"/>
        <v/>
      </c>
      <c r="C803" s="16"/>
      <c r="D803" s="16"/>
      <c r="E803" s="16"/>
      <c r="F803" s="17"/>
      <c r="G803" s="16"/>
      <c r="H803" s="16"/>
      <c r="I803" s="16"/>
      <c r="J803" s="22"/>
      <c r="K803" s="16"/>
      <c r="L803" s="16"/>
      <c r="M803" s="16"/>
      <c r="N803" s="19"/>
      <c r="O803" s="19"/>
      <c r="P803" s="19"/>
      <c r="Q803" s="19"/>
      <c r="R803" s="19"/>
      <c r="S803" s="19"/>
      <c r="T803" s="19"/>
      <c r="U803" s="19"/>
      <c r="V803" s="19"/>
      <c r="W803" s="20"/>
      <c r="X803" s="20"/>
    </row>
    <row r="804" spans="1:24" ht="15.75" hidden="1" customHeight="1" x14ac:dyDescent="0.25">
      <c r="A804" s="16"/>
      <c r="B804" s="16" t="str">
        <f t="shared" si="3"/>
        <v/>
      </c>
      <c r="C804" s="16"/>
      <c r="D804" s="16"/>
      <c r="E804" s="16"/>
      <c r="F804" s="17"/>
      <c r="G804" s="16"/>
      <c r="H804" s="16"/>
      <c r="I804" s="16"/>
      <c r="J804" s="22"/>
      <c r="K804" s="16"/>
      <c r="L804" s="16"/>
      <c r="M804" s="16"/>
      <c r="N804" s="19"/>
      <c r="O804" s="19"/>
      <c r="P804" s="19"/>
      <c r="Q804" s="19"/>
      <c r="R804" s="19"/>
      <c r="S804" s="19"/>
      <c r="T804" s="19"/>
      <c r="U804" s="19"/>
      <c r="V804" s="19"/>
      <c r="W804" s="20"/>
      <c r="X804" s="20"/>
    </row>
    <row r="805" spans="1:24" ht="15.75" hidden="1" customHeight="1" x14ac:dyDescent="0.25">
      <c r="A805" s="16"/>
      <c r="B805" s="16" t="str">
        <f t="shared" si="3"/>
        <v/>
      </c>
      <c r="C805" s="16"/>
      <c r="D805" s="16"/>
      <c r="E805" s="16"/>
      <c r="F805" s="17"/>
      <c r="G805" s="16"/>
      <c r="H805" s="16"/>
      <c r="I805" s="16"/>
      <c r="J805" s="22"/>
      <c r="K805" s="16"/>
      <c r="L805" s="16"/>
      <c r="M805" s="16"/>
      <c r="N805" s="19"/>
      <c r="O805" s="19"/>
      <c r="P805" s="19"/>
      <c r="Q805" s="19"/>
      <c r="R805" s="19"/>
      <c r="S805" s="19"/>
      <c r="T805" s="19"/>
      <c r="U805" s="19"/>
      <c r="V805" s="19"/>
      <c r="W805" s="20"/>
      <c r="X805" s="20"/>
    </row>
    <row r="806" spans="1:24" ht="15.75" hidden="1" customHeight="1" x14ac:dyDescent="0.25">
      <c r="A806" s="16"/>
      <c r="B806" s="16" t="str">
        <f t="shared" si="3"/>
        <v/>
      </c>
      <c r="C806" s="16"/>
      <c r="D806" s="16"/>
      <c r="E806" s="16"/>
      <c r="F806" s="17"/>
      <c r="G806" s="16"/>
      <c r="H806" s="16"/>
      <c r="I806" s="16"/>
      <c r="J806" s="22"/>
      <c r="K806" s="16"/>
      <c r="L806" s="16"/>
      <c r="M806" s="16"/>
      <c r="N806" s="19"/>
      <c r="O806" s="19"/>
      <c r="P806" s="19"/>
      <c r="Q806" s="19"/>
      <c r="R806" s="19"/>
      <c r="S806" s="19"/>
      <c r="T806" s="19"/>
      <c r="U806" s="19"/>
      <c r="V806" s="19"/>
      <c r="W806" s="20"/>
      <c r="X806" s="20"/>
    </row>
    <row r="807" spans="1:24" ht="15.75" hidden="1" customHeight="1" x14ac:dyDescent="0.25">
      <c r="A807" s="16"/>
      <c r="B807" s="16" t="str">
        <f t="shared" si="3"/>
        <v/>
      </c>
      <c r="C807" s="16"/>
      <c r="D807" s="16"/>
      <c r="E807" s="16"/>
      <c r="F807" s="17"/>
      <c r="G807" s="16"/>
      <c r="H807" s="16"/>
      <c r="I807" s="16"/>
      <c r="J807" s="22"/>
      <c r="K807" s="16"/>
      <c r="L807" s="16"/>
      <c r="M807" s="16"/>
      <c r="N807" s="19"/>
      <c r="O807" s="19"/>
      <c r="P807" s="19"/>
      <c r="Q807" s="19"/>
      <c r="R807" s="19"/>
      <c r="S807" s="19"/>
      <c r="T807" s="19"/>
      <c r="U807" s="19"/>
      <c r="V807" s="19"/>
      <c r="W807" s="20"/>
      <c r="X807" s="20"/>
    </row>
    <row r="808" spans="1:24" ht="15.75" hidden="1" customHeight="1" x14ac:dyDescent="0.25">
      <c r="A808" s="16"/>
      <c r="B808" s="16" t="str">
        <f t="shared" si="3"/>
        <v/>
      </c>
      <c r="C808" s="16"/>
      <c r="D808" s="16"/>
      <c r="E808" s="16"/>
      <c r="F808" s="17"/>
      <c r="G808" s="16"/>
      <c r="H808" s="16"/>
      <c r="I808" s="16"/>
      <c r="J808" s="22"/>
      <c r="K808" s="16"/>
      <c r="L808" s="16"/>
      <c r="M808" s="16"/>
      <c r="N808" s="19"/>
      <c r="O808" s="19"/>
      <c r="P808" s="19"/>
      <c r="Q808" s="19"/>
      <c r="R808" s="19"/>
      <c r="S808" s="19"/>
      <c r="T808" s="19"/>
      <c r="U808" s="19"/>
      <c r="V808" s="19"/>
      <c r="W808" s="20"/>
      <c r="X808" s="20"/>
    </row>
    <row r="809" spans="1:24" ht="15.75" hidden="1" customHeight="1" x14ac:dyDescent="0.25">
      <c r="A809" s="16"/>
      <c r="B809" s="16" t="str">
        <f t="shared" si="3"/>
        <v/>
      </c>
      <c r="C809" s="16"/>
      <c r="D809" s="16"/>
      <c r="E809" s="16"/>
      <c r="F809" s="17"/>
      <c r="G809" s="16"/>
      <c r="H809" s="16"/>
      <c r="I809" s="16"/>
      <c r="J809" s="22"/>
      <c r="K809" s="16"/>
      <c r="L809" s="16"/>
      <c r="M809" s="16"/>
      <c r="N809" s="19"/>
      <c r="O809" s="19"/>
      <c r="P809" s="19"/>
      <c r="Q809" s="19"/>
      <c r="R809" s="19"/>
      <c r="S809" s="19"/>
      <c r="T809" s="19"/>
      <c r="U809" s="19"/>
      <c r="V809" s="19"/>
      <c r="W809" s="20"/>
      <c r="X809" s="20"/>
    </row>
    <row r="810" spans="1:24" ht="15.75" hidden="1" customHeight="1" x14ac:dyDescent="0.25">
      <c r="A810" s="16"/>
      <c r="B810" s="16" t="str">
        <f t="shared" si="3"/>
        <v/>
      </c>
      <c r="C810" s="16"/>
      <c r="D810" s="16"/>
      <c r="E810" s="16"/>
      <c r="F810" s="17"/>
      <c r="G810" s="16"/>
      <c r="H810" s="16"/>
      <c r="I810" s="16"/>
      <c r="J810" s="22"/>
      <c r="K810" s="16"/>
      <c r="L810" s="16"/>
      <c r="M810" s="16"/>
      <c r="N810" s="19"/>
      <c r="O810" s="19"/>
      <c r="P810" s="19"/>
      <c r="Q810" s="19"/>
      <c r="R810" s="19"/>
      <c r="S810" s="19"/>
      <c r="T810" s="19"/>
      <c r="U810" s="19"/>
      <c r="V810" s="19"/>
      <c r="W810" s="20"/>
      <c r="X810" s="20"/>
    </row>
    <row r="811" spans="1:24" ht="15.75" hidden="1" customHeight="1" x14ac:dyDescent="0.25">
      <c r="A811" s="16"/>
      <c r="B811" s="16" t="str">
        <f t="shared" si="3"/>
        <v/>
      </c>
      <c r="C811" s="16"/>
      <c r="D811" s="16"/>
      <c r="E811" s="16"/>
      <c r="F811" s="17"/>
      <c r="G811" s="16"/>
      <c r="H811" s="16"/>
      <c r="I811" s="16"/>
      <c r="J811" s="22"/>
      <c r="K811" s="16"/>
      <c r="L811" s="16"/>
      <c r="M811" s="16"/>
      <c r="N811" s="19"/>
      <c r="O811" s="19"/>
      <c r="P811" s="19"/>
      <c r="Q811" s="19"/>
      <c r="R811" s="19"/>
      <c r="S811" s="19"/>
      <c r="T811" s="19"/>
      <c r="U811" s="19"/>
      <c r="V811" s="19"/>
      <c r="W811" s="20"/>
      <c r="X811" s="20"/>
    </row>
    <row r="812" spans="1:24" ht="15.75" hidden="1" customHeight="1" x14ac:dyDescent="0.25">
      <c r="A812" s="16"/>
      <c r="B812" s="16" t="str">
        <f t="shared" si="3"/>
        <v/>
      </c>
      <c r="C812" s="16"/>
      <c r="D812" s="16"/>
      <c r="E812" s="16"/>
      <c r="F812" s="17"/>
      <c r="G812" s="16"/>
      <c r="H812" s="16"/>
      <c r="I812" s="16"/>
      <c r="J812" s="22"/>
      <c r="K812" s="16"/>
      <c r="L812" s="16"/>
      <c r="M812" s="16"/>
      <c r="N812" s="19"/>
      <c r="O812" s="19"/>
      <c r="P812" s="19"/>
      <c r="Q812" s="19"/>
      <c r="R812" s="19"/>
      <c r="S812" s="19"/>
      <c r="T812" s="19"/>
      <c r="U812" s="19"/>
      <c r="V812" s="19"/>
      <c r="W812" s="20"/>
      <c r="X812" s="20"/>
    </row>
    <row r="813" spans="1:24" ht="15.75" hidden="1" customHeight="1" x14ac:dyDescent="0.25">
      <c r="A813" s="16"/>
      <c r="B813" s="16" t="str">
        <f t="shared" si="3"/>
        <v/>
      </c>
      <c r="C813" s="16"/>
      <c r="D813" s="16"/>
      <c r="E813" s="16"/>
      <c r="F813" s="17"/>
      <c r="G813" s="16"/>
      <c r="H813" s="16"/>
      <c r="I813" s="16"/>
      <c r="J813" s="22"/>
      <c r="K813" s="16"/>
      <c r="L813" s="16"/>
      <c r="M813" s="16"/>
      <c r="N813" s="19"/>
      <c r="O813" s="19"/>
      <c r="P813" s="19"/>
      <c r="Q813" s="19"/>
      <c r="R813" s="19"/>
      <c r="S813" s="19"/>
      <c r="T813" s="19"/>
      <c r="U813" s="19"/>
      <c r="V813" s="19"/>
      <c r="W813" s="20"/>
      <c r="X813" s="20"/>
    </row>
    <row r="814" spans="1:24" ht="15.75" hidden="1" customHeight="1" x14ac:dyDescent="0.25">
      <c r="A814" s="16"/>
      <c r="B814" s="16" t="str">
        <f t="shared" si="3"/>
        <v/>
      </c>
      <c r="C814" s="16"/>
      <c r="D814" s="16"/>
      <c r="E814" s="16"/>
      <c r="F814" s="17"/>
      <c r="G814" s="16"/>
      <c r="H814" s="16"/>
      <c r="I814" s="16"/>
      <c r="J814" s="22"/>
      <c r="K814" s="16"/>
      <c r="L814" s="16"/>
      <c r="M814" s="16"/>
      <c r="N814" s="19"/>
      <c r="O814" s="19"/>
      <c r="P814" s="19"/>
      <c r="Q814" s="19"/>
      <c r="R814" s="19"/>
      <c r="S814" s="19"/>
      <c r="T814" s="19"/>
      <c r="U814" s="19"/>
      <c r="V814" s="19"/>
      <c r="W814" s="20"/>
      <c r="X814" s="20"/>
    </row>
    <row r="815" spans="1:24" ht="15.75" hidden="1" customHeight="1" x14ac:dyDescent="0.25">
      <c r="A815" s="16"/>
      <c r="B815" s="16" t="str">
        <f t="shared" si="3"/>
        <v/>
      </c>
      <c r="C815" s="16"/>
      <c r="D815" s="16"/>
      <c r="E815" s="16"/>
      <c r="F815" s="17"/>
      <c r="G815" s="16"/>
      <c r="H815" s="16"/>
      <c r="I815" s="16"/>
      <c r="J815" s="22"/>
      <c r="K815" s="16"/>
      <c r="L815" s="16"/>
      <c r="M815" s="16"/>
      <c r="N815" s="19"/>
      <c r="O815" s="19"/>
      <c r="P815" s="19"/>
      <c r="Q815" s="19"/>
      <c r="R815" s="19"/>
      <c r="S815" s="19"/>
      <c r="T815" s="19"/>
      <c r="U815" s="19"/>
      <c r="V815" s="19"/>
      <c r="W815" s="20"/>
      <c r="X815" s="20"/>
    </row>
    <row r="816" spans="1:24" ht="15.75" hidden="1" customHeight="1" x14ac:dyDescent="0.25">
      <c r="A816" s="16"/>
      <c r="B816" s="16" t="str">
        <f t="shared" si="3"/>
        <v/>
      </c>
      <c r="C816" s="16"/>
      <c r="D816" s="16"/>
      <c r="E816" s="16"/>
      <c r="F816" s="17"/>
      <c r="G816" s="16"/>
      <c r="H816" s="16"/>
      <c r="I816" s="16"/>
      <c r="J816" s="22"/>
      <c r="K816" s="16"/>
      <c r="L816" s="16"/>
      <c r="M816" s="16"/>
      <c r="N816" s="19"/>
      <c r="O816" s="19"/>
      <c r="P816" s="19"/>
      <c r="Q816" s="19"/>
      <c r="R816" s="19"/>
      <c r="S816" s="19"/>
      <c r="T816" s="19"/>
      <c r="U816" s="19"/>
      <c r="V816" s="19"/>
      <c r="W816" s="20"/>
      <c r="X816" s="20"/>
    </row>
    <row r="817" spans="1:24" ht="15.75" hidden="1" customHeight="1" x14ac:dyDescent="0.25">
      <c r="A817" s="16"/>
      <c r="B817" s="16" t="str">
        <f t="shared" si="3"/>
        <v/>
      </c>
      <c r="C817" s="16"/>
      <c r="D817" s="16"/>
      <c r="E817" s="16"/>
      <c r="F817" s="17"/>
      <c r="G817" s="16"/>
      <c r="H817" s="16"/>
      <c r="I817" s="16"/>
      <c r="J817" s="22"/>
      <c r="K817" s="16"/>
      <c r="L817" s="16"/>
      <c r="M817" s="16"/>
      <c r="N817" s="19"/>
      <c r="O817" s="19"/>
      <c r="P817" s="19"/>
      <c r="Q817" s="19"/>
      <c r="R817" s="19"/>
      <c r="S817" s="19"/>
      <c r="T817" s="19"/>
      <c r="U817" s="19"/>
      <c r="V817" s="19"/>
      <c r="W817" s="20"/>
      <c r="X817" s="20"/>
    </row>
    <row r="818" spans="1:24" ht="15.75" hidden="1" customHeight="1" x14ac:dyDescent="0.25">
      <c r="A818" s="16"/>
      <c r="B818" s="16" t="str">
        <f t="shared" si="3"/>
        <v/>
      </c>
      <c r="C818" s="16"/>
      <c r="D818" s="16"/>
      <c r="E818" s="16"/>
      <c r="F818" s="17"/>
      <c r="G818" s="16"/>
      <c r="H818" s="16"/>
      <c r="I818" s="16"/>
      <c r="J818" s="22"/>
      <c r="K818" s="16"/>
      <c r="L818" s="16"/>
      <c r="M818" s="16"/>
      <c r="N818" s="19"/>
      <c r="O818" s="19"/>
      <c r="P818" s="19"/>
      <c r="Q818" s="19"/>
      <c r="R818" s="19"/>
      <c r="S818" s="19"/>
      <c r="T818" s="19"/>
      <c r="U818" s="19"/>
      <c r="V818" s="19"/>
      <c r="W818" s="20"/>
      <c r="X818" s="20"/>
    </row>
    <row r="819" spans="1:24" ht="15.75" hidden="1" customHeight="1" x14ac:dyDescent="0.25">
      <c r="A819" s="16"/>
      <c r="B819" s="16" t="str">
        <f t="shared" si="3"/>
        <v/>
      </c>
      <c r="C819" s="16"/>
      <c r="D819" s="16"/>
      <c r="E819" s="16"/>
      <c r="F819" s="17"/>
      <c r="G819" s="16"/>
      <c r="H819" s="16"/>
      <c r="I819" s="16"/>
      <c r="J819" s="22"/>
      <c r="K819" s="16"/>
      <c r="L819" s="16"/>
      <c r="M819" s="16"/>
      <c r="N819" s="19"/>
      <c r="O819" s="19"/>
      <c r="P819" s="19"/>
      <c r="Q819" s="19"/>
      <c r="R819" s="19"/>
      <c r="S819" s="19"/>
      <c r="T819" s="19"/>
      <c r="U819" s="19"/>
      <c r="V819" s="19"/>
      <c r="W819" s="20"/>
      <c r="X819" s="20"/>
    </row>
    <row r="820" spans="1:24" ht="15.75" hidden="1" customHeight="1" x14ac:dyDescent="0.25">
      <c r="A820" s="16"/>
      <c r="B820" s="16" t="str">
        <f t="shared" si="3"/>
        <v/>
      </c>
      <c r="C820" s="16"/>
      <c r="D820" s="16"/>
      <c r="E820" s="16"/>
      <c r="F820" s="17"/>
      <c r="G820" s="16"/>
      <c r="H820" s="16"/>
      <c r="I820" s="16"/>
      <c r="J820" s="22"/>
      <c r="K820" s="16"/>
      <c r="L820" s="16"/>
      <c r="M820" s="16"/>
      <c r="N820" s="19"/>
      <c r="O820" s="19"/>
      <c r="P820" s="19"/>
      <c r="Q820" s="19"/>
      <c r="R820" s="19"/>
      <c r="S820" s="19"/>
      <c r="T820" s="19"/>
      <c r="U820" s="19"/>
      <c r="V820" s="19"/>
      <c r="W820" s="20"/>
      <c r="X820" s="20"/>
    </row>
    <row r="821" spans="1:24" ht="15.75" hidden="1" customHeight="1" x14ac:dyDescent="0.25">
      <c r="A821" s="16"/>
      <c r="B821" s="16" t="str">
        <f t="shared" si="3"/>
        <v/>
      </c>
      <c r="C821" s="16"/>
      <c r="D821" s="16"/>
      <c r="E821" s="16"/>
      <c r="F821" s="17"/>
      <c r="G821" s="16"/>
      <c r="H821" s="16"/>
      <c r="I821" s="16"/>
      <c r="J821" s="22"/>
      <c r="K821" s="16"/>
      <c r="L821" s="16"/>
      <c r="M821" s="16"/>
      <c r="N821" s="19"/>
      <c r="O821" s="19"/>
      <c r="P821" s="19"/>
      <c r="Q821" s="19"/>
      <c r="R821" s="19"/>
      <c r="S821" s="19"/>
      <c r="T821" s="19"/>
      <c r="U821" s="19"/>
      <c r="V821" s="19"/>
      <c r="W821" s="20"/>
      <c r="X821" s="20"/>
    </row>
    <row r="822" spans="1:24" ht="15.75" hidden="1" customHeight="1" x14ac:dyDescent="0.25">
      <c r="A822" s="16"/>
      <c r="B822" s="16" t="str">
        <f t="shared" si="3"/>
        <v/>
      </c>
      <c r="C822" s="16"/>
      <c r="D822" s="16"/>
      <c r="E822" s="16"/>
      <c r="F822" s="17"/>
      <c r="G822" s="16"/>
      <c r="H822" s="16"/>
      <c r="I822" s="16"/>
      <c r="J822" s="22"/>
      <c r="K822" s="16"/>
      <c r="L822" s="16"/>
      <c r="M822" s="16"/>
      <c r="N822" s="19"/>
      <c r="O822" s="19"/>
      <c r="P822" s="19"/>
      <c r="Q822" s="19"/>
      <c r="R822" s="19"/>
      <c r="S822" s="19"/>
      <c r="T822" s="19"/>
      <c r="U822" s="19"/>
      <c r="V822" s="19"/>
      <c r="W822" s="20"/>
      <c r="X822" s="20"/>
    </row>
    <row r="823" spans="1:24" ht="15.75" hidden="1" customHeight="1" x14ac:dyDescent="0.25">
      <c r="A823" s="16"/>
      <c r="B823" s="16" t="str">
        <f t="shared" si="3"/>
        <v/>
      </c>
      <c r="C823" s="16"/>
      <c r="D823" s="16"/>
      <c r="E823" s="16"/>
      <c r="F823" s="17"/>
      <c r="G823" s="16"/>
      <c r="H823" s="16"/>
      <c r="I823" s="16"/>
      <c r="J823" s="22"/>
      <c r="K823" s="16"/>
      <c r="L823" s="16"/>
      <c r="M823" s="16"/>
      <c r="N823" s="19"/>
      <c r="O823" s="19"/>
      <c r="P823" s="19"/>
      <c r="Q823" s="19"/>
      <c r="R823" s="19"/>
      <c r="S823" s="19"/>
      <c r="T823" s="19"/>
      <c r="U823" s="19"/>
      <c r="V823" s="19"/>
      <c r="W823" s="20"/>
      <c r="X823" s="20"/>
    </row>
    <row r="824" spans="1:24" ht="15.75" hidden="1" customHeight="1" x14ac:dyDescent="0.25">
      <c r="A824" s="16"/>
      <c r="B824" s="16" t="str">
        <f t="shared" si="3"/>
        <v/>
      </c>
      <c r="C824" s="16"/>
      <c r="D824" s="16"/>
      <c r="E824" s="16"/>
      <c r="F824" s="17"/>
      <c r="G824" s="16"/>
      <c r="H824" s="16"/>
      <c r="I824" s="16"/>
      <c r="J824" s="22"/>
      <c r="K824" s="16"/>
      <c r="L824" s="16"/>
      <c r="M824" s="16"/>
      <c r="N824" s="19"/>
      <c r="O824" s="19"/>
      <c r="P824" s="19"/>
      <c r="Q824" s="19"/>
      <c r="R824" s="19"/>
      <c r="S824" s="19"/>
      <c r="T824" s="19"/>
      <c r="U824" s="19"/>
      <c r="V824" s="19"/>
      <c r="W824" s="20"/>
      <c r="X824" s="20"/>
    </row>
    <row r="825" spans="1:24" ht="15.75" hidden="1" customHeight="1" x14ac:dyDescent="0.25">
      <c r="A825" s="16"/>
      <c r="B825" s="16" t="str">
        <f t="shared" si="3"/>
        <v/>
      </c>
      <c r="C825" s="16"/>
      <c r="D825" s="16"/>
      <c r="E825" s="16"/>
      <c r="F825" s="17"/>
      <c r="G825" s="16"/>
      <c r="H825" s="16"/>
      <c r="I825" s="16"/>
      <c r="J825" s="22"/>
      <c r="K825" s="16"/>
      <c r="L825" s="16"/>
      <c r="M825" s="16"/>
      <c r="N825" s="19"/>
      <c r="O825" s="19"/>
      <c r="P825" s="19"/>
      <c r="Q825" s="19"/>
      <c r="R825" s="19"/>
      <c r="S825" s="19"/>
      <c r="T825" s="19"/>
      <c r="U825" s="19"/>
      <c r="V825" s="19"/>
      <c r="W825" s="20"/>
      <c r="X825" s="20"/>
    </row>
    <row r="826" spans="1:24" ht="15.75" hidden="1" customHeight="1" x14ac:dyDescent="0.25">
      <c r="A826" s="16"/>
      <c r="B826" s="16" t="str">
        <f t="shared" si="3"/>
        <v/>
      </c>
      <c r="C826" s="16"/>
      <c r="D826" s="16"/>
      <c r="E826" s="16"/>
      <c r="F826" s="17"/>
      <c r="G826" s="16"/>
      <c r="H826" s="16"/>
      <c r="I826" s="16"/>
      <c r="J826" s="22"/>
      <c r="K826" s="16"/>
      <c r="L826" s="16"/>
      <c r="M826" s="16"/>
      <c r="N826" s="19"/>
      <c r="O826" s="19"/>
      <c r="P826" s="19"/>
      <c r="Q826" s="19"/>
      <c r="R826" s="19"/>
      <c r="S826" s="19"/>
      <c r="T826" s="19"/>
      <c r="U826" s="19"/>
      <c r="V826" s="19"/>
      <c r="W826" s="20"/>
      <c r="X826" s="20"/>
    </row>
    <row r="827" spans="1:24" ht="15.75" hidden="1" customHeight="1" x14ac:dyDescent="0.25">
      <c r="A827" s="16"/>
      <c r="B827" s="16" t="str">
        <f t="shared" si="3"/>
        <v/>
      </c>
      <c r="C827" s="16"/>
      <c r="D827" s="16"/>
      <c r="E827" s="16"/>
      <c r="F827" s="17"/>
      <c r="G827" s="16"/>
      <c r="H827" s="16"/>
      <c r="I827" s="16"/>
      <c r="J827" s="22"/>
      <c r="K827" s="16"/>
      <c r="L827" s="16"/>
      <c r="M827" s="16"/>
      <c r="N827" s="19"/>
      <c r="O827" s="19"/>
      <c r="P827" s="19"/>
      <c r="Q827" s="19"/>
      <c r="R827" s="19"/>
      <c r="S827" s="19"/>
      <c r="T827" s="19"/>
      <c r="U827" s="19"/>
      <c r="V827" s="19"/>
      <c r="W827" s="20"/>
      <c r="X827" s="20"/>
    </row>
    <row r="828" spans="1:24" ht="15.75" hidden="1" customHeight="1" x14ac:dyDescent="0.25">
      <c r="A828" s="16"/>
      <c r="B828" s="16" t="str">
        <f t="shared" si="3"/>
        <v/>
      </c>
      <c r="C828" s="16"/>
      <c r="D828" s="16"/>
      <c r="E828" s="16"/>
      <c r="F828" s="17"/>
      <c r="G828" s="16"/>
      <c r="H828" s="16"/>
      <c r="I828" s="16"/>
      <c r="J828" s="22"/>
      <c r="K828" s="16"/>
      <c r="L828" s="16"/>
      <c r="M828" s="16"/>
      <c r="N828" s="19"/>
      <c r="O828" s="19"/>
      <c r="P828" s="19"/>
      <c r="Q828" s="19"/>
      <c r="R828" s="19"/>
      <c r="S828" s="19"/>
      <c r="T828" s="19"/>
      <c r="U828" s="19"/>
      <c r="V828" s="19"/>
      <c r="W828" s="20"/>
      <c r="X828" s="20"/>
    </row>
    <row r="829" spans="1:24" ht="15.75" hidden="1" customHeight="1" x14ac:dyDescent="0.25">
      <c r="A829" s="16"/>
      <c r="B829" s="16" t="str">
        <f t="shared" si="3"/>
        <v/>
      </c>
      <c r="C829" s="16"/>
      <c r="D829" s="16"/>
      <c r="E829" s="16"/>
      <c r="F829" s="17"/>
      <c r="G829" s="16"/>
      <c r="H829" s="16"/>
      <c r="I829" s="16"/>
      <c r="J829" s="22"/>
      <c r="K829" s="16"/>
      <c r="L829" s="16"/>
      <c r="M829" s="16"/>
      <c r="N829" s="19"/>
      <c r="O829" s="19"/>
      <c r="P829" s="19"/>
      <c r="Q829" s="19"/>
      <c r="R829" s="19"/>
      <c r="S829" s="19"/>
      <c r="T829" s="19"/>
      <c r="U829" s="19"/>
      <c r="V829" s="19"/>
      <c r="W829" s="20"/>
      <c r="X829" s="20"/>
    </row>
    <row r="830" spans="1:24" ht="15.75" hidden="1" customHeight="1" x14ac:dyDescent="0.25">
      <c r="A830" s="16"/>
      <c r="B830" s="16" t="str">
        <f t="shared" si="3"/>
        <v/>
      </c>
      <c r="C830" s="16"/>
      <c r="D830" s="16"/>
      <c r="E830" s="16"/>
      <c r="F830" s="17"/>
      <c r="G830" s="16"/>
      <c r="H830" s="16"/>
      <c r="I830" s="16"/>
      <c r="J830" s="22"/>
      <c r="K830" s="16"/>
      <c r="L830" s="16"/>
      <c r="M830" s="16"/>
      <c r="N830" s="19"/>
      <c r="O830" s="19"/>
      <c r="P830" s="19"/>
      <c r="Q830" s="19"/>
      <c r="R830" s="19"/>
      <c r="S830" s="19"/>
      <c r="T830" s="19"/>
      <c r="U830" s="19"/>
      <c r="V830" s="19"/>
      <c r="W830" s="20"/>
      <c r="X830" s="20"/>
    </row>
    <row r="831" spans="1:24" ht="15.75" hidden="1" customHeight="1" x14ac:dyDescent="0.25">
      <c r="A831" s="16"/>
      <c r="B831" s="16" t="str">
        <f t="shared" si="3"/>
        <v/>
      </c>
      <c r="C831" s="16"/>
      <c r="D831" s="16"/>
      <c r="E831" s="16"/>
      <c r="F831" s="17"/>
      <c r="G831" s="16"/>
      <c r="H831" s="16"/>
      <c r="I831" s="16"/>
      <c r="J831" s="22"/>
      <c r="K831" s="16"/>
      <c r="L831" s="16"/>
      <c r="M831" s="16"/>
      <c r="N831" s="19"/>
      <c r="O831" s="19"/>
      <c r="P831" s="19"/>
      <c r="Q831" s="19"/>
      <c r="R831" s="19"/>
      <c r="S831" s="19"/>
      <c r="T831" s="19"/>
      <c r="U831" s="19"/>
      <c r="V831" s="19"/>
      <c r="W831" s="20"/>
      <c r="X831" s="20"/>
    </row>
    <row r="832" spans="1:24" ht="15.75" hidden="1" customHeight="1" x14ac:dyDescent="0.25">
      <c r="A832" s="16"/>
      <c r="B832" s="16" t="str">
        <f t="shared" si="3"/>
        <v/>
      </c>
      <c r="C832" s="16"/>
      <c r="D832" s="16"/>
      <c r="E832" s="16"/>
      <c r="F832" s="17"/>
      <c r="G832" s="16"/>
      <c r="H832" s="16"/>
      <c r="I832" s="16"/>
      <c r="J832" s="22"/>
      <c r="K832" s="16"/>
      <c r="L832" s="16"/>
      <c r="M832" s="16"/>
      <c r="N832" s="19"/>
      <c r="O832" s="19"/>
      <c r="P832" s="19"/>
      <c r="Q832" s="19"/>
      <c r="R832" s="19"/>
      <c r="S832" s="19"/>
      <c r="T832" s="19"/>
      <c r="U832" s="19"/>
      <c r="V832" s="19"/>
      <c r="W832" s="20"/>
      <c r="X832" s="20"/>
    </row>
    <row r="833" spans="1:24" ht="15.75" hidden="1" customHeight="1" x14ac:dyDescent="0.25">
      <c r="A833" s="16"/>
      <c r="B833" s="16" t="str">
        <f t="shared" si="3"/>
        <v/>
      </c>
      <c r="C833" s="16"/>
      <c r="D833" s="16"/>
      <c r="E833" s="16"/>
      <c r="F833" s="17"/>
      <c r="G833" s="16"/>
      <c r="H833" s="16"/>
      <c r="I833" s="16"/>
      <c r="J833" s="22"/>
      <c r="K833" s="16"/>
      <c r="L833" s="16"/>
      <c r="M833" s="16"/>
      <c r="N833" s="19"/>
      <c r="O833" s="19"/>
      <c r="P833" s="19"/>
      <c r="Q833" s="19"/>
      <c r="R833" s="19"/>
      <c r="S833" s="19"/>
      <c r="T833" s="19"/>
      <c r="U833" s="19"/>
      <c r="V833" s="19"/>
      <c r="W833" s="20"/>
      <c r="X833" s="20"/>
    </row>
    <row r="834" spans="1:24" ht="15.75" hidden="1" customHeight="1" x14ac:dyDescent="0.25">
      <c r="A834" s="16"/>
      <c r="B834" s="16" t="str">
        <f t="shared" si="3"/>
        <v/>
      </c>
      <c r="C834" s="16"/>
      <c r="D834" s="16"/>
      <c r="E834" s="16"/>
      <c r="F834" s="17"/>
      <c r="G834" s="16"/>
      <c r="H834" s="16"/>
      <c r="I834" s="16"/>
      <c r="J834" s="22"/>
      <c r="K834" s="16"/>
      <c r="L834" s="16"/>
      <c r="M834" s="16"/>
      <c r="N834" s="19"/>
      <c r="O834" s="19"/>
      <c r="P834" s="19"/>
      <c r="Q834" s="19"/>
      <c r="R834" s="19"/>
      <c r="S834" s="19"/>
      <c r="T834" s="19"/>
      <c r="U834" s="19"/>
      <c r="V834" s="19"/>
      <c r="W834" s="20"/>
      <c r="X834" s="20"/>
    </row>
    <row r="835" spans="1:24" ht="15.75" hidden="1" customHeight="1" x14ac:dyDescent="0.25">
      <c r="A835" s="16"/>
      <c r="B835" s="16" t="str">
        <f t="shared" si="3"/>
        <v/>
      </c>
      <c r="C835" s="16"/>
      <c r="D835" s="16"/>
      <c r="E835" s="16"/>
      <c r="F835" s="17"/>
      <c r="G835" s="16"/>
      <c r="H835" s="16"/>
      <c r="I835" s="16"/>
      <c r="J835" s="22"/>
      <c r="K835" s="16"/>
      <c r="L835" s="16"/>
      <c r="M835" s="16"/>
      <c r="N835" s="19"/>
      <c r="O835" s="19"/>
      <c r="P835" s="19"/>
      <c r="Q835" s="19"/>
      <c r="R835" s="19"/>
      <c r="S835" s="19"/>
      <c r="T835" s="19"/>
      <c r="U835" s="19"/>
      <c r="V835" s="19"/>
      <c r="W835" s="20"/>
      <c r="X835" s="20"/>
    </row>
    <row r="836" spans="1:24" ht="15.75" hidden="1" customHeight="1" x14ac:dyDescent="0.25">
      <c r="A836" s="16"/>
      <c r="B836" s="16" t="str">
        <f t="shared" si="3"/>
        <v/>
      </c>
      <c r="C836" s="16"/>
      <c r="D836" s="16"/>
      <c r="E836" s="16"/>
      <c r="F836" s="17"/>
      <c r="G836" s="16"/>
      <c r="H836" s="16"/>
      <c r="I836" s="16"/>
      <c r="J836" s="22"/>
      <c r="K836" s="16"/>
      <c r="L836" s="16"/>
      <c r="M836" s="16"/>
      <c r="N836" s="19"/>
      <c r="O836" s="19"/>
      <c r="P836" s="19"/>
      <c r="Q836" s="19"/>
      <c r="R836" s="19"/>
      <c r="S836" s="19"/>
      <c r="T836" s="19"/>
      <c r="U836" s="19"/>
      <c r="V836" s="19"/>
      <c r="W836" s="20"/>
      <c r="X836" s="20"/>
    </row>
    <row r="837" spans="1:24" ht="15.75" hidden="1" customHeight="1" x14ac:dyDescent="0.25">
      <c r="A837" s="16"/>
      <c r="B837" s="16" t="str">
        <f t="shared" si="3"/>
        <v/>
      </c>
      <c r="C837" s="16"/>
      <c r="D837" s="16"/>
      <c r="E837" s="16"/>
      <c r="F837" s="17"/>
      <c r="G837" s="16"/>
      <c r="H837" s="16"/>
      <c r="I837" s="16"/>
      <c r="J837" s="22"/>
      <c r="K837" s="16"/>
      <c r="L837" s="16"/>
      <c r="M837" s="16"/>
      <c r="N837" s="19"/>
      <c r="O837" s="19"/>
      <c r="P837" s="19"/>
      <c r="Q837" s="19"/>
      <c r="R837" s="19"/>
      <c r="S837" s="19"/>
      <c r="T837" s="19"/>
      <c r="U837" s="19"/>
      <c r="V837" s="19"/>
      <c r="W837" s="20"/>
      <c r="X837" s="20"/>
    </row>
    <row r="838" spans="1:24" ht="15.75" hidden="1" customHeight="1" x14ac:dyDescent="0.25">
      <c r="A838" s="16"/>
      <c r="B838" s="16" t="str">
        <f t="shared" si="3"/>
        <v/>
      </c>
      <c r="C838" s="16"/>
      <c r="D838" s="16"/>
      <c r="E838" s="16"/>
      <c r="F838" s="17"/>
      <c r="G838" s="16"/>
      <c r="H838" s="16"/>
      <c r="I838" s="16"/>
      <c r="J838" s="22"/>
      <c r="K838" s="16"/>
      <c r="L838" s="16"/>
      <c r="M838" s="16"/>
      <c r="N838" s="19"/>
      <c r="O838" s="19"/>
      <c r="P838" s="19"/>
      <c r="Q838" s="19"/>
      <c r="R838" s="19"/>
      <c r="S838" s="19"/>
      <c r="T838" s="19"/>
      <c r="U838" s="19"/>
      <c r="V838" s="19"/>
      <c r="W838" s="20"/>
      <c r="X838" s="20"/>
    </row>
    <row r="839" spans="1:24" ht="15.75" hidden="1" customHeight="1" x14ac:dyDescent="0.25">
      <c r="A839" s="16"/>
      <c r="B839" s="16" t="str">
        <f t="shared" si="3"/>
        <v/>
      </c>
      <c r="C839" s="16"/>
      <c r="D839" s="16"/>
      <c r="E839" s="16"/>
      <c r="F839" s="17"/>
      <c r="G839" s="16"/>
      <c r="H839" s="16"/>
      <c r="I839" s="16"/>
      <c r="J839" s="22"/>
      <c r="K839" s="16"/>
      <c r="L839" s="16"/>
      <c r="M839" s="16"/>
      <c r="N839" s="19"/>
      <c r="O839" s="19"/>
      <c r="P839" s="19"/>
      <c r="Q839" s="19"/>
      <c r="R839" s="19"/>
      <c r="S839" s="19"/>
      <c r="T839" s="19"/>
      <c r="U839" s="19"/>
      <c r="V839" s="19"/>
      <c r="W839" s="20"/>
      <c r="X839" s="20"/>
    </row>
    <row r="840" spans="1:24" ht="15.75" hidden="1" customHeight="1" x14ac:dyDescent="0.25">
      <c r="A840" s="16"/>
      <c r="B840" s="16" t="str">
        <f t="shared" si="3"/>
        <v/>
      </c>
      <c r="C840" s="16"/>
      <c r="D840" s="16"/>
      <c r="E840" s="16"/>
      <c r="F840" s="17"/>
      <c r="G840" s="16"/>
      <c r="H840" s="16"/>
      <c r="I840" s="16"/>
      <c r="J840" s="22"/>
      <c r="K840" s="16"/>
      <c r="L840" s="16"/>
      <c r="M840" s="16"/>
      <c r="N840" s="19"/>
      <c r="O840" s="19"/>
      <c r="P840" s="19"/>
      <c r="Q840" s="19"/>
      <c r="R840" s="19"/>
      <c r="S840" s="19"/>
      <c r="T840" s="19"/>
      <c r="U840" s="19"/>
      <c r="V840" s="19"/>
      <c r="W840" s="20"/>
      <c r="X840" s="20"/>
    </row>
    <row r="841" spans="1:24" ht="15.75" hidden="1" customHeight="1" x14ac:dyDescent="0.25">
      <c r="A841" s="16"/>
      <c r="B841" s="16" t="str">
        <f t="shared" si="3"/>
        <v/>
      </c>
      <c r="C841" s="16"/>
      <c r="D841" s="16"/>
      <c r="E841" s="16"/>
      <c r="F841" s="17"/>
      <c r="G841" s="16"/>
      <c r="H841" s="16"/>
      <c r="I841" s="16"/>
      <c r="J841" s="22"/>
      <c r="K841" s="16"/>
      <c r="L841" s="16"/>
      <c r="M841" s="16"/>
      <c r="N841" s="19"/>
      <c r="O841" s="19"/>
      <c r="P841" s="19"/>
      <c r="Q841" s="19"/>
      <c r="R841" s="19"/>
      <c r="S841" s="19"/>
      <c r="T841" s="19"/>
      <c r="U841" s="19"/>
      <c r="V841" s="19"/>
      <c r="W841" s="20"/>
      <c r="X841" s="20"/>
    </row>
    <row r="842" spans="1:24" ht="15.75" hidden="1" customHeight="1" x14ac:dyDescent="0.25">
      <c r="A842" s="16"/>
      <c r="B842" s="16" t="str">
        <f t="shared" si="3"/>
        <v/>
      </c>
      <c r="C842" s="16"/>
      <c r="D842" s="16"/>
      <c r="E842" s="16"/>
      <c r="F842" s="17"/>
      <c r="G842" s="16"/>
      <c r="H842" s="16"/>
      <c r="I842" s="16"/>
      <c r="J842" s="22"/>
      <c r="K842" s="16"/>
      <c r="L842" s="16"/>
      <c r="M842" s="16"/>
      <c r="N842" s="19"/>
      <c r="O842" s="19"/>
      <c r="P842" s="19"/>
      <c r="Q842" s="19"/>
      <c r="R842" s="19"/>
      <c r="S842" s="19"/>
      <c r="T842" s="19"/>
      <c r="U842" s="19"/>
      <c r="V842" s="19"/>
      <c r="W842" s="20"/>
      <c r="X842" s="20"/>
    </row>
    <row r="843" spans="1:24" ht="15.75" hidden="1" customHeight="1" x14ac:dyDescent="0.25">
      <c r="A843" s="16"/>
      <c r="B843" s="16" t="str">
        <f t="shared" si="3"/>
        <v/>
      </c>
      <c r="C843" s="16"/>
      <c r="D843" s="16"/>
      <c r="E843" s="16"/>
      <c r="F843" s="17"/>
      <c r="G843" s="16"/>
      <c r="H843" s="16"/>
      <c r="I843" s="16"/>
      <c r="J843" s="22"/>
      <c r="K843" s="16"/>
      <c r="L843" s="16"/>
      <c r="M843" s="16"/>
      <c r="N843" s="19"/>
      <c r="O843" s="19"/>
      <c r="P843" s="19"/>
      <c r="Q843" s="19"/>
      <c r="R843" s="19"/>
      <c r="S843" s="19"/>
      <c r="T843" s="19"/>
      <c r="U843" s="19"/>
      <c r="V843" s="19"/>
      <c r="W843" s="20"/>
      <c r="X843" s="20"/>
    </row>
    <row r="844" spans="1:24" ht="15.75" hidden="1" customHeight="1" x14ac:dyDescent="0.25">
      <c r="A844" s="16"/>
      <c r="B844" s="16" t="str">
        <f t="shared" si="3"/>
        <v/>
      </c>
      <c r="C844" s="16"/>
      <c r="D844" s="16"/>
      <c r="E844" s="16"/>
      <c r="F844" s="17"/>
      <c r="G844" s="16"/>
      <c r="H844" s="16"/>
      <c r="I844" s="16"/>
      <c r="J844" s="22"/>
      <c r="K844" s="16"/>
      <c r="L844" s="16"/>
      <c r="M844" s="16"/>
      <c r="N844" s="19"/>
      <c r="O844" s="19"/>
      <c r="P844" s="19"/>
      <c r="Q844" s="19"/>
      <c r="R844" s="19"/>
      <c r="S844" s="19"/>
      <c r="T844" s="19"/>
      <c r="U844" s="19"/>
      <c r="V844" s="19"/>
      <c r="W844" s="20"/>
      <c r="X844" s="20"/>
    </row>
    <row r="845" spans="1:24" ht="15.75" hidden="1" customHeight="1" x14ac:dyDescent="0.25">
      <c r="A845" s="16"/>
      <c r="B845" s="16" t="str">
        <f t="shared" si="3"/>
        <v/>
      </c>
      <c r="C845" s="16"/>
      <c r="D845" s="16"/>
      <c r="E845" s="16"/>
      <c r="F845" s="17"/>
      <c r="G845" s="16"/>
      <c r="H845" s="16"/>
      <c r="I845" s="16"/>
      <c r="J845" s="22"/>
      <c r="K845" s="16"/>
      <c r="L845" s="16"/>
      <c r="M845" s="16"/>
      <c r="N845" s="19"/>
      <c r="O845" s="19"/>
      <c r="P845" s="19"/>
      <c r="Q845" s="19"/>
      <c r="R845" s="19"/>
      <c r="S845" s="19"/>
      <c r="T845" s="19"/>
      <c r="U845" s="19"/>
      <c r="V845" s="19"/>
      <c r="W845" s="20"/>
      <c r="X845" s="20"/>
    </row>
    <row r="846" spans="1:24" ht="15.75" hidden="1" customHeight="1" x14ac:dyDescent="0.25">
      <c r="A846" s="16"/>
      <c r="B846" s="16" t="str">
        <f t="shared" si="3"/>
        <v/>
      </c>
      <c r="C846" s="16"/>
      <c r="D846" s="16"/>
      <c r="E846" s="16"/>
      <c r="F846" s="17"/>
      <c r="G846" s="16"/>
      <c r="H846" s="16"/>
      <c r="I846" s="16"/>
      <c r="J846" s="22"/>
      <c r="K846" s="16"/>
      <c r="L846" s="16"/>
      <c r="M846" s="16"/>
      <c r="N846" s="19"/>
      <c r="O846" s="19"/>
      <c r="P846" s="19"/>
      <c r="Q846" s="19"/>
      <c r="R846" s="19"/>
      <c r="S846" s="19"/>
      <c r="T846" s="19"/>
      <c r="U846" s="19"/>
      <c r="V846" s="19"/>
      <c r="W846" s="20"/>
      <c r="X846" s="20"/>
    </row>
    <row r="847" spans="1:24" ht="15.75" hidden="1" customHeight="1" x14ac:dyDescent="0.25">
      <c r="A847" s="16"/>
      <c r="B847" s="16" t="str">
        <f t="shared" si="3"/>
        <v/>
      </c>
      <c r="C847" s="16"/>
      <c r="D847" s="16"/>
      <c r="E847" s="16"/>
      <c r="F847" s="17"/>
      <c r="G847" s="16"/>
      <c r="H847" s="16"/>
      <c r="I847" s="16"/>
      <c r="J847" s="22"/>
      <c r="K847" s="16"/>
      <c r="L847" s="16"/>
      <c r="M847" s="16"/>
      <c r="N847" s="19"/>
      <c r="O847" s="19"/>
      <c r="P847" s="19"/>
      <c r="Q847" s="19"/>
      <c r="R847" s="19"/>
      <c r="S847" s="19"/>
      <c r="T847" s="19"/>
      <c r="U847" s="19"/>
      <c r="V847" s="19"/>
      <c r="W847" s="20"/>
      <c r="X847" s="20"/>
    </row>
    <row r="848" spans="1:24" ht="15.75" hidden="1" customHeight="1" x14ac:dyDescent="0.25">
      <c r="A848" s="16"/>
      <c r="B848" s="16" t="str">
        <f t="shared" si="3"/>
        <v/>
      </c>
      <c r="C848" s="16"/>
      <c r="D848" s="16"/>
      <c r="E848" s="16"/>
      <c r="F848" s="17"/>
      <c r="G848" s="16"/>
      <c r="H848" s="16"/>
      <c r="I848" s="16"/>
      <c r="J848" s="22"/>
      <c r="K848" s="16"/>
      <c r="L848" s="16"/>
      <c r="M848" s="16"/>
      <c r="N848" s="19"/>
      <c r="O848" s="19"/>
      <c r="P848" s="19"/>
      <c r="Q848" s="19"/>
      <c r="R848" s="19"/>
      <c r="S848" s="19"/>
      <c r="T848" s="19"/>
      <c r="U848" s="19"/>
      <c r="V848" s="19"/>
      <c r="W848" s="20"/>
      <c r="X848" s="20"/>
    </row>
    <row r="849" spans="1:24" ht="15.75" hidden="1" customHeight="1" x14ac:dyDescent="0.25">
      <c r="A849" s="16"/>
      <c r="B849" s="16" t="str">
        <f t="shared" si="3"/>
        <v/>
      </c>
      <c r="C849" s="16"/>
      <c r="D849" s="16"/>
      <c r="E849" s="16"/>
      <c r="F849" s="17"/>
      <c r="G849" s="16"/>
      <c r="H849" s="16"/>
      <c r="I849" s="16"/>
      <c r="J849" s="22"/>
      <c r="K849" s="16"/>
      <c r="L849" s="16"/>
      <c r="M849" s="16"/>
      <c r="N849" s="19"/>
      <c r="O849" s="19"/>
      <c r="P849" s="19"/>
      <c r="Q849" s="19"/>
      <c r="R849" s="19"/>
      <c r="S849" s="19"/>
      <c r="T849" s="19"/>
      <c r="U849" s="19"/>
      <c r="V849" s="19"/>
      <c r="W849" s="20"/>
      <c r="X849" s="20"/>
    </row>
    <row r="850" spans="1:24" ht="15.75" hidden="1" customHeight="1" x14ac:dyDescent="0.25">
      <c r="A850" s="16"/>
      <c r="B850" s="16" t="str">
        <f t="shared" si="3"/>
        <v/>
      </c>
      <c r="C850" s="16"/>
      <c r="D850" s="16"/>
      <c r="E850" s="16"/>
      <c r="F850" s="17"/>
      <c r="G850" s="16"/>
      <c r="H850" s="16"/>
      <c r="I850" s="16"/>
      <c r="J850" s="22"/>
      <c r="K850" s="16"/>
      <c r="L850" s="16"/>
      <c r="M850" s="16"/>
      <c r="N850" s="19"/>
      <c r="O850" s="19"/>
      <c r="P850" s="19"/>
      <c r="Q850" s="19"/>
      <c r="R850" s="19"/>
      <c r="S850" s="19"/>
      <c r="T850" s="19"/>
      <c r="U850" s="19"/>
      <c r="V850" s="19"/>
      <c r="W850" s="20"/>
      <c r="X850" s="20"/>
    </row>
    <row r="851" spans="1:24" ht="15.75" hidden="1" customHeight="1" x14ac:dyDescent="0.25">
      <c r="A851" s="16"/>
      <c r="B851" s="16" t="str">
        <f t="shared" si="3"/>
        <v/>
      </c>
      <c r="C851" s="16"/>
      <c r="D851" s="16"/>
      <c r="E851" s="16"/>
      <c r="F851" s="17"/>
      <c r="G851" s="16"/>
      <c r="H851" s="16"/>
      <c r="I851" s="16"/>
      <c r="J851" s="22"/>
      <c r="K851" s="16"/>
      <c r="L851" s="16"/>
      <c r="M851" s="16"/>
      <c r="N851" s="19"/>
      <c r="O851" s="19"/>
      <c r="P851" s="19"/>
      <c r="Q851" s="19"/>
      <c r="R851" s="19"/>
      <c r="S851" s="19"/>
      <c r="T851" s="19"/>
      <c r="U851" s="19"/>
      <c r="V851" s="19"/>
      <c r="W851" s="20"/>
      <c r="X851" s="20"/>
    </row>
    <row r="852" spans="1:24" ht="15.75" hidden="1" customHeight="1" x14ac:dyDescent="0.25">
      <c r="A852" s="16"/>
      <c r="B852" s="16" t="str">
        <f t="shared" si="3"/>
        <v/>
      </c>
      <c r="C852" s="16"/>
      <c r="D852" s="16"/>
      <c r="E852" s="16"/>
      <c r="F852" s="17"/>
      <c r="G852" s="16"/>
      <c r="H852" s="16"/>
      <c r="I852" s="16"/>
      <c r="J852" s="22"/>
      <c r="K852" s="16"/>
      <c r="L852" s="16"/>
      <c r="M852" s="16"/>
      <c r="N852" s="19"/>
      <c r="O852" s="19"/>
      <c r="P852" s="19"/>
      <c r="Q852" s="19"/>
      <c r="R852" s="19"/>
      <c r="S852" s="19"/>
      <c r="T852" s="19"/>
      <c r="U852" s="19"/>
      <c r="V852" s="19"/>
      <c r="W852" s="20"/>
      <c r="X852" s="20"/>
    </row>
    <row r="853" spans="1:24" ht="15.75" hidden="1" customHeight="1" x14ac:dyDescent="0.25">
      <c r="A853" s="16"/>
      <c r="B853" s="16" t="str">
        <f t="shared" si="3"/>
        <v/>
      </c>
      <c r="C853" s="16"/>
      <c r="D853" s="16"/>
      <c r="E853" s="16"/>
      <c r="F853" s="17"/>
      <c r="G853" s="16"/>
      <c r="H853" s="16"/>
      <c r="I853" s="16"/>
      <c r="J853" s="22"/>
      <c r="K853" s="16"/>
      <c r="L853" s="16"/>
      <c r="M853" s="16"/>
      <c r="N853" s="19"/>
      <c r="O853" s="19"/>
      <c r="P853" s="19"/>
      <c r="Q853" s="19"/>
      <c r="R853" s="19"/>
      <c r="S853" s="19"/>
      <c r="T853" s="19"/>
      <c r="U853" s="19"/>
      <c r="V853" s="19"/>
      <c r="W853" s="20"/>
      <c r="X853" s="20"/>
    </row>
    <row r="854" spans="1:24" ht="15.75" hidden="1" customHeight="1" x14ac:dyDescent="0.25">
      <c r="A854" s="16"/>
      <c r="B854" s="16" t="str">
        <f t="shared" si="3"/>
        <v/>
      </c>
      <c r="C854" s="16"/>
      <c r="D854" s="16"/>
      <c r="E854" s="16"/>
      <c r="F854" s="17"/>
      <c r="G854" s="16"/>
      <c r="H854" s="16"/>
      <c r="I854" s="16"/>
      <c r="J854" s="22"/>
      <c r="K854" s="16"/>
      <c r="L854" s="16"/>
      <c r="M854" s="16"/>
      <c r="N854" s="19"/>
      <c r="O854" s="19"/>
      <c r="P854" s="19"/>
      <c r="Q854" s="19"/>
      <c r="R854" s="19"/>
      <c r="S854" s="19"/>
      <c r="T854" s="19"/>
      <c r="U854" s="19"/>
      <c r="V854" s="19"/>
      <c r="W854" s="20"/>
      <c r="X854" s="20"/>
    </row>
    <row r="855" spans="1:24" ht="15.75" hidden="1" customHeight="1" x14ac:dyDescent="0.25">
      <c r="A855" s="16"/>
      <c r="B855" s="16" t="str">
        <f t="shared" si="3"/>
        <v/>
      </c>
      <c r="C855" s="16"/>
      <c r="D855" s="16"/>
      <c r="E855" s="16"/>
      <c r="F855" s="17"/>
      <c r="G855" s="16"/>
      <c r="H855" s="16"/>
      <c r="I855" s="16"/>
      <c r="J855" s="22"/>
      <c r="K855" s="16"/>
      <c r="L855" s="16"/>
      <c r="M855" s="16"/>
      <c r="N855" s="19"/>
      <c r="O855" s="19"/>
      <c r="P855" s="19"/>
      <c r="Q855" s="19"/>
      <c r="R855" s="19"/>
      <c r="S855" s="19"/>
      <c r="T855" s="19"/>
      <c r="U855" s="19"/>
      <c r="V855" s="19"/>
      <c r="W855" s="20"/>
      <c r="X855" s="20"/>
    </row>
    <row r="856" spans="1:24" ht="15.75" hidden="1" customHeight="1" x14ac:dyDescent="0.25">
      <c r="A856" s="16"/>
      <c r="B856" s="16" t="str">
        <f t="shared" si="3"/>
        <v/>
      </c>
      <c r="C856" s="16"/>
      <c r="D856" s="16"/>
      <c r="E856" s="16"/>
      <c r="F856" s="17"/>
      <c r="G856" s="16"/>
      <c r="H856" s="16"/>
      <c r="I856" s="16"/>
      <c r="J856" s="22"/>
      <c r="K856" s="16"/>
      <c r="L856" s="16"/>
      <c r="M856" s="16"/>
      <c r="N856" s="19"/>
      <c r="O856" s="19"/>
      <c r="P856" s="19"/>
      <c r="Q856" s="19"/>
      <c r="R856" s="19"/>
      <c r="S856" s="19"/>
      <c r="T856" s="19"/>
      <c r="U856" s="19"/>
      <c r="V856" s="19"/>
      <c r="W856" s="20"/>
      <c r="X856" s="20"/>
    </row>
    <row r="857" spans="1:24" ht="15.75" hidden="1" customHeight="1" x14ac:dyDescent="0.25">
      <c r="A857" s="16"/>
      <c r="B857" s="16" t="str">
        <f t="shared" si="3"/>
        <v/>
      </c>
      <c r="C857" s="16"/>
      <c r="D857" s="16"/>
      <c r="E857" s="16"/>
      <c r="F857" s="17"/>
      <c r="G857" s="16"/>
      <c r="H857" s="16"/>
      <c r="I857" s="16"/>
      <c r="J857" s="22"/>
      <c r="K857" s="16"/>
      <c r="L857" s="16"/>
      <c r="M857" s="16"/>
      <c r="N857" s="19"/>
      <c r="O857" s="19"/>
      <c r="P857" s="19"/>
      <c r="Q857" s="19"/>
      <c r="R857" s="19"/>
      <c r="S857" s="19"/>
      <c r="T857" s="19"/>
      <c r="U857" s="19"/>
      <c r="V857" s="19"/>
      <c r="W857" s="20"/>
      <c r="X857" s="20"/>
    </row>
    <row r="858" spans="1:24" ht="15.75" hidden="1" customHeight="1" x14ac:dyDescent="0.25">
      <c r="A858" s="16"/>
      <c r="B858" s="16" t="str">
        <f t="shared" si="3"/>
        <v/>
      </c>
      <c r="C858" s="16"/>
      <c r="D858" s="16"/>
      <c r="E858" s="16"/>
      <c r="F858" s="17"/>
      <c r="G858" s="16"/>
      <c r="H858" s="16"/>
      <c r="I858" s="16"/>
      <c r="J858" s="22"/>
      <c r="K858" s="16"/>
      <c r="L858" s="16"/>
      <c r="M858" s="16"/>
      <c r="N858" s="19"/>
      <c r="O858" s="19"/>
      <c r="P858" s="19"/>
      <c r="Q858" s="19"/>
      <c r="R858" s="19"/>
      <c r="S858" s="19"/>
      <c r="T858" s="19"/>
      <c r="U858" s="19"/>
      <c r="V858" s="19"/>
      <c r="W858" s="20"/>
      <c r="X858" s="20"/>
    </row>
    <row r="859" spans="1:24" ht="15.75" hidden="1" customHeight="1" x14ac:dyDescent="0.25">
      <c r="A859" s="16"/>
      <c r="B859" s="16" t="str">
        <f t="shared" si="3"/>
        <v/>
      </c>
      <c r="C859" s="16"/>
      <c r="D859" s="16"/>
      <c r="E859" s="16"/>
      <c r="F859" s="17"/>
      <c r="G859" s="16"/>
      <c r="H859" s="16"/>
      <c r="I859" s="16"/>
      <c r="J859" s="22"/>
      <c r="K859" s="16"/>
      <c r="L859" s="16"/>
      <c r="M859" s="16"/>
      <c r="N859" s="19"/>
      <c r="O859" s="19"/>
      <c r="P859" s="19"/>
      <c r="Q859" s="19"/>
      <c r="R859" s="19"/>
      <c r="S859" s="19"/>
      <c r="T859" s="19"/>
      <c r="U859" s="19"/>
      <c r="V859" s="19"/>
      <c r="W859" s="20"/>
      <c r="X859" s="20"/>
    </row>
    <row r="860" spans="1:24" ht="15.75" hidden="1" customHeight="1" x14ac:dyDescent="0.25">
      <c r="A860" s="16"/>
      <c r="B860" s="16" t="str">
        <f t="shared" si="3"/>
        <v/>
      </c>
      <c r="C860" s="16"/>
      <c r="D860" s="16"/>
      <c r="E860" s="16"/>
      <c r="F860" s="17"/>
      <c r="G860" s="16"/>
      <c r="H860" s="16"/>
      <c r="I860" s="16"/>
      <c r="J860" s="22"/>
      <c r="K860" s="16"/>
      <c r="L860" s="16"/>
      <c r="M860" s="16"/>
      <c r="N860" s="19"/>
      <c r="O860" s="19"/>
      <c r="P860" s="19"/>
      <c r="Q860" s="19"/>
      <c r="R860" s="19"/>
      <c r="S860" s="19"/>
      <c r="T860" s="19"/>
      <c r="U860" s="19"/>
      <c r="V860" s="19"/>
      <c r="W860" s="20"/>
      <c r="X860" s="20"/>
    </row>
    <row r="861" spans="1:24" ht="15.75" hidden="1" customHeight="1" x14ac:dyDescent="0.25">
      <c r="A861" s="16"/>
      <c r="B861" s="16" t="str">
        <f t="shared" si="3"/>
        <v/>
      </c>
      <c r="C861" s="16"/>
      <c r="D861" s="16"/>
      <c r="E861" s="16"/>
      <c r="F861" s="17"/>
      <c r="G861" s="16"/>
      <c r="H861" s="16"/>
      <c r="I861" s="16"/>
      <c r="J861" s="22"/>
      <c r="K861" s="16"/>
      <c r="L861" s="16"/>
      <c r="M861" s="16"/>
      <c r="N861" s="19"/>
      <c r="O861" s="19"/>
      <c r="P861" s="19"/>
      <c r="Q861" s="19"/>
      <c r="R861" s="19"/>
      <c r="S861" s="19"/>
      <c r="T861" s="19"/>
      <c r="U861" s="19"/>
      <c r="V861" s="19"/>
      <c r="W861" s="20"/>
      <c r="X861" s="20"/>
    </row>
    <row r="862" spans="1:24" ht="15.75" hidden="1" customHeight="1" x14ac:dyDescent="0.25">
      <c r="A862" s="16"/>
      <c r="B862" s="16" t="str">
        <f t="shared" si="3"/>
        <v/>
      </c>
      <c r="C862" s="16"/>
      <c r="D862" s="16"/>
      <c r="E862" s="16"/>
      <c r="F862" s="17"/>
      <c r="G862" s="16"/>
      <c r="H862" s="16"/>
      <c r="I862" s="16"/>
      <c r="J862" s="22"/>
      <c r="K862" s="16"/>
      <c r="L862" s="16"/>
      <c r="M862" s="16"/>
      <c r="N862" s="19"/>
      <c r="O862" s="19"/>
      <c r="P862" s="19"/>
      <c r="Q862" s="19"/>
      <c r="R862" s="19"/>
      <c r="S862" s="19"/>
      <c r="T862" s="19"/>
      <c r="U862" s="19"/>
      <c r="V862" s="19"/>
      <c r="W862" s="20"/>
      <c r="X862" s="20"/>
    </row>
    <row r="863" spans="1:24" ht="15.75" hidden="1" customHeight="1" x14ac:dyDescent="0.25">
      <c r="A863" s="16"/>
      <c r="B863" s="16" t="str">
        <f t="shared" si="3"/>
        <v/>
      </c>
      <c r="C863" s="16"/>
      <c r="D863" s="16"/>
      <c r="E863" s="16"/>
      <c r="F863" s="17"/>
      <c r="G863" s="16"/>
      <c r="H863" s="16"/>
      <c r="I863" s="16"/>
      <c r="J863" s="22"/>
      <c r="K863" s="16"/>
      <c r="L863" s="16"/>
      <c r="M863" s="16"/>
      <c r="N863" s="19"/>
      <c r="O863" s="19"/>
      <c r="P863" s="19"/>
      <c r="Q863" s="19"/>
      <c r="R863" s="19"/>
      <c r="S863" s="19"/>
      <c r="T863" s="19"/>
      <c r="U863" s="19"/>
      <c r="V863" s="19"/>
      <c r="W863" s="20"/>
      <c r="X863" s="20"/>
    </row>
    <row r="864" spans="1:24" ht="15.75" hidden="1" customHeight="1" x14ac:dyDescent="0.25">
      <c r="A864" s="16"/>
      <c r="B864" s="16" t="str">
        <f t="shared" si="3"/>
        <v/>
      </c>
      <c r="C864" s="16"/>
      <c r="D864" s="16"/>
      <c r="E864" s="16"/>
      <c r="F864" s="17"/>
      <c r="G864" s="16"/>
      <c r="H864" s="16"/>
      <c r="I864" s="16"/>
      <c r="J864" s="22"/>
      <c r="K864" s="16"/>
      <c r="L864" s="16"/>
      <c r="M864" s="16"/>
      <c r="N864" s="19"/>
      <c r="O864" s="19"/>
      <c r="P864" s="19"/>
      <c r="Q864" s="19"/>
      <c r="R864" s="19"/>
      <c r="S864" s="19"/>
      <c r="T864" s="19"/>
      <c r="U864" s="19"/>
      <c r="V864" s="19"/>
      <c r="W864" s="20"/>
      <c r="X864" s="20"/>
    </row>
    <row r="865" spans="1:24" ht="15.75" hidden="1" customHeight="1" x14ac:dyDescent="0.25">
      <c r="A865" s="16"/>
      <c r="B865" s="16" t="str">
        <f t="shared" si="3"/>
        <v/>
      </c>
      <c r="C865" s="16"/>
      <c r="D865" s="16"/>
      <c r="E865" s="16"/>
      <c r="F865" s="17"/>
      <c r="G865" s="16"/>
      <c r="H865" s="16"/>
      <c r="I865" s="16"/>
      <c r="J865" s="22"/>
      <c r="K865" s="16"/>
      <c r="L865" s="16"/>
      <c r="M865" s="16"/>
      <c r="N865" s="19"/>
      <c r="O865" s="19"/>
      <c r="P865" s="19"/>
      <c r="Q865" s="19"/>
      <c r="R865" s="19"/>
      <c r="S865" s="19"/>
      <c r="T865" s="19"/>
      <c r="U865" s="19"/>
      <c r="V865" s="19"/>
      <c r="W865" s="20"/>
      <c r="X865" s="20"/>
    </row>
    <row r="866" spans="1:24" ht="15.75" hidden="1" customHeight="1" x14ac:dyDescent="0.25">
      <c r="A866" s="16"/>
      <c r="B866" s="16" t="str">
        <f t="shared" si="3"/>
        <v/>
      </c>
      <c r="C866" s="16"/>
      <c r="D866" s="16"/>
      <c r="E866" s="16"/>
      <c r="F866" s="17"/>
      <c r="G866" s="16"/>
      <c r="H866" s="16"/>
      <c r="I866" s="16"/>
      <c r="J866" s="22"/>
      <c r="K866" s="16"/>
      <c r="L866" s="16"/>
      <c r="M866" s="16"/>
      <c r="N866" s="19"/>
      <c r="O866" s="19"/>
      <c r="P866" s="19"/>
      <c r="Q866" s="19"/>
      <c r="R866" s="19"/>
      <c r="S866" s="19"/>
      <c r="T866" s="19"/>
      <c r="U866" s="19"/>
      <c r="V866" s="19"/>
      <c r="W866" s="20"/>
      <c r="X866" s="20"/>
    </row>
    <row r="867" spans="1:24" ht="15.75" hidden="1" customHeight="1" x14ac:dyDescent="0.25">
      <c r="A867" s="16"/>
      <c r="B867" s="16" t="str">
        <f t="shared" si="3"/>
        <v/>
      </c>
      <c r="C867" s="16"/>
      <c r="D867" s="16"/>
      <c r="E867" s="16"/>
      <c r="F867" s="17"/>
      <c r="G867" s="16"/>
      <c r="H867" s="16"/>
      <c r="I867" s="16"/>
      <c r="J867" s="22"/>
      <c r="K867" s="16"/>
      <c r="L867" s="16"/>
      <c r="M867" s="16"/>
      <c r="N867" s="19"/>
      <c r="O867" s="19"/>
      <c r="P867" s="19"/>
      <c r="Q867" s="19"/>
      <c r="R867" s="19"/>
      <c r="S867" s="19"/>
      <c r="T867" s="19"/>
      <c r="U867" s="19"/>
      <c r="V867" s="19"/>
      <c r="W867" s="20"/>
      <c r="X867" s="20"/>
    </row>
    <row r="868" spans="1:24" ht="15.75" hidden="1" customHeight="1" x14ac:dyDescent="0.25">
      <c r="A868" s="16"/>
      <c r="B868" s="16" t="str">
        <f t="shared" si="3"/>
        <v/>
      </c>
      <c r="C868" s="16"/>
      <c r="D868" s="16"/>
      <c r="E868" s="16"/>
      <c r="F868" s="17"/>
      <c r="G868" s="16"/>
      <c r="H868" s="16"/>
      <c r="I868" s="16"/>
      <c r="J868" s="22"/>
      <c r="K868" s="16"/>
      <c r="L868" s="16"/>
      <c r="M868" s="16"/>
      <c r="N868" s="19"/>
      <c r="O868" s="19"/>
      <c r="P868" s="19"/>
      <c r="Q868" s="19"/>
      <c r="R868" s="19"/>
      <c r="S868" s="19"/>
      <c r="T868" s="19"/>
      <c r="U868" s="19"/>
      <c r="V868" s="19"/>
      <c r="W868" s="20"/>
      <c r="X868" s="20"/>
    </row>
    <row r="869" spans="1:24" ht="15.75" hidden="1" customHeight="1" x14ac:dyDescent="0.25">
      <c r="A869" s="16"/>
      <c r="B869" s="16" t="str">
        <f t="shared" si="3"/>
        <v/>
      </c>
      <c r="C869" s="16"/>
      <c r="D869" s="16"/>
      <c r="E869" s="16"/>
      <c r="F869" s="17"/>
      <c r="G869" s="16"/>
      <c r="H869" s="16"/>
      <c r="I869" s="16"/>
      <c r="J869" s="22"/>
      <c r="K869" s="16"/>
      <c r="L869" s="16"/>
      <c r="M869" s="16"/>
      <c r="N869" s="19"/>
      <c r="O869" s="19"/>
      <c r="P869" s="19"/>
      <c r="Q869" s="19"/>
      <c r="R869" s="19"/>
      <c r="S869" s="19"/>
      <c r="T869" s="19"/>
      <c r="U869" s="19"/>
      <c r="V869" s="19"/>
      <c r="W869" s="20"/>
      <c r="X869" s="20"/>
    </row>
    <row r="870" spans="1:24" ht="15.75" hidden="1" customHeight="1" x14ac:dyDescent="0.25">
      <c r="A870" s="16"/>
      <c r="B870" s="16" t="str">
        <f t="shared" si="3"/>
        <v/>
      </c>
      <c r="C870" s="16"/>
      <c r="D870" s="16"/>
      <c r="E870" s="16"/>
      <c r="F870" s="17"/>
      <c r="G870" s="16"/>
      <c r="H870" s="16"/>
      <c r="I870" s="16"/>
      <c r="J870" s="22"/>
      <c r="K870" s="16"/>
      <c r="L870" s="16"/>
      <c r="M870" s="16"/>
      <c r="N870" s="19"/>
      <c r="O870" s="19"/>
      <c r="P870" s="19"/>
      <c r="Q870" s="19"/>
      <c r="R870" s="19"/>
      <c r="S870" s="19"/>
      <c r="T870" s="19"/>
      <c r="U870" s="19"/>
      <c r="V870" s="19"/>
      <c r="W870" s="20"/>
      <c r="X870" s="20"/>
    </row>
    <row r="871" spans="1:24" ht="15.75" hidden="1" customHeight="1" x14ac:dyDescent="0.25">
      <c r="A871" s="16"/>
      <c r="B871" s="16" t="str">
        <f t="shared" si="3"/>
        <v/>
      </c>
      <c r="C871" s="16"/>
      <c r="D871" s="16"/>
      <c r="E871" s="16"/>
      <c r="F871" s="17"/>
      <c r="G871" s="16"/>
      <c r="H871" s="16"/>
      <c r="I871" s="16"/>
      <c r="J871" s="22"/>
      <c r="K871" s="16"/>
      <c r="L871" s="16"/>
      <c r="M871" s="16"/>
      <c r="N871" s="19"/>
      <c r="O871" s="19"/>
      <c r="P871" s="19"/>
      <c r="Q871" s="19"/>
      <c r="R871" s="19"/>
      <c r="S871" s="19"/>
      <c r="T871" s="19"/>
      <c r="U871" s="19"/>
      <c r="V871" s="19"/>
      <c r="W871" s="20"/>
      <c r="X871" s="20"/>
    </row>
    <row r="872" spans="1:24" ht="15.75" hidden="1" customHeight="1" x14ac:dyDescent="0.25">
      <c r="A872" s="16"/>
      <c r="B872" s="16" t="str">
        <f t="shared" si="3"/>
        <v/>
      </c>
      <c r="C872" s="16"/>
      <c r="D872" s="16"/>
      <c r="E872" s="16"/>
      <c r="F872" s="17"/>
      <c r="G872" s="16"/>
      <c r="H872" s="16"/>
      <c r="I872" s="16"/>
      <c r="J872" s="22"/>
      <c r="K872" s="16"/>
      <c r="L872" s="16"/>
      <c r="M872" s="16"/>
      <c r="N872" s="19"/>
      <c r="O872" s="19"/>
      <c r="P872" s="19"/>
      <c r="Q872" s="19"/>
      <c r="R872" s="19"/>
      <c r="S872" s="19"/>
      <c r="T872" s="19"/>
      <c r="U872" s="19"/>
      <c r="V872" s="19"/>
      <c r="W872" s="20"/>
      <c r="X872" s="20"/>
    </row>
    <row r="873" spans="1:24" ht="15.75" hidden="1" customHeight="1" x14ac:dyDescent="0.25">
      <c r="A873" s="16"/>
      <c r="B873" s="16" t="str">
        <f t="shared" si="3"/>
        <v/>
      </c>
      <c r="C873" s="16"/>
      <c r="D873" s="16"/>
      <c r="E873" s="16"/>
      <c r="F873" s="17"/>
      <c r="G873" s="16"/>
      <c r="H873" s="16"/>
      <c r="I873" s="16"/>
      <c r="J873" s="22"/>
      <c r="K873" s="16"/>
      <c r="L873" s="16"/>
      <c r="M873" s="16"/>
      <c r="N873" s="19"/>
      <c r="O873" s="19"/>
      <c r="P873" s="19"/>
      <c r="Q873" s="19"/>
      <c r="R873" s="19"/>
      <c r="S873" s="19"/>
      <c r="T873" s="19"/>
      <c r="U873" s="19"/>
      <c r="V873" s="19"/>
      <c r="W873" s="20"/>
      <c r="X873" s="20"/>
    </row>
    <row r="874" spans="1:24" ht="15.75" hidden="1" customHeight="1" x14ac:dyDescent="0.25">
      <c r="A874" s="16"/>
      <c r="B874" s="16" t="str">
        <f t="shared" si="3"/>
        <v/>
      </c>
      <c r="C874" s="16"/>
      <c r="D874" s="16"/>
      <c r="E874" s="16"/>
      <c r="F874" s="17"/>
      <c r="G874" s="16"/>
      <c r="H874" s="16"/>
      <c r="I874" s="16"/>
      <c r="J874" s="22"/>
      <c r="K874" s="16"/>
      <c r="L874" s="16"/>
      <c r="M874" s="16"/>
      <c r="N874" s="19"/>
      <c r="O874" s="19"/>
      <c r="P874" s="19"/>
      <c r="Q874" s="19"/>
      <c r="R874" s="19"/>
      <c r="S874" s="19"/>
      <c r="T874" s="19"/>
      <c r="U874" s="19"/>
      <c r="V874" s="19"/>
      <c r="W874" s="20"/>
      <c r="X874" s="20"/>
    </row>
    <row r="875" spans="1:24" ht="15.75" hidden="1" customHeight="1" x14ac:dyDescent="0.25">
      <c r="A875" s="16"/>
      <c r="B875" s="16" t="str">
        <f t="shared" si="3"/>
        <v/>
      </c>
      <c r="C875" s="16"/>
      <c r="D875" s="16"/>
      <c r="E875" s="16"/>
      <c r="F875" s="17"/>
      <c r="G875" s="16"/>
      <c r="H875" s="16"/>
      <c r="I875" s="16"/>
      <c r="J875" s="22"/>
      <c r="K875" s="16"/>
      <c r="L875" s="16"/>
      <c r="M875" s="16"/>
      <c r="N875" s="19"/>
      <c r="O875" s="19"/>
      <c r="P875" s="19"/>
      <c r="Q875" s="19"/>
      <c r="R875" s="19"/>
      <c r="S875" s="19"/>
      <c r="T875" s="19"/>
      <c r="U875" s="19"/>
      <c r="V875" s="19"/>
      <c r="W875" s="20"/>
      <c r="X875" s="20"/>
    </row>
    <row r="876" spans="1:24" ht="15.75" hidden="1" customHeight="1" x14ac:dyDescent="0.25">
      <c r="A876" s="16"/>
      <c r="B876" s="16" t="str">
        <f t="shared" si="3"/>
        <v/>
      </c>
      <c r="C876" s="16"/>
      <c r="D876" s="16"/>
      <c r="E876" s="16"/>
      <c r="F876" s="17"/>
      <c r="G876" s="16"/>
      <c r="H876" s="16"/>
      <c r="I876" s="16"/>
      <c r="J876" s="22"/>
      <c r="K876" s="16"/>
      <c r="L876" s="16"/>
      <c r="M876" s="16"/>
      <c r="N876" s="19"/>
      <c r="O876" s="19"/>
      <c r="P876" s="19"/>
      <c r="Q876" s="19"/>
      <c r="R876" s="19"/>
      <c r="S876" s="19"/>
      <c r="T876" s="19"/>
      <c r="U876" s="19"/>
      <c r="V876" s="19"/>
      <c r="W876" s="20"/>
      <c r="X876" s="20"/>
    </row>
    <row r="877" spans="1:24" ht="15.75" hidden="1" customHeight="1" x14ac:dyDescent="0.25">
      <c r="A877" s="16"/>
      <c r="B877" s="16" t="str">
        <f t="shared" si="3"/>
        <v/>
      </c>
      <c r="C877" s="16"/>
      <c r="D877" s="16"/>
      <c r="E877" s="16"/>
      <c r="F877" s="17"/>
      <c r="G877" s="16"/>
      <c r="H877" s="16"/>
      <c r="I877" s="16"/>
      <c r="J877" s="22"/>
      <c r="K877" s="16"/>
      <c r="L877" s="16"/>
      <c r="M877" s="16"/>
      <c r="N877" s="19"/>
      <c r="O877" s="19"/>
      <c r="P877" s="19"/>
      <c r="Q877" s="19"/>
      <c r="R877" s="19"/>
      <c r="S877" s="19"/>
      <c r="T877" s="19"/>
      <c r="U877" s="19"/>
      <c r="V877" s="19"/>
      <c r="W877" s="20"/>
      <c r="X877" s="20"/>
    </row>
    <row r="878" spans="1:24" ht="15.75" hidden="1" customHeight="1" x14ac:dyDescent="0.25">
      <c r="A878" s="16"/>
      <c r="B878" s="16" t="str">
        <f t="shared" si="3"/>
        <v/>
      </c>
      <c r="C878" s="16"/>
      <c r="D878" s="16"/>
      <c r="E878" s="16"/>
      <c r="F878" s="17"/>
      <c r="G878" s="16"/>
      <c r="H878" s="16"/>
      <c r="I878" s="16"/>
      <c r="J878" s="22"/>
      <c r="K878" s="16"/>
      <c r="L878" s="16"/>
      <c r="M878" s="16"/>
      <c r="N878" s="19"/>
      <c r="O878" s="19"/>
      <c r="P878" s="19"/>
      <c r="Q878" s="19"/>
      <c r="R878" s="19"/>
      <c r="S878" s="19"/>
      <c r="T878" s="19"/>
      <c r="U878" s="19"/>
      <c r="V878" s="19"/>
      <c r="W878" s="20"/>
      <c r="X878" s="20"/>
    </row>
    <row r="879" spans="1:24" ht="15.75" hidden="1" customHeight="1" x14ac:dyDescent="0.25">
      <c r="A879" s="16"/>
      <c r="B879" s="16" t="str">
        <f t="shared" si="3"/>
        <v/>
      </c>
      <c r="C879" s="16"/>
      <c r="D879" s="16"/>
      <c r="E879" s="16"/>
      <c r="F879" s="17"/>
      <c r="G879" s="16"/>
      <c r="H879" s="16"/>
      <c r="I879" s="16"/>
      <c r="J879" s="22"/>
      <c r="K879" s="16"/>
      <c r="L879" s="16"/>
      <c r="M879" s="16"/>
      <c r="N879" s="19"/>
      <c r="O879" s="19"/>
      <c r="P879" s="19"/>
      <c r="Q879" s="19"/>
      <c r="R879" s="19"/>
      <c r="S879" s="19"/>
      <c r="T879" s="19"/>
      <c r="U879" s="19"/>
      <c r="V879" s="19"/>
      <c r="W879" s="20"/>
      <c r="X879" s="20"/>
    </row>
    <row r="880" spans="1:24" ht="15.75" hidden="1" customHeight="1" x14ac:dyDescent="0.25">
      <c r="A880" s="16"/>
      <c r="B880" s="16" t="str">
        <f t="shared" si="3"/>
        <v/>
      </c>
      <c r="C880" s="16"/>
      <c r="D880" s="16"/>
      <c r="E880" s="16"/>
      <c r="F880" s="17"/>
      <c r="G880" s="16"/>
      <c r="H880" s="16"/>
      <c r="I880" s="16"/>
      <c r="J880" s="22"/>
      <c r="K880" s="16"/>
      <c r="L880" s="16"/>
      <c r="M880" s="16"/>
      <c r="N880" s="19"/>
      <c r="O880" s="19"/>
      <c r="P880" s="19"/>
      <c r="Q880" s="19"/>
      <c r="R880" s="19"/>
      <c r="S880" s="19"/>
      <c r="T880" s="19"/>
      <c r="U880" s="19"/>
      <c r="V880" s="19"/>
      <c r="W880" s="20"/>
      <c r="X880" s="20"/>
    </row>
    <row r="881" spans="1:24" ht="15.75" hidden="1" customHeight="1" x14ac:dyDescent="0.25">
      <c r="A881" s="16"/>
      <c r="B881" s="16" t="str">
        <f t="shared" si="3"/>
        <v/>
      </c>
      <c r="C881" s="16"/>
      <c r="D881" s="16"/>
      <c r="E881" s="16"/>
      <c r="F881" s="17"/>
      <c r="G881" s="16"/>
      <c r="H881" s="16"/>
      <c r="I881" s="16"/>
      <c r="J881" s="22"/>
      <c r="K881" s="16"/>
      <c r="L881" s="16"/>
      <c r="M881" s="16"/>
      <c r="N881" s="19"/>
      <c r="O881" s="19"/>
      <c r="P881" s="19"/>
      <c r="Q881" s="19"/>
      <c r="R881" s="19"/>
      <c r="S881" s="19"/>
      <c r="T881" s="19"/>
      <c r="U881" s="19"/>
      <c r="V881" s="19"/>
      <c r="W881" s="20"/>
      <c r="X881" s="20"/>
    </row>
    <row r="882" spans="1:24" ht="15.75" hidden="1" customHeight="1" x14ac:dyDescent="0.25">
      <c r="A882" s="16"/>
      <c r="B882" s="16" t="str">
        <f t="shared" si="3"/>
        <v/>
      </c>
      <c r="C882" s="16"/>
      <c r="D882" s="16"/>
      <c r="E882" s="16"/>
      <c r="F882" s="17"/>
      <c r="G882" s="16"/>
      <c r="H882" s="16"/>
      <c r="I882" s="16"/>
      <c r="J882" s="22"/>
      <c r="K882" s="16"/>
      <c r="L882" s="16"/>
      <c r="M882" s="16"/>
      <c r="N882" s="19"/>
      <c r="O882" s="19"/>
      <c r="P882" s="19"/>
      <c r="Q882" s="19"/>
      <c r="R882" s="19"/>
      <c r="S882" s="19"/>
      <c r="T882" s="19"/>
      <c r="U882" s="19"/>
      <c r="V882" s="19"/>
      <c r="W882" s="20"/>
      <c r="X882" s="20"/>
    </row>
    <row r="883" spans="1:24" ht="15.75" hidden="1" customHeight="1" x14ac:dyDescent="0.25">
      <c r="A883" s="16"/>
      <c r="B883" s="16" t="str">
        <f t="shared" si="3"/>
        <v/>
      </c>
      <c r="C883" s="16"/>
      <c r="D883" s="16"/>
      <c r="E883" s="16"/>
      <c r="F883" s="17"/>
      <c r="G883" s="16"/>
      <c r="H883" s="16"/>
      <c r="I883" s="16"/>
      <c r="J883" s="22"/>
      <c r="K883" s="16"/>
      <c r="L883" s="16"/>
      <c r="M883" s="16"/>
      <c r="N883" s="19"/>
      <c r="O883" s="19"/>
      <c r="P883" s="19"/>
      <c r="Q883" s="19"/>
      <c r="R883" s="19"/>
      <c r="S883" s="19"/>
      <c r="T883" s="19"/>
      <c r="U883" s="19"/>
      <c r="V883" s="19"/>
      <c r="W883" s="20"/>
      <c r="X883" s="20"/>
    </row>
    <row r="884" spans="1:24" ht="15.75" hidden="1" customHeight="1" x14ac:dyDescent="0.25">
      <c r="A884" s="16"/>
      <c r="B884" s="16" t="str">
        <f t="shared" si="3"/>
        <v/>
      </c>
      <c r="C884" s="16"/>
      <c r="D884" s="16"/>
      <c r="E884" s="16"/>
      <c r="F884" s="17"/>
      <c r="G884" s="16"/>
      <c r="H884" s="16"/>
      <c r="I884" s="16"/>
      <c r="J884" s="22"/>
      <c r="K884" s="16"/>
      <c r="L884" s="16"/>
      <c r="M884" s="16"/>
      <c r="N884" s="19"/>
      <c r="O884" s="19"/>
      <c r="P884" s="19"/>
      <c r="Q884" s="19"/>
      <c r="R884" s="19"/>
      <c r="S884" s="19"/>
      <c r="T884" s="19"/>
      <c r="U884" s="19"/>
      <c r="V884" s="19"/>
      <c r="W884" s="20"/>
      <c r="X884" s="20"/>
    </row>
    <row r="885" spans="1:24" ht="15.75" hidden="1" customHeight="1" x14ac:dyDescent="0.25">
      <c r="A885" s="16"/>
      <c r="B885" s="16" t="str">
        <f t="shared" si="3"/>
        <v/>
      </c>
      <c r="C885" s="16"/>
      <c r="D885" s="16"/>
      <c r="E885" s="16"/>
      <c r="F885" s="17"/>
      <c r="G885" s="16"/>
      <c r="H885" s="16"/>
      <c r="I885" s="16"/>
      <c r="J885" s="22"/>
      <c r="K885" s="16"/>
      <c r="L885" s="16"/>
      <c r="M885" s="16"/>
      <c r="N885" s="19"/>
      <c r="O885" s="19"/>
      <c r="P885" s="19"/>
      <c r="Q885" s="19"/>
      <c r="R885" s="19"/>
      <c r="S885" s="19"/>
      <c r="T885" s="19"/>
      <c r="U885" s="19"/>
      <c r="V885" s="19"/>
      <c r="W885" s="20"/>
      <c r="X885" s="20"/>
    </row>
    <row r="886" spans="1:24" ht="15.75" hidden="1" customHeight="1" x14ac:dyDescent="0.25">
      <c r="A886" s="16"/>
      <c r="B886" s="16" t="str">
        <f t="shared" si="3"/>
        <v/>
      </c>
      <c r="C886" s="16"/>
      <c r="D886" s="16"/>
      <c r="E886" s="16"/>
      <c r="F886" s="17"/>
      <c r="G886" s="16"/>
      <c r="H886" s="16"/>
      <c r="I886" s="16"/>
      <c r="J886" s="22"/>
      <c r="K886" s="16"/>
      <c r="L886" s="16"/>
      <c r="M886" s="16"/>
      <c r="N886" s="19"/>
      <c r="O886" s="19"/>
      <c r="P886" s="19"/>
      <c r="Q886" s="19"/>
      <c r="R886" s="19"/>
      <c r="S886" s="19"/>
      <c r="T886" s="19"/>
      <c r="U886" s="19"/>
      <c r="V886" s="19"/>
      <c r="W886" s="20"/>
      <c r="X886" s="20"/>
    </row>
    <row r="887" spans="1:24" ht="15.75" hidden="1" customHeight="1" x14ac:dyDescent="0.25">
      <c r="A887" s="16"/>
      <c r="B887" s="16" t="str">
        <f t="shared" si="3"/>
        <v/>
      </c>
      <c r="C887" s="16"/>
      <c r="D887" s="16"/>
      <c r="E887" s="16"/>
      <c r="F887" s="17"/>
      <c r="G887" s="16"/>
      <c r="H887" s="16"/>
      <c r="I887" s="16"/>
      <c r="J887" s="22"/>
      <c r="K887" s="16"/>
      <c r="L887" s="16"/>
      <c r="M887" s="16"/>
      <c r="N887" s="19"/>
      <c r="O887" s="19"/>
      <c r="P887" s="19"/>
      <c r="Q887" s="19"/>
      <c r="R887" s="19"/>
      <c r="S887" s="19"/>
      <c r="T887" s="19"/>
      <c r="U887" s="19"/>
      <c r="V887" s="19"/>
      <c r="W887" s="20"/>
      <c r="X887" s="20"/>
    </row>
    <row r="888" spans="1:24" ht="15.75" hidden="1" customHeight="1" x14ac:dyDescent="0.25">
      <c r="A888" s="16"/>
      <c r="B888" s="16" t="str">
        <f t="shared" si="3"/>
        <v/>
      </c>
      <c r="C888" s="16"/>
      <c r="D888" s="16"/>
      <c r="E888" s="16"/>
      <c r="F888" s="17"/>
      <c r="G888" s="16"/>
      <c r="H888" s="16"/>
      <c r="I888" s="16"/>
      <c r="J888" s="22"/>
      <c r="K888" s="16"/>
      <c r="L888" s="16"/>
      <c r="M888" s="16"/>
      <c r="N888" s="19"/>
      <c r="O888" s="19"/>
      <c r="P888" s="19"/>
      <c r="Q888" s="19"/>
      <c r="R888" s="19"/>
      <c r="S888" s="19"/>
      <c r="T888" s="19"/>
      <c r="U888" s="19"/>
      <c r="V888" s="19"/>
      <c r="W888" s="20"/>
      <c r="X888" s="20"/>
    </row>
    <row r="889" spans="1:24" ht="15.75" hidden="1" customHeight="1" x14ac:dyDescent="0.25">
      <c r="A889" s="16"/>
      <c r="B889" s="16" t="str">
        <f t="shared" si="3"/>
        <v/>
      </c>
      <c r="C889" s="16"/>
      <c r="D889" s="16"/>
      <c r="E889" s="16"/>
      <c r="F889" s="17"/>
      <c r="G889" s="16"/>
      <c r="H889" s="16"/>
      <c r="I889" s="16"/>
      <c r="J889" s="22"/>
      <c r="K889" s="16"/>
      <c r="L889" s="16"/>
      <c r="M889" s="16"/>
      <c r="N889" s="19"/>
      <c r="O889" s="19"/>
      <c r="P889" s="19"/>
      <c r="Q889" s="19"/>
      <c r="R889" s="19"/>
      <c r="S889" s="19"/>
      <c r="T889" s="19"/>
      <c r="U889" s="19"/>
      <c r="V889" s="19"/>
      <c r="W889" s="20"/>
      <c r="X889" s="20"/>
    </row>
    <row r="890" spans="1:24" ht="15.75" hidden="1" customHeight="1" x14ac:dyDescent="0.25">
      <c r="A890" s="16"/>
      <c r="B890" s="16" t="str">
        <f t="shared" si="3"/>
        <v/>
      </c>
      <c r="C890" s="16"/>
      <c r="D890" s="16"/>
      <c r="E890" s="16"/>
      <c r="F890" s="17"/>
      <c r="G890" s="16"/>
      <c r="H890" s="16"/>
      <c r="I890" s="16"/>
      <c r="J890" s="22"/>
      <c r="K890" s="16"/>
      <c r="L890" s="16"/>
      <c r="M890" s="16"/>
      <c r="N890" s="19"/>
      <c r="O890" s="19"/>
      <c r="P890" s="19"/>
      <c r="Q890" s="19"/>
      <c r="R890" s="19"/>
      <c r="S890" s="19"/>
      <c r="T890" s="19"/>
      <c r="U890" s="19"/>
      <c r="V890" s="19"/>
      <c r="W890" s="20"/>
      <c r="X890" s="20"/>
    </row>
    <row r="891" spans="1:24" ht="15.75" hidden="1" customHeight="1" x14ac:dyDescent="0.25">
      <c r="A891" s="16"/>
      <c r="B891" s="16" t="str">
        <f t="shared" si="3"/>
        <v/>
      </c>
      <c r="C891" s="16"/>
      <c r="D891" s="16"/>
      <c r="E891" s="16"/>
      <c r="F891" s="17"/>
      <c r="G891" s="16"/>
      <c r="H891" s="16"/>
      <c r="I891" s="16"/>
      <c r="J891" s="22"/>
      <c r="K891" s="16"/>
      <c r="L891" s="16"/>
      <c r="M891" s="16"/>
      <c r="N891" s="19"/>
      <c r="O891" s="19"/>
      <c r="P891" s="19"/>
      <c r="Q891" s="19"/>
      <c r="R891" s="19"/>
      <c r="S891" s="19"/>
      <c r="T891" s="19"/>
      <c r="U891" s="19"/>
      <c r="V891" s="19"/>
      <c r="W891" s="20"/>
      <c r="X891" s="20"/>
    </row>
    <row r="892" spans="1:24" ht="15.75" hidden="1" customHeight="1" x14ac:dyDescent="0.25">
      <c r="A892" s="16"/>
      <c r="B892" s="16" t="str">
        <f t="shared" si="3"/>
        <v/>
      </c>
      <c r="C892" s="16"/>
      <c r="D892" s="16"/>
      <c r="E892" s="16"/>
      <c r="F892" s="17"/>
      <c r="G892" s="16"/>
      <c r="H892" s="16"/>
      <c r="I892" s="16"/>
      <c r="J892" s="22"/>
      <c r="K892" s="16"/>
      <c r="L892" s="16"/>
      <c r="M892" s="16"/>
      <c r="N892" s="19"/>
      <c r="O892" s="19"/>
      <c r="P892" s="19"/>
      <c r="Q892" s="19"/>
      <c r="R892" s="19"/>
      <c r="S892" s="19"/>
      <c r="T892" s="19"/>
      <c r="U892" s="19"/>
      <c r="V892" s="19"/>
      <c r="W892" s="20"/>
      <c r="X892" s="20"/>
    </row>
    <row r="893" spans="1:24" ht="15.75" hidden="1" customHeight="1" x14ac:dyDescent="0.25">
      <c r="A893" s="16"/>
      <c r="B893" s="16" t="str">
        <f t="shared" si="3"/>
        <v/>
      </c>
      <c r="C893" s="16"/>
      <c r="D893" s="16"/>
      <c r="E893" s="16"/>
      <c r="F893" s="17"/>
      <c r="G893" s="16"/>
      <c r="H893" s="16"/>
      <c r="I893" s="16"/>
      <c r="J893" s="22"/>
      <c r="K893" s="16"/>
      <c r="L893" s="16"/>
      <c r="M893" s="16"/>
      <c r="N893" s="19"/>
      <c r="O893" s="19"/>
      <c r="P893" s="19"/>
      <c r="Q893" s="19"/>
      <c r="R893" s="19"/>
      <c r="S893" s="19"/>
      <c r="T893" s="19"/>
      <c r="U893" s="19"/>
      <c r="V893" s="19"/>
      <c r="W893" s="20"/>
      <c r="X893" s="20"/>
    </row>
    <row r="894" spans="1:24" ht="15.75" hidden="1" customHeight="1" x14ac:dyDescent="0.25">
      <c r="A894" s="16"/>
      <c r="B894" s="16" t="str">
        <f t="shared" si="3"/>
        <v/>
      </c>
      <c r="C894" s="16"/>
      <c r="D894" s="16"/>
      <c r="E894" s="16"/>
      <c r="F894" s="17"/>
      <c r="G894" s="16"/>
      <c r="H894" s="16"/>
      <c r="I894" s="16"/>
      <c r="J894" s="22"/>
      <c r="K894" s="16"/>
      <c r="L894" s="16"/>
      <c r="M894" s="16"/>
      <c r="N894" s="19"/>
      <c r="O894" s="19"/>
      <c r="P894" s="19"/>
      <c r="Q894" s="19"/>
      <c r="R894" s="19"/>
      <c r="S894" s="19"/>
      <c r="T894" s="19"/>
      <c r="U894" s="19"/>
      <c r="V894" s="19"/>
      <c r="W894" s="20"/>
      <c r="X894" s="20"/>
    </row>
    <row r="895" spans="1:24" ht="15.75" hidden="1" customHeight="1" x14ac:dyDescent="0.25">
      <c r="A895" s="16"/>
      <c r="B895" s="16" t="str">
        <f t="shared" si="3"/>
        <v/>
      </c>
      <c r="C895" s="16"/>
      <c r="D895" s="16"/>
      <c r="E895" s="16"/>
      <c r="F895" s="17"/>
      <c r="G895" s="16"/>
      <c r="H895" s="16"/>
      <c r="I895" s="16"/>
      <c r="J895" s="22"/>
      <c r="K895" s="16"/>
      <c r="L895" s="16"/>
      <c r="M895" s="16"/>
      <c r="N895" s="19"/>
      <c r="O895" s="19"/>
      <c r="P895" s="19"/>
      <c r="Q895" s="19"/>
      <c r="R895" s="19"/>
      <c r="S895" s="19"/>
      <c r="T895" s="19"/>
      <c r="U895" s="19"/>
      <c r="V895" s="19"/>
      <c r="W895" s="20"/>
      <c r="X895" s="20"/>
    </row>
    <row r="896" spans="1:24" ht="15.75" hidden="1" customHeight="1" x14ac:dyDescent="0.25">
      <c r="A896" s="16"/>
      <c r="B896" s="16" t="str">
        <f t="shared" si="3"/>
        <v/>
      </c>
      <c r="C896" s="16"/>
      <c r="D896" s="16"/>
      <c r="E896" s="16"/>
      <c r="F896" s="17"/>
      <c r="G896" s="16"/>
      <c r="H896" s="16"/>
      <c r="I896" s="16"/>
      <c r="J896" s="22"/>
      <c r="K896" s="16"/>
      <c r="L896" s="16"/>
      <c r="M896" s="16"/>
      <c r="N896" s="19"/>
      <c r="O896" s="19"/>
      <c r="P896" s="19"/>
      <c r="Q896" s="19"/>
      <c r="R896" s="19"/>
      <c r="S896" s="19"/>
      <c r="T896" s="19"/>
      <c r="U896" s="19"/>
      <c r="V896" s="19"/>
      <c r="W896" s="20"/>
      <c r="X896" s="20"/>
    </row>
    <row r="897" spans="1:24" ht="15.75" hidden="1" customHeight="1" x14ac:dyDescent="0.25">
      <c r="A897" s="16"/>
      <c r="B897" s="16" t="str">
        <f t="shared" si="3"/>
        <v/>
      </c>
      <c r="C897" s="16"/>
      <c r="D897" s="16"/>
      <c r="E897" s="16"/>
      <c r="F897" s="17"/>
      <c r="G897" s="16"/>
      <c r="H897" s="16"/>
      <c r="I897" s="16"/>
      <c r="J897" s="22"/>
      <c r="K897" s="16"/>
      <c r="L897" s="16"/>
      <c r="M897" s="16"/>
      <c r="N897" s="19"/>
      <c r="O897" s="19"/>
      <c r="P897" s="19"/>
      <c r="Q897" s="19"/>
      <c r="R897" s="19"/>
      <c r="S897" s="19"/>
      <c r="T897" s="19"/>
      <c r="U897" s="19"/>
      <c r="V897" s="19"/>
      <c r="W897" s="20"/>
      <c r="X897" s="20"/>
    </row>
    <row r="898" spans="1:24" ht="15.75" hidden="1" customHeight="1" x14ac:dyDescent="0.25">
      <c r="A898" s="16"/>
      <c r="B898" s="16" t="str">
        <f t="shared" si="3"/>
        <v/>
      </c>
      <c r="C898" s="16"/>
      <c r="D898" s="16"/>
      <c r="E898" s="16"/>
      <c r="F898" s="17"/>
      <c r="G898" s="16"/>
      <c r="H898" s="16"/>
      <c r="I898" s="16"/>
      <c r="J898" s="22"/>
      <c r="K898" s="16"/>
      <c r="L898" s="16"/>
      <c r="M898" s="16"/>
      <c r="N898" s="19"/>
      <c r="O898" s="19"/>
      <c r="P898" s="19"/>
      <c r="Q898" s="19"/>
      <c r="R898" s="19"/>
      <c r="S898" s="19"/>
      <c r="T898" s="19"/>
      <c r="U898" s="19"/>
      <c r="V898" s="19"/>
      <c r="W898" s="20"/>
      <c r="X898" s="20"/>
    </row>
    <row r="899" spans="1:24" ht="15.75" hidden="1" customHeight="1" x14ac:dyDescent="0.25">
      <c r="A899" s="16"/>
      <c r="B899" s="16" t="str">
        <f t="shared" si="3"/>
        <v/>
      </c>
      <c r="C899" s="16"/>
      <c r="D899" s="16"/>
      <c r="E899" s="16"/>
      <c r="F899" s="17"/>
      <c r="G899" s="16"/>
      <c r="H899" s="16"/>
      <c r="I899" s="16"/>
      <c r="J899" s="22"/>
      <c r="K899" s="16"/>
      <c r="L899" s="16"/>
      <c r="M899" s="16"/>
      <c r="N899" s="19"/>
      <c r="O899" s="19"/>
      <c r="P899" s="19"/>
      <c r="Q899" s="19"/>
      <c r="R899" s="19"/>
      <c r="S899" s="19"/>
      <c r="T899" s="19"/>
      <c r="U899" s="19"/>
      <c r="V899" s="19"/>
      <c r="W899" s="20"/>
      <c r="X899" s="20"/>
    </row>
    <row r="900" spans="1:24" ht="15.75" hidden="1" customHeight="1" x14ac:dyDescent="0.25">
      <c r="A900" s="16"/>
      <c r="B900" s="16" t="str">
        <f t="shared" si="3"/>
        <v/>
      </c>
      <c r="C900" s="16"/>
      <c r="D900" s="16"/>
      <c r="E900" s="16"/>
      <c r="F900" s="17"/>
      <c r="G900" s="16"/>
      <c r="H900" s="16"/>
      <c r="I900" s="16"/>
      <c r="J900" s="22"/>
      <c r="K900" s="16"/>
      <c r="L900" s="16"/>
      <c r="M900" s="16"/>
      <c r="N900" s="19"/>
      <c r="O900" s="19"/>
      <c r="P900" s="19"/>
      <c r="Q900" s="19"/>
      <c r="R900" s="19"/>
      <c r="S900" s="19"/>
      <c r="T900" s="19"/>
      <c r="U900" s="19"/>
      <c r="V900" s="19"/>
      <c r="W900" s="20"/>
      <c r="X900" s="20"/>
    </row>
    <row r="901" spans="1:24" ht="15.75" hidden="1" customHeight="1" x14ac:dyDescent="0.25">
      <c r="A901" s="16"/>
      <c r="B901" s="16" t="str">
        <f t="shared" si="3"/>
        <v/>
      </c>
      <c r="C901" s="16"/>
      <c r="D901" s="16"/>
      <c r="E901" s="16"/>
      <c r="F901" s="17"/>
      <c r="G901" s="16"/>
      <c r="H901" s="16"/>
      <c r="I901" s="16"/>
      <c r="J901" s="22"/>
      <c r="K901" s="16"/>
      <c r="L901" s="16"/>
      <c r="M901" s="16"/>
      <c r="N901" s="19"/>
      <c r="O901" s="19"/>
      <c r="P901" s="19"/>
      <c r="Q901" s="19"/>
      <c r="R901" s="19"/>
      <c r="S901" s="19"/>
      <c r="T901" s="19"/>
      <c r="U901" s="19"/>
      <c r="V901" s="19"/>
      <c r="W901" s="20"/>
      <c r="X901" s="20"/>
    </row>
    <row r="902" spans="1:24" ht="15.75" hidden="1" customHeight="1" x14ac:dyDescent="0.25">
      <c r="A902" s="16"/>
      <c r="B902" s="16" t="str">
        <f t="shared" si="3"/>
        <v/>
      </c>
      <c r="C902" s="16"/>
      <c r="D902" s="16"/>
      <c r="E902" s="16"/>
      <c r="F902" s="17"/>
      <c r="G902" s="16"/>
      <c r="H902" s="16"/>
      <c r="I902" s="16"/>
      <c r="J902" s="22"/>
      <c r="K902" s="16"/>
      <c r="L902" s="16"/>
      <c r="M902" s="16"/>
      <c r="N902" s="19"/>
      <c r="O902" s="19"/>
      <c r="P902" s="19"/>
      <c r="Q902" s="19"/>
      <c r="R902" s="19"/>
      <c r="S902" s="19"/>
      <c r="T902" s="19"/>
      <c r="U902" s="19"/>
      <c r="V902" s="19"/>
      <c r="W902" s="20"/>
      <c r="X902" s="20"/>
    </row>
    <row r="903" spans="1:24" ht="15.75" hidden="1" customHeight="1" x14ac:dyDescent="0.25">
      <c r="A903" s="16"/>
      <c r="B903" s="16" t="str">
        <f t="shared" si="3"/>
        <v/>
      </c>
      <c r="C903" s="16"/>
      <c r="D903" s="16"/>
      <c r="E903" s="16"/>
      <c r="F903" s="17"/>
      <c r="G903" s="16"/>
      <c r="H903" s="16"/>
      <c r="I903" s="16"/>
      <c r="J903" s="22"/>
      <c r="K903" s="16"/>
      <c r="L903" s="16"/>
      <c r="M903" s="16"/>
      <c r="N903" s="19"/>
      <c r="O903" s="19"/>
      <c r="P903" s="19"/>
      <c r="Q903" s="19"/>
      <c r="R903" s="19"/>
      <c r="S903" s="19"/>
      <c r="T903" s="19"/>
      <c r="U903" s="19"/>
      <c r="V903" s="19"/>
      <c r="W903" s="20"/>
      <c r="X903" s="20"/>
    </row>
    <row r="904" spans="1:24" ht="15.75" hidden="1" customHeight="1" x14ac:dyDescent="0.25">
      <c r="A904" s="16"/>
      <c r="B904" s="16" t="str">
        <f t="shared" si="3"/>
        <v/>
      </c>
      <c r="C904" s="16"/>
      <c r="D904" s="16"/>
      <c r="E904" s="16"/>
      <c r="F904" s="17"/>
      <c r="G904" s="16"/>
      <c r="H904" s="16"/>
      <c r="I904" s="16"/>
      <c r="J904" s="22"/>
      <c r="K904" s="16"/>
      <c r="L904" s="16"/>
      <c r="M904" s="16"/>
      <c r="N904" s="19"/>
      <c r="O904" s="19"/>
      <c r="P904" s="19"/>
      <c r="Q904" s="19"/>
      <c r="R904" s="19"/>
      <c r="S904" s="19"/>
      <c r="T904" s="19"/>
      <c r="U904" s="19"/>
      <c r="V904" s="19"/>
      <c r="W904" s="20"/>
      <c r="X904" s="20"/>
    </row>
    <row r="905" spans="1:24" ht="15.75" hidden="1" customHeight="1" x14ac:dyDescent="0.25">
      <c r="A905" s="16"/>
      <c r="B905" s="16" t="str">
        <f t="shared" si="3"/>
        <v/>
      </c>
      <c r="C905" s="16"/>
      <c r="D905" s="16"/>
      <c r="E905" s="16"/>
      <c r="F905" s="17"/>
      <c r="G905" s="16"/>
      <c r="H905" s="16"/>
      <c r="I905" s="16"/>
      <c r="J905" s="22"/>
      <c r="K905" s="16"/>
      <c r="L905" s="16"/>
      <c r="M905" s="16"/>
      <c r="N905" s="19"/>
      <c r="O905" s="19"/>
      <c r="P905" s="19"/>
      <c r="Q905" s="19"/>
      <c r="R905" s="19"/>
      <c r="S905" s="19"/>
      <c r="T905" s="19"/>
      <c r="U905" s="19"/>
      <c r="V905" s="19"/>
      <c r="W905" s="20"/>
      <c r="X905" s="20"/>
    </row>
    <row r="906" spans="1:24" ht="15.75" hidden="1" customHeight="1" x14ac:dyDescent="0.25">
      <c r="A906" s="16"/>
      <c r="B906" s="16" t="str">
        <f t="shared" si="3"/>
        <v/>
      </c>
      <c r="C906" s="16"/>
      <c r="D906" s="16"/>
      <c r="E906" s="16"/>
      <c r="F906" s="17"/>
      <c r="G906" s="16"/>
      <c r="H906" s="16"/>
      <c r="I906" s="16"/>
      <c r="J906" s="22"/>
      <c r="K906" s="16"/>
      <c r="L906" s="16"/>
      <c r="M906" s="16"/>
      <c r="N906" s="19"/>
      <c r="O906" s="19"/>
      <c r="P906" s="19"/>
      <c r="Q906" s="19"/>
      <c r="R906" s="19"/>
      <c r="S906" s="19"/>
      <c r="T906" s="19"/>
      <c r="U906" s="19"/>
      <c r="V906" s="19"/>
      <c r="W906" s="20"/>
      <c r="X906" s="20"/>
    </row>
    <row r="907" spans="1:24" ht="15.75" hidden="1" customHeight="1" x14ac:dyDescent="0.25">
      <c r="A907" s="16"/>
      <c r="B907" s="16" t="str">
        <f t="shared" si="3"/>
        <v/>
      </c>
      <c r="C907" s="16"/>
      <c r="D907" s="16"/>
      <c r="E907" s="16"/>
      <c r="F907" s="17"/>
      <c r="G907" s="16"/>
      <c r="H907" s="16"/>
      <c r="I907" s="16"/>
      <c r="J907" s="22"/>
      <c r="K907" s="16"/>
      <c r="L907" s="16"/>
      <c r="M907" s="16"/>
      <c r="N907" s="19"/>
      <c r="O907" s="19"/>
      <c r="P907" s="19"/>
      <c r="Q907" s="19"/>
      <c r="R907" s="19"/>
      <c r="S907" s="19"/>
      <c r="T907" s="19"/>
      <c r="U907" s="19"/>
      <c r="V907" s="19"/>
      <c r="W907" s="20"/>
      <c r="X907" s="20"/>
    </row>
    <row r="908" spans="1:24" ht="15.75" hidden="1" customHeight="1" x14ac:dyDescent="0.25">
      <c r="A908" s="16"/>
      <c r="B908" s="16" t="str">
        <f t="shared" si="3"/>
        <v/>
      </c>
      <c r="C908" s="16"/>
      <c r="D908" s="16"/>
      <c r="E908" s="16"/>
      <c r="F908" s="17"/>
      <c r="G908" s="16"/>
      <c r="H908" s="16"/>
      <c r="I908" s="16"/>
      <c r="J908" s="22"/>
      <c r="K908" s="16"/>
      <c r="L908" s="16"/>
      <c r="M908" s="16"/>
      <c r="N908" s="19"/>
      <c r="O908" s="19"/>
      <c r="P908" s="19"/>
      <c r="Q908" s="19"/>
      <c r="R908" s="19"/>
      <c r="S908" s="19"/>
      <c r="T908" s="19"/>
      <c r="U908" s="19"/>
      <c r="V908" s="19"/>
      <c r="W908" s="20"/>
      <c r="X908" s="20"/>
    </row>
    <row r="909" spans="1:24" ht="15.75" hidden="1" customHeight="1" x14ac:dyDescent="0.25">
      <c r="A909" s="16"/>
      <c r="B909" s="16" t="str">
        <f t="shared" si="3"/>
        <v/>
      </c>
      <c r="C909" s="16"/>
      <c r="D909" s="16"/>
      <c r="E909" s="16"/>
      <c r="F909" s="17"/>
      <c r="G909" s="16"/>
      <c r="H909" s="16"/>
      <c r="I909" s="16"/>
      <c r="J909" s="22"/>
      <c r="K909" s="16"/>
      <c r="L909" s="16"/>
      <c r="M909" s="16"/>
      <c r="N909" s="19"/>
      <c r="O909" s="19"/>
      <c r="P909" s="19"/>
      <c r="Q909" s="19"/>
      <c r="R909" s="19"/>
      <c r="S909" s="19"/>
      <c r="T909" s="19"/>
      <c r="U909" s="19"/>
      <c r="V909" s="19"/>
      <c r="W909" s="20"/>
      <c r="X909" s="20"/>
    </row>
    <row r="910" spans="1:24" ht="15.75" hidden="1" customHeight="1" x14ac:dyDescent="0.25">
      <c r="A910" s="16"/>
      <c r="B910" s="16" t="str">
        <f t="shared" si="3"/>
        <v/>
      </c>
      <c r="C910" s="16"/>
      <c r="D910" s="16"/>
      <c r="E910" s="16"/>
      <c r="F910" s="17"/>
      <c r="G910" s="16"/>
      <c r="H910" s="16"/>
      <c r="I910" s="16"/>
      <c r="J910" s="22"/>
      <c r="K910" s="16"/>
      <c r="L910" s="16"/>
      <c r="M910" s="16"/>
      <c r="N910" s="19"/>
      <c r="O910" s="19"/>
      <c r="P910" s="19"/>
      <c r="Q910" s="19"/>
      <c r="R910" s="19"/>
      <c r="S910" s="19"/>
      <c r="T910" s="19"/>
      <c r="U910" s="19"/>
      <c r="V910" s="19"/>
      <c r="W910" s="20"/>
      <c r="X910" s="20"/>
    </row>
    <row r="911" spans="1:24" ht="15.75" hidden="1" customHeight="1" x14ac:dyDescent="0.25">
      <c r="A911" s="16"/>
      <c r="B911" s="16" t="str">
        <f t="shared" si="3"/>
        <v/>
      </c>
      <c r="C911" s="16"/>
      <c r="D911" s="16"/>
      <c r="E911" s="16"/>
      <c r="F911" s="17"/>
      <c r="G911" s="16"/>
      <c r="H911" s="16"/>
      <c r="I911" s="16"/>
      <c r="J911" s="22"/>
      <c r="K911" s="16"/>
      <c r="L911" s="16"/>
      <c r="M911" s="16"/>
      <c r="N911" s="19"/>
      <c r="O911" s="19"/>
      <c r="P911" s="19"/>
      <c r="Q911" s="19"/>
      <c r="R911" s="19"/>
      <c r="S911" s="19"/>
      <c r="T911" s="19"/>
      <c r="U911" s="19"/>
      <c r="V911" s="19"/>
      <c r="W911" s="20"/>
      <c r="X911" s="20"/>
    </row>
    <row r="912" spans="1:24" ht="15.75" hidden="1" customHeight="1" x14ac:dyDescent="0.25">
      <c r="A912" s="16"/>
      <c r="B912" s="16" t="str">
        <f t="shared" si="3"/>
        <v/>
      </c>
      <c r="C912" s="16"/>
      <c r="D912" s="16"/>
      <c r="E912" s="16"/>
      <c r="F912" s="17"/>
      <c r="G912" s="16"/>
      <c r="H912" s="16"/>
      <c r="I912" s="16"/>
      <c r="J912" s="22"/>
      <c r="K912" s="16"/>
      <c r="L912" s="16"/>
      <c r="M912" s="16"/>
      <c r="N912" s="19"/>
      <c r="O912" s="19"/>
      <c r="P912" s="19"/>
      <c r="Q912" s="19"/>
      <c r="R912" s="19"/>
      <c r="S912" s="19"/>
      <c r="T912" s="19"/>
      <c r="U912" s="19"/>
      <c r="V912" s="19"/>
      <c r="W912" s="20"/>
      <c r="X912" s="20"/>
    </row>
    <row r="913" spans="1:24" ht="15.75" hidden="1" customHeight="1" x14ac:dyDescent="0.25">
      <c r="A913" s="16"/>
      <c r="B913" s="16" t="str">
        <f t="shared" si="3"/>
        <v/>
      </c>
      <c r="C913" s="16"/>
      <c r="D913" s="16"/>
      <c r="E913" s="16"/>
      <c r="F913" s="17"/>
      <c r="G913" s="16"/>
      <c r="H913" s="16"/>
      <c r="I913" s="16"/>
      <c r="J913" s="22"/>
      <c r="K913" s="16"/>
      <c r="L913" s="16"/>
      <c r="M913" s="16"/>
      <c r="N913" s="19"/>
      <c r="O913" s="19"/>
      <c r="P913" s="19"/>
      <c r="Q913" s="19"/>
      <c r="R913" s="19"/>
      <c r="S913" s="19"/>
      <c r="T913" s="19"/>
      <c r="U913" s="19"/>
      <c r="V913" s="19"/>
      <c r="W913" s="20"/>
      <c r="X913" s="20"/>
    </row>
    <row r="914" spans="1:24" ht="15.75" hidden="1" customHeight="1" x14ac:dyDescent="0.25">
      <c r="A914" s="16"/>
      <c r="B914" s="16" t="str">
        <f t="shared" si="3"/>
        <v/>
      </c>
      <c r="C914" s="16"/>
      <c r="D914" s="16"/>
      <c r="E914" s="16"/>
      <c r="F914" s="17"/>
      <c r="G914" s="16"/>
      <c r="H914" s="16"/>
      <c r="I914" s="16"/>
      <c r="J914" s="22"/>
      <c r="K914" s="16"/>
      <c r="L914" s="16"/>
      <c r="M914" s="16"/>
      <c r="N914" s="19"/>
      <c r="O914" s="19"/>
      <c r="P914" s="19"/>
      <c r="Q914" s="19"/>
      <c r="R914" s="19"/>
      <c r="S914" s="19"/>
      <c r="T914" s="19"/>
      <c r="U914" s="19"/>
      <c r="V914" s="19"/>
      <c r="W914" s="20"/>
      <c r="X914" s="20"/>
    </row>
    <row r="915" spans="1:24" ht="15.75" hidden="1" customHeight="1" x14ac:dyDescent="0.25">
      <c r="A915" s="16"/>
      <c r="B915" s="16" t="str">
        <f t="shared" si="3"/>
        <v/>
      </c>
      <c r="C915" s="16"/>
      <c r="D915" s="16"/>
      <c r="E915" s="16"/>
      <c r="F915" s="17"/>
      <c r="G915" s="16"/>
      <c r="H915" s="16"/>
      <c r="I915" s="16"/>
      <c r="J915" s="22"/>
      <c r="K915" s="16"/>
      <c r="L915" s="16"/>
      <c r="M915" s="16"/>
      <c r="N915" s="19"/>
      <c r="O915" s="19"/>
      <c r="P915" s="19"/>
      <c r="Q915" s="19"/>
      <c r="R915" s="19"/>
      <c r="S915" s="19"/>
      <c r="T915" s="19"/>
      <c r="U915" s="19"/>
      <c r="V915" s="19"/>
      <c r="W915" s="20"/>
      <c r="X915" s="20"/>
    </row>
    <row r="916" spans="1:24" ht="15.75" hidden="1" customHeight="1" x14ac:dyDescent="0.25">
      <c r="A916" s="16"/>
      <c r="B916" s="16" t="str">
        <f t="shared" si="3"/>
        <v/>
      </c>
      <c r="C916" s="16"/>
      <c r="D916" s="16"/>
      <c r="E916" s="16"/>
      <c r="F916" s="17"/>
      <c r="G916" s="16"/>
      <c r="H916" s="16"/>
      <c r="I916" s="16"/>
      <c r="J916" s="22"/>
      <c r="K916" s="16"/>
      <c r="L916" s="16"/>
      <c r="M916" s="16"/>
      <c r="N916" s="19"/>
      <c r="O916" s="19"/>
      <c r="P916" s="19"/>
      <c r="Q916" s="19"/>
      <c r="R916" s="19"/>
      <c r="S916" s="19"/>
      <c r="T916" s="19"/>
      <c r="U916" s="19"/>
      <c r="V916" s="19"/>
      <c r="W916" s="20"/>
      <c r="X916" s="20"/>
    </row>
    <row r="917" spans="1:24" ht="15.75" hidden="1" customHeight="1" x14ac:dyDescent="0.25">
      <c r="A917" s="16"/>
      <c r="B917" s="16" t="str">
        <f t="shared" si="3"/>
        <v/>
      </c>
      <c r="C917" s="16"/>
      <c r="D917" s="16"/>
      <c r="E917" s="16"/>
      <c r="F917" s="17"/>
      <c r="G917" s="16"/>
      <c r="H917" s="16"/>
      <c r="I917" s="16"/>
      <c r="J917" s="22"/>
      <c r="K917" s="16"/>
      <c r="L917" s="16"/>
      <c r="M917" s="16"/>
      <c r="N917" s="19"/>
      <c r="O917" s="19"/>
      <c r="P917" s="19"/>
      <c r="Q917" s="19"/>
      <c r="R917" s="19"/>
      <c r="S917" s="19"/>
      <c r="T917" s="19"/>
      <c r="U917" s="19"/>
      <c r="V917" s="19"/>
      <c r="W917" s="20"/>
      <c r="X917" s="20"/>
    </row>
    <row r="918" spans="1:24" ht="15.75" hidden="1" customHeight="1" x14ac:dyDescent="0.25">
      <c r="A918" s="16"/>
      <c r="B918" s="16" t="str">
        <f t="shared" si="3"/>
        <v/>
      </c>
      <c r="C918" s="16"/>
      <c r="D918" s="16"/>
      <c r="E918" s="16"/>
      <c r="F918" s="17"/>
      <c r="G918" s="16"/>
      <c r="H918" s="16"/>
      <c r="I918" s="16"/>
      <c r="J918" s="22"/>
      <c r="K918" s="16"/>
      <c r="L918" s="16"/>
      <c r="M918" s="16"/>
      <c r="N918" s="19"/>
      <c r="O918" s="19"/>
      <c r="P918" s="19"/>
      <c r="Q918" s="19"/>
      <c r="R918" s="19"/>
      <c r="S918" s="19"/>
      <c r="T918" s="19"/>
      <c r="U918" s="19"/>
      <c r="V918" s="19"/>
      <c r="W918" s="20"/>
      <c r="X918" s="20"/>
    </row>
    <row r="919" spans="1:24" ht="15.75" hidden="1" customHeight="1" x14ac:dyDescent="0.25">
      <c r="A919" s="16"/>
      <c r="B919" s="16" t="str">
        <f t="shared" si="3"/>
        <v/>
      </c>
      <c r="C919" s="16"/>
      <c r="D919" s="16"/>
      <c r="E919" s="16"/>
      <c r="F919" s="17"/>
      <c r="G919" s="16"/>
      <c r="H919" s="16"/>
      <c r="I919" s="16"/>
      <c r="J919" s="22"/>
      <c r="K919" s="16"/>
      <c r="L919" s="16"/>
      <c r="M919" s="16"/>
      <c r="N919" s="19"/>
      <c r="O919" s="19"/>
      <c r="P919" s="19"/>
      <c r="Q919" s="19"/>
      <c r="R919" s="19"/>
      <c r="S919" s="19"/>
      <c r="T919" s="19"/>
      <c r="U919" s="19"/>
      <c r="V919" s="19"/>
      <c r="W919" s="20"/>
      <c r="X919" s="20"/>
    </row>
    <row r="920" spans="1:24" ht="15.75" hidden="1" customHeight="1" x14ac:dyDescent="0.25">
      <c r="A920" s="16"/>
      <c r="B920" s="16" t="str">
        <f t="shared" si="3"/>
        <v/>
      </c>
      <c r="C920" s="16"/>
      <c r="D920" s="16"/>
      <c r="E920" s="16"/>
      <c r="F920" s="17"/>
      <c r="G920" s="16"/>
      <c r="H920" s="16"/>
      <c r="I920" s="16"/>
      <c r="J920" s="22"/>
      <c r="K920" s="16"/>
      <c r="L920" s="16"/>
      <c r="M920" s="16"/>
      <c r="N920" s="19"/>
      <c r="O920" s="19"/>
      <c r="P920" s="19"/>
      <c r="Q920" s="19"/>
      <c r="R920" s="19"/>
      <c r="S920" s="19"/>
      <c r="T920" s="19"/>
      <c r="U920" s="19"/>
      <c r="V920" s="19"/>
      <c r="W920" s="20"/>
      <c r="X920" s="20"/>
    </row>
    <row r="921" spans="1:24" ht="15.75" hidden="1" customHeight="1" x14ac:dyDescent="0.25">
      <c r="A921" s="16"/>
      <c r="B921" s="16" t="str">
        <f t="shared" si="3"/>
        <v/>
      </c>
      <c r="C921" s="16"/>
      <c r="D921" s="16"/>
      <c r="E921" s="16"/>
      <c r="F921" s="17"/>
      <c r="G921" s="16"/>
      <c r="H921" s="16"/>
      <c r="I921" s="16"/>
      <c r="J921" s="22"/>
      <c r="K921" s="16"/>
      <c r="L921" s="16"/>
      <c r="M921" s="16"/>
      <c r="N921" s="19"/>
      <c r="O921" s="19"/>
      <c r="P921" s="19"/>
      <c r="Q921" s="19"/>
      <c r="R921" s="19"/>
      <c r="S921" s="19"/>
      <c r="T921" s="19"/>
      <c r="U921" s="19"/>
      <c r="V921" s="19"/>
      <c r="W921" s="20"/>
      <c r="X921" s="20"/>
    </row>
    <row r="922" spans="1:24" ht="15.75" hidden="1" customHeight="1" x14ac:dyDescent="0.25">
      <c r="A922" s="16"/>
      <c r="B922" s="16" t="str">
        <f t="shared" si="3"/>
        <v/>
      </c>
      <c r="C922" s="16"/>
      <c r="D922" s="16"/>
      <c r="E922" s="16"/>
      <c r="F922" s="17"/>
      <c r="G922" s="16"/>
      <c r="H922" s="16"/>
      <c r="I922" s="16"/>
      <c r="J922" s="22"/>
      <c r="K922" s="16"/>
      <c r="L922" s="16"/>
      <c r="M922" s="16"/>
      <c r="N922" s="19"/>
      <c r="O922" s="19"/>
      <c r="P922" s="19"/>
      <c r="Q922" s="19"/>
      <c r="R922" s="19"/>
      <c r="S922" s="19"/>
      <c r="T922" s="19"/>
      <c r="U922" s="19"/>
      <c r="V922" s="19"/>
      <c r="W922" s="20"/>
      <c r="X922" s="20"/>
    </row>
    <row r="923" spans="1:24" ht="15.75" hidden="1" customHeight="1" x14ac:dyDescent="0.25">
      <c r="A923" s="16"/>
      <c r="B923" s="16" t="str">
        <f t="shared" si="3"/>
        <v/>
      </c>
      <c r="C923" s="16"/>
      <c r="D923" s="16"/>
      <c r="E923" s="16"/>
      <c r="F923" s="17"/>
      <c r="G923" s="16"/>
      <c r="H923" s="16"/>
      <c r="I923" s="16"/>
      <c r="J923" s="22"/>
      <c r="K923" s="16"/>
      <c r="L923" s="16"/>
      <c r="M923" s="16"/>
      <c r="N923" s="19"/>
      <c r="O923" s="19"/>
      <c r="P923" s="19"/>
      <c r="Q923" s="19"/>
      <c r="R923" s="19"/>
      <c r="S923" s="19"/>
      <c r="T923" s="19"/>
      <c r="U923" s="19"/>
      <c r="V923" s="19"/>
      <c r="W923" s="20"/>
      <c r="X923" s="20"/>
    </row>
    <row r="924" spans="1:24" ht="15.75" hidden="1" customHeight="1" x14ac:dyDescent="0.25">
      <c r="A924" s="16"/>
      <c r="B924" s="16" t="str">
        <f t="shared" si="3"/>
        <v/>
      </c>
      <c r="C924" s="16"/>
      <c r="D924" s="16"/>
      <c r="E924" s="16"/>
      <c r="F924" s="17"/>
      <c r="G924" s="16"/>
      <c r="H924" s="16"/>
      <c r="I924" s="16"/>
      <c r="J924" s="22"/>
      <c r="K924" s="16"/>
      <c r="L924" s="16"/>
      <c r="M924" s="16"/>
      <c r="N924" s="19"/>
      <c r="O924" s="19"/>
      <c r="P924" s="19"/>
      <c r="Q924" s="19"/>
      <c r="R924" s="19"/>
      <c r="S924" s="19"/>
      <c r="T924" s="19"/>
      <c r="U924" s="19"/>
      <c r="V924" s="19"/>
      <c r="W924" s="20"/>
      <c r="X924" s="20"/>
    </row>
    <row r="925" spans="1:24" ht="15.75" hidden="1" customHeight="1" x14ac:dyDescent="0.25">
      <c r="A925" s="16"/>
      <c r="B925" s="16" t="str">
        <f t="shared" si="3"/>
        <v/>
      </c>
      <c r="C925" s="16"/>
      <c r="D925" s="16"/>
      <c r="E925" s="16"/>
      <c r="F925" s="17"/>
      <c r="G925" s="16"/>
      <c r="H925" s="16"/>
      <c r="I925" s="16"/>
      <c r="J925" s="22"/>
      <c r="K925" s="16"/>
      <c r="L925" s="16"/>
      <c r="M925" s="16"/>
      <c r="N925" s="19"/>
      <c r="O925" s="19"/>
      <c r="P925" s="19"/>
      <c r="Q925" s="19"/>
      <c r="R925" s="19"/>
      <c r="S925" s="19"/>
      <c r="T925" s="19"/>
      <c r="U925" s="19"/>
      <c r="V925" s="19"/>
      <c r="W925" s="20"/>
      <c r="X925" s="20"/>
    </row>
    <row r="926" spans="1:24" ht="15.75" hidden="1" customHeight="1" x14ac:dyDescent="0.25">
      <c r="A926" s="16"/>
      <c r="B926" s="16" t="str">
        <f t="shared" si="3"/>
        <v/>
      </c>
      <c r="C926" s="16"/>
      <c r="D926" s="16"/>
      <c r="E926" s="16"/>
      <c r="F926" s="17"/>
      <c r="G926" s="16"/>
      <c r="H926" s="16"/>
      <c r="I926" s="16"/>
      <c r="J926" s="22"/>
      <c r="K926" s="16"/>
      <c r="L926" s="16"/>
      <c r="M926" s="16"/>
      <c r="N926" s="19"/>
      <c r="O926" s="19"/>
      <c r="P926" s="19"/>
      <c r="Q926" s="19"/>
      <c r="R926" s="19"/>
      <c r="S926" s="19"/>
      <c r="T926" s="19"/>
      <c r="U926" s="19"/>
      <c r="V926" s="19"/>
      <c r="W926" s="20"/>
      <c r="X926" s="20"/>
    </row>
    <row r="927" spans="1:24" ht="15.75" hidden="1" customHeight="1" x14ac:dyDescent="0.25">
      <c r="A927" s="16"/>
      <c r="B927" s="16" t="str">
        <f t="shared" si="3"/>
        <v/>
      </c>
      <c r="C927" s="16"/>
      <c r="D927" s="16"/>
      <c r="E927" s="16"/>
      <c r="F927" s="17"/>
      <c r="G927" s="16"/>
      <c r="H927" s="16"/>
      <c r="I927" s="16"/>
      <c r="J927" s="22"/>
      <c r="K927" s="16"/>
      <c r="L927" s="16"/>
      <c r="M927" s="16"/>
      <c r="N927" s="19"/>
      <c r="O927" s="19"/>
      <c r="P927" s="19"/>
      <c r="Q927" s="19"/>
      <c r="R927" s="19"/>
      <c r="S927" s="19"/>
      <c r="T927" s="19"/>
      <c r="U927" s="19"/>
      <c r="V927" s="19"/>
      <c r="W927" s="20"/>
      <c r="X927" s="20"/>
    </row>
    <row r="928" spans="1:24" ht="15.75" hidden="1" customHeight="1" x14ac:dyDescent="0.25">
      <c r="A928" s="16"/>
      <c r="B928" s="16" t="str">
        <f t="shared" si="3"/>
        <v/>
      </c>
      <c r="C928" s="16"/>
      <c r="D928" s="16"/>
      <c r="E928" s="16"/>
      <c r="F928" s="17"/>
      <c r="G928" s="16"/>
      <c r="H928" s="16"/>
      <c r="I928" s="16"/>
      <c r="J928" s="22"/>
      <c r="K928" s="16"/>
      <c r="L928" s="16"/>
      <c r="M928" s="16"/>
      <c r="N928" s="19"/>
      <c r="O928" s="19"/>
      <c r="P928" s="19"/>
      <c r="Q928" s="19"/>
      <c r="R928" s="19"/>
      <c r="S928" s="19"/>
      <c r="T928" s="19"/>
      <c r="U928" s="19"/>
      <c r="V928" s="19"/>
      <c r="W928" s="20"/>
      <c r="X928" s="20"/>
    </row>
    <row r="929" spans="1:24" ht="15.75" hidden="1" customHeight="1" x14ac:dyDescent="0.25">
      <c r="A929" s="16"/>
      <c r="B929" s="16" t="str">
        <f t="shared" si="3"/>
        <v/>
      </c>
      <c r="C929" s="16"/>
      <c r="D929" s="16"/>
      <c r="E929" s="16"/>
      <c r="F929" s="17"/>
      <c r="G929" s="16"/>
      <c r="H929" s="16"/>
      <c r="I929" s="16"/>
      <c r="J929" s="22"/>
      <c r="K929" s="16"/>
      <c r="L929" s="16"/>
      <c r="M929" s="16"/>
      <c r="N929" s="19"/>
      <c r="O929" s="19"/>
      <c r="P929" s="19"/>
      <c r="Q929" s="19"/>
      <c r="R929" s="19"/>
      <c r="S929" s="19"/>
      <c r="T929" s="19"/>
      <c r="U929" s="19"/>
      <c r="V929" s="19"/>
      <c r="W929" s="20"/>
      <c r="X929" s="20"/>
    </row>
    <row r="930" spans="1:24" ht="15.75" hidden="1" customHeight="1" x14ac:dyDescent="0.25">
      <c r="A930" s="16"/>
      <c r="B930" s="16" t="str">
        <f t="shared" si="3"/>
        <v/>
      </c>
      <c r="C930" s="16"/>
      <c r="D930" s="16"/>
      <c r="E930" s="16"/>
      <c r="F930" s="17"/>
      <c r="G930" s="16"/>
      <c r="H930" s="16"/>
      <c r="I930" s="16"/>
      <c r="J930" s="22"/>
      <c r="K930" s="16"/>
      <c r="L930" s="16"/>
      <c r="M930" s="16"/>
      <c r="N930" s="19"/>
      <c r="O930" s="19"/>
      <c r="P930" s="19"/>
      <c r="Q930" s="19"/>
      <c r="R930" s="19"/>
      <c r="S930" s="19"/>
      <c r="T930" s="19"/>
      <c r="U930" s="19"/>
      <c r="V930" s="19"/>
      <c r="W930" s="20"/>
      <c r="X930" s="20"/>
    </row>
    <row r="931" spans="1:24" ht="15.75" hidden="1" customHeight="1" x14ac:dyDescent="0.25">
      <c r="A931" s="16"/>
      <c r="B931" s="16" t="str">
        <f t="shared" si="3"/>
        <v/>
      </c>
      <c r="C931" s="16"/>
      <c r="D931" s="16"/>
      <c r="E931" s="16"/>
      <c r="F931" s="17"/>
      <c r="G931" s="16"/>
      <c r="H931" s="16"/>
      <c r="I931" s="16"/>
      <c r="J931" s="22"/>
      <c r="K931" s="16"/>
      <c r="L931" s="16"/>
      <c r="M931" s="16"/>
      <c r="N931" s="19"/>
      <c r="O931" s="19"/>
      <c r="P931" s="19"/>
      <c r="Q931" s="19"/>
      <c r="R931" s="19"/>
      <c r="S931" s="19"/>
      <c r="T931" s="19"/>
      <c r="U931" s="19"/>
      <c r="V931" s="19"/>
      <c r="W931" s="20"/>
      <c r="X931" s="20"/>
    </row>
    <row r="932" spans="1:24" ht="15.75" hidden="1" customHeight="1" x14ac:dyDescent="0.25">
      <c r="A932" s="16"/>
      <c r="B932" s="16" t="str">
        <f t="shared" si="3"/>
        <v/>
      </c>
      <c r="C932" s="16"/>
      <c r="D932" s="16"/>
      <c r="E932" s="16"/>
      <c r="F932" s="17"/>
      <c r="G932" s="16"/>
      <c r="H932" s="16"/>
      <c r="I932" s="16"/>
      <c r="J932" s="22"/>
      <c r="K932" s="16"/>
      <c r="L932" s="16"/>
      <c r="M932" s="16"/>
      <c r="N932" s="19"/>
      <c r="O932" s="19"/>
      <c r="P932" s="19"/>
      <c r="Q932" s="19"/>
      <c r="R932" s="19"/>
      <c r="S932" s="19"/>
      <c r="T932" s="19"/>
      <c r="U932" s="19"/>
      <c r="V932" s="19"/>
      <c r="W932" s="20"/>
      <c r="X932" s="20"/>
    </row>
    <row r="933" spans="1:24" ht="15.75" hidden="1" customHeight="1" x14ac:dyDescent="0.25">
      <c r="A933" s="16"/>
      <c r="B933" s="16" t="str">
        <f t="shared" si="3"/>
        <v/>
      </c>
      <c r="C933" s="16"/>
      <c r="D933" s="16"/>
      <c r="E933" s="16"/>
      <c r="F933" s="17"/>
      <c r="G933" s="16"/>
      <c r="H933" s="16"/>
      <c r="I933" s="16"/>
      <c r="J933" s="22"/>
      <c r="K933" s="16"/>
      <c r="L933" s="16"/>
      <c r="M933" s="16"/>
      <c r="N933" s="19"/>
      <c r="O933" s="19"/>
      <c r="P933" s="19"/>
      <c r="Q933" s="19"/>
      <c r="R933" s="19"/>
      <c r="S933" s="19"/>
      <c r="T933" s="19"/>
      <c r="U933" s="19"/>
      <c r="V933" s="19"/>
      <c r="W933" s="20"/>
      <c r="X933" s="20"/>
    </row>
    <row r="934" spans="1:24" ht="15.75" hidden="1" customHeight="1" x14ac:dyDescent="0.25">
      <c r="A934" s="16"/>
      <c r="B934" s="16" t="str">
        <f t="shared" si="3"/>
        <v/>
      </c>
      <c r="C934" s="16"/>
      <c r="D934" s="16"/>
      <c r="E934" s="16"/>
      <c r="F934" s="17"/>
      <c r="G934" s="16"/>
      <c r="H934" s="16"/>
      <c r="I934" s="16"/>
      <c r="J934" s="22"/>
      <c r="K934" s="16"/>
      <c r="L934" s="16"/>
      <c r="M934" s="16"/>
      <c r="N934" s="19"/>
      <c r="O934" s="19"/>
      <c r="P934" s="19"/>
      <c r="Q934" s="19"/>
      <c r="R934" s="19"/>
      <c r="S934" s="19"/>
      <c r="T934" s="19"/>
      <c r="U934" s="19"/>
      <c r="V934" s="19"/>
      <c r="W934" s="20"/>
      <c r="X934" s="20"/>
    </row>
    <row r="935" spans="1:24" ht="15.75" hidden="1" customHeight="1" x14ac:dyDescent="0.25">
      <c r="A935" s="16"/>
      <c r="B935" s="16" t="str">
        <f t="shared" si="3"/>
        <v/>
      </c>
      <c r="C935" s="16"/>
      <c r="D935" s="16"/>
      <c r="E935" s="16"/>
      <c r="F935" s="17"/>
      <c r="G935" s="16"/>
      <c r="H935" s="16"/>
      <c r="I935" s="16"/>
      <c r="J935" s="22"/>
      <c r="K935" s="16"/>
      <c r="L935" s="16"/>
      <c r="M935" s="16"/>
      <c r="N935" s="19"/>
      <c r="O935" s="19"/>
      <c r="P935" s="19"/>
      <c r="Q935" s="19"/>
      <c r="R935" s="19"/>
      <c r="S935" s="19"/>
      <c r="T935" s="19"/>
      <c r="U935" s="19"/>
      <c r="V935" s="19"/>
      <c r="W935" s="20"/>
      <c r="X935" s="20"/>
    </row>
    <row r="936" spans="1:24" ht="15.75" hidden="1" customHeight="1" x14ac:dyDescent="0.25">
      <c r="A936" s="16"/>
      <c r="B936" s="16" t="str">
        <f t="shared" si="3"/>
        <v/>
      </c>
      <c r="C936" s="16"/>
      <c r="D936" s="16"/>
      <c r="E936" s="16"/>
      <c r="F936" s="17"/>
      <c r="G936" s="16"/>
      <c r="H936" s="16"/>
      <c r="I936" s="16"/>
      <c r="J936" s="22"/>
      <c r="K936" s="16"/>
      <c r="L936" s="16"/>
      <c r="M936" s="16"/>
      <c r="N936" s="19"/>
      <c r="O936" s="19"/>
      <c r="P936" s="19"/>
      <c r="Q936" s="19"/>
      <c r="R936" s="19"/>
      <c r="S936" s="19"/>
      <c r="T936" s="19"/>
      <c r="U936" s="19"/>
      <c r="V936" s="19"/>
      <c r="W936" s="20"/>
      <c r="X936" s="20"/>
    </row>
    <row r="937" spans="1:24" ht="15.75" hidden="1" customHeight="1" x14ac:dyDescent="0.25">
      <c r="A937" s="16"/>
      <c r="B937" s="16" t="str">
        <f t="shared" si="3"/>
        <v/>
      </c>
      <c r="C937" s="16"/>
      <c r="D937" s="16"/>
      <c r="E937" s="16"/>
      <c r="F937" s="17"/>
      <c r="G937" s="16"/>
      <c r="H937" s="16"/>
      <c r="I937" s="16"/>
      <c r="J937" s="22"/>
      <c r="K937" s="16"/>
      <c r="L937" s="16"/>
      <c r="M937" s="16"/>
      <c r="N937" s="19"/>
      <c r="O937" s="19"/>
      <c r="P937" s="19"/>
      <c r="Q937" s="19"/>
      <c r="R937" s="19"/>
      <c r="S937" s="19"/>
      <c r="T937" s="19"/>
      <c r="U937" s="19"/>
      <c r="V937" s="19"/>
      <c r="W937" s="20"/>
      <c r="X937" s="20"/>
    </row>
    <row r="938" spans="1:24" ht="15.75" hidden="1" customHeight="1" x14ac:dyDescent="0.25">
      <c r="A938" s="16"/>
      <c r="B938" s="16" t="str">
        <f t="shared" si="3"/>
        <v/>
      </c>
      <c r="C938" s="16"/>
      <c r="D938" s="16"/>
      <c r="E938" s="16"/>
      <c r="F938" s="17"/>
      <c r="G938" s="16"/>
      <c r="H938" s="16"/>
      <c r="I938" s="16"/>
      <c r="J938" s="22"/>
      <c r="K938" s="16"/>
      <c r="L938" s="16"/>
      <c r="M938" s="16"/>
      <c r="N938" s="19"/>
      <c r="O938" s="19"/>
      <c r="P938" s="19"/>
      <c r="Q938" s="19"/>
      <c r="R938" s="19"/>
      <c r="S938" s="19"/>
      <c r="T938" s="19"/>
      <c r="U938" s="19"/>
      <c r="V938" s="19"/>
      <c r="W938" s="20"/>
      <c r="X938" s="20"/>
    </row>
    <row r="939" spans="1:24" ht="15.75" hidden="1" customHeight="1" x14ac:dyDescent="0.25">
      <c r="A939" s="16"/>
      <c r="B939" s="16" t="str">
        <f t="shared" si="3"/>
        <v/>
      </c>
      <c r="C939" s="16"/>
      <c r="D939" s="16"/>
      <c r="E939" s="16"/>
      <c r="F939" s="17"/>
      <c r="G939" s="16"/>
      <c r="H939" s="16"/>
      <c r="I939" s="16"/>
      <c r="J939" s="22"/>
      <c r="K939" s="16"/>
      <c r="L939" s="16"/>
      <c r="M939" s="16"/>
      <c r="N939" s="19"/>
      <c r="O939" s="19"/>
      <c r="P939" s="19"/>
      <c r="Q939" s="19"/>
      <c r="R939" s="19"/>
      <c r="S939" s="19"/>
      <c r="T939" s="19"/>
      <c r="U939" s="19"/>
      <c r="V939" s="19"/>
      <c r="W939" s="20"/>
      <c r="X939" s="20"/>
    </row>
    <row r="940" spans="1:24" ht="15.75" hidden="1" customHeight="1" x14ac:dyDescent="0.25">
      <c r="A940" s="16"/>
      <c r="B940" s="16" t="str">
        <f t="shared" si="3"/>
        <v/>
      </c>
      <c r="C940" s="16"/>
      <c r="D940" s="16"/>
      <c r="E940" s="16"/>
      <c r="F940" s="17"/>
      <c r="G940" s="16"/>
      <c r="H940" s="16"/>
      <c r="I940" s="16"/>
      <c r="J940" s="22"/>
      <c r="K940" s="16"/>
      <c r="L940" s="16"/>
      <c r="M940" s="16"/>
      <c r="N940" s="19"/>
      <c r="O940" s="19"/>
      <c r="P940" s="19"/>
      <c r="Q940" s="19"/>
      <c r="R940" s="19"/>
      <c r="S940" s="19"/>
      <c r="T940" s="19"/>
      <c r="U940" s="19"/>
      <c r="V940" s="19"/>
      <c r="W940" s="20"/>
      <c r="X940" s="20"/>
    </row>
    <row r="941" spans="1:24" ht="15.75" hidden="1" customHeight="1" x14ac:dyDescent="0.25">
      <c r="A941" s="16"/>
      <c r="B941" s="16" t="str">
        <f t="shared" si="3"/>
        <v/>
      </c>
      <c r="C941" s="16"/>
      <c r="D941" s="16"/>
      <c r="E941" s="16"/>
      <c r="F941" s="17"/>
      <c r="G941" s="16"/>
      <c r="H941" s="16"/>
      <c r="I941" s="16"/>
      <c r="J941" s="22"/>
      <c r="K941" s="16"/>
      <c r="L941" s="16"/>
      <c r="M941" s="16"/>
      <c r="N941" s="19"/>
      <c r="O941" s="19"/>
      <c r="P941" s="19"/>
      <c r="Q941" s="19"/>
      <c r="R941" s="19"/>
      <c r="S941" s="19"/>
      <c r="T941" s="19"/>
      <c r="U941" s="19"/>
      <c r="V941" s="19"/>
      <c r="W941" s="20"/>
      <c r="X941" s="20"/>
    </row>
    <row r="942" spans="1:24" ht="15.75" hidden="1" customHeight="1" x14ac:dyDescent="0.25">
      <c r="A942" s="16"/>
      <c r="B942" s="16" t="str">
        <f t="shared" si="3"/>
        <v/>
      </c>
      <c r="C942" s="16"/>
      <c r="D942" s="16"/>
      <c r="E942" s="16"/>
      <c r="F942" s="17"/>
      <c r="G942" s="16"/>
      <c r="H942" s="16"/>
      <c r="I942" s="16"/>
      <c r="J942" s="22"/>
      <c r="K942" s="16"/>
      <c r="L942" s="16"/>
      <c r="M942" s="16"/>
      <c r="N942" s="19"/>
      <c r="O942" s="19"/>
      <c r="P942" s="19"/>
      <c r="Q942" s="19"/>
      <c r="R942" s="19"/>
      <c r="S942" s="19"/>
      <c r="T942" s="19"/>
      <c r="U942" s="19"/>
      <c r="V942" s="19"/>
      <c r="W942" s="20"/>
      <c r="X942" s="20"/>
    </row>
    <row r="943" spans="1:24" ht="15.75" hidden="1" customHeight="1" x14ac:dyDescent="0.25">
      <c r="A943" s="16"/>
      <c r="B943" s="16" t="str">
        <f t="shared" si="3"/>
        <v/>
      </c>
      <c r="C943" s="16"/>
      <c r="D943" s="16"/>
      <c r="E943" s="16"/>
      <c r="F943" s="17"/>
      <c r="G943" s="16"/>
      <c r="H943" s="16"/>
      <c r="I943" s="16"/>
      <c r="J943" s="22"/>
      <c r="K943" s="16"/>
      <c r="L943" s="16"/>
      <c r="M943" s="16"/>
      <c r="N943" s="19"/>
      <c r="O943" s="19"/>
      <c r="P943" s="19"/>
      <c r="Q943" s="19"/>
      <c r="R943" s="19"/>
      <c r="S943" s="19"/>
      <c r="T943" s="19"/>
      <c r="U943" s="19"/>
      <c r="V943" s="19"/>
      <c r="W943" s="20"/>
      <c r="X943" s="20"/>
    </row>
    <row r="944" spans="1:24" ht="15.75" hidden="1" customHeight="1" x14ac:dyDescent="0.25">
      <c r="A944" s="16"/>
      <c r="B944" s="16" t="str">
        <f t="shared" si="3"/>
        <v/>
      </c>
      <c r="C944" s="16"/>
      <c r="D944" s="16"/>
      <c r="E944" s="16"/>
      <c r="F944" s="17"/>
      <c r="G944" s="16"/>
      <c r="H944" s="16"/>
      <c r="I944" s="16"/>
      <c r="J944" s="22"/>
      <c r="K944" s="16"/>
      <c r="L944" s="16"/>
      <c r="M944" s="16"/>
      <c r="N944" s="19"/>
      <c r="O944" s="19"/>
      <c r="P944" s="19"/>
      <c r="Q944" s="19"/>
      <c r="R944" s="19"/>
      <c r="S944" s="19"/>
      <c r="T944" s="19"/>
      <c r="U944" s="19"/>
      <c r="V944" s="19"/>
      <c r="W944" s="20"/>
      <c r="X944" s="20"/>
    </row>
    <row r="945" spans="1:24" ht="15.75" hidden="1" customHeight="1" x14ac:dyDescent="0.25">
      <c r="A945" s="16"/>
      <c r="B945" s="16" t="str">
        <f t="shared" si="3"/>
        <v/>
      </c>
      <c r="C945" s="16"/>
      <c r="D945" s="16"/>
      <c r="E945" s="16"/>
      <c r="F945" s="17"/>
      <c r="G945" s="16"/>
      <c r="H945" s="16"/>
      <c r="I945" s="16"/>
      <c r="J945" s="22"/>
      <c r="K945" s="16"/>
      <c r="L945" s="16"/>
      <c r="M945" s="16"/>
      <c r="N945" s="19"/>
      <c r="O945" s="19"/>
      <c r="P945" s="19"/>
      <c r="Q945" s="19"/>
      <c r="R945" s="19"/>
      <c r="S945" s="19"/>
      <c r="T945" s="19"/>
      <c r="U945" s="19"/>
      <c r="V945" s="19"/>
      <c r="W945" s="20"/>
      <c r="X945" s="20"/>
    </row>
    <row r="946" spans="1:24" ht="15.75" hidden="1" customHeight="1" x14ac:dyDescent="0.25">
      <c r="A946" s="16"/>
      <c r="B946" s="16" t="str">
        <f t="shared" si="3"/>
        <v/>
      </c>
      <c r="C946" s="16"/>
      <c r="D946" s="16"/>
      <c r="E946" s="16"/>
      <c r="F946" s="17"/>
      <c r="G946" s="16"/>
      <c r="H946" s="16"/>
      <c r="I946" s="16"/>
      <c r="J946" s="22"/>
      <c r="K946" s="16"/>
      <c r="L946" s="16"/>
      <c r="M946" s="16"/>
      <c r="N946" s="19"/>
      <c r="O946" s="19"/>
      <c r="P946" s="19"/>
      <c r="Q946" s="19"/>
      <c r="R946" s="19"/>
      <c r="S946" s="19"/>
      <c r="T946" s="19"/>
      <c r="U946" s="19"/>
      <c r="V946" s="19"/>
      <c r="W946" s="20"/>
      <c r="X946" s="20"/>
    </row>
    <row r="947" spans="1:24" ht="15.75" hidden="1" customHeight="1" x14ac:dyDescent="0.25">
      <c r="A947" s="16"/>
      <c r="B947" s="16" t="str">
        <f t="shared" si="3"/>
        <v/>
      </c>
      <c r="C947" s="16"/>
      <c r="D947" s="16"/>
      <c r="E947" s="16"/>
      <c r="F947" s="17"/>
      <c r="G947" s="16"/>
      <c r="H947" s="16"/>
      <c r="I947" s="16"/>
      <c r="J947" s="22"/>
      <c r="K947" s="16"/>
      <c r="L947" s="16"/>
      <c r="M947" s="16"/>
      <c r="N947" s="19"/>
      <c r="O947" s="19"/>
      <c r="P947" s="19"/>
      <c r="Q947" s="19"/>
      <c r="R947" s="19"/>
      <c r="S947" s="19"/>
      <c r="T947" s="19"/>
      <c r="U947" s="19"/>
      <c r="V947" s="19"/>
      <c r="W947" s="20"/>
      <c r="X947" s="20"/>
    </row>
    <row r="948" spans="1:24" ht="15.75" hidden="1" customHeight="1" x14ac:dyDescent="0.25">
      <c r="A948" s="16"/>
      <c r="B948" s="16" t="str">
        <f t="shared" si="3"/>
        <v/>
      </c>
      <c r="C948" s="16"/>
      <c r="D948" s="16"/>
      <c r="E948" s="16"/>
      <c r="F948" s="17"/>
      <c r="G948" s="16"/>
      <c r="H948" s="16"/>
      <c r="I948" s="16"/>
      <c r="J948" s="22"/>
      <c r="K948" s="16"/>
      <c r="L948" s="16"/>
      <c r="M948" s="16"/>
      <c r="N948" s="19"/>
      <c r="O948" s="19"/>
      <c r="P948" s="19"/>
      <c r="Q948" s="19"/>
      <c r="R948" s="19"/>
      <c r="S948" s="19"/>
      <c r="T948" s="19"/>
      <c r="U948" s="19"/>
      <c r="V948" s="19"/>
      <c r="W948" s="20"/>
      <c r="X948" s="20"/>
    </row>
    <row r="949" spans="1:24" ht="15.75" hidden="1" customHeight="1" x14ac:dyDescent="0.25">
      <c r="A949" s="16"/>
      <c r="B949" s="16" t="str">
        <f t="shared" si="3"/>
        <v/>
      </c>
      <c r="C949" s="16"/>
      <c r="D949" s="16"/>
      <c r="E949" s="16"/>
      <c r="F949" s="17"/>
      <c r="G949" s="16"/>
      <c r="H949" s="16"/>
      <c r="I949" s="16"/>
      <c r="J949" s="22"/>
      <c r="K949" s="16"/>
      <c r="L949" s="16"/>
      <c r="M949" s="16"/>
      <c r="N949" s="19"/>
      <c r="O949" s="19"/>
      <c r="P949" s="19"/>
      <c r="Q949" s="19"/>
      <c r="R949" s="19"/>
      <c r="S949" s="19"/>
      <c r="T949" s="19"/>
      <c r="U949" s="19"/>
      <c r="V949" s="19"/>
      <c r="W949" s="20"/>
      <c r="X949" s="20"/>
    </row>
    <row r="950" spans="1:24" ht="15.75" hidden="1" customHeight="1" x14ac:dyDescent="0.25">
      <c r="A950" s="16"/>
      <c r="B950" s="16" t="str">
        <f t="shared" si="3"/>
        <v/>
      </c>
      <c r="C950" s="16"/>
      <c r="D950" s="16"/>
      <c r="E950" s="16"/>
      <c r="F950" s="17"/>
      <c r="G950" s="16"/>
      <c r="H950" s="16"/>
      <c r="I950" s="16"/>
      <c r="J950" s="22"/>
      <c r="K950" s="16"/>
      <c r="L950" s="16"/>
      <c r="M950" s="16"/>
      <c r="N950" s="19"/>
      <c r="O950" s="19"/>
      <c r="P950" s="19"/>
      <c r="Q950" s="19"/>
      <c r="R950" s="19"/>
      <c r="S950" s="19"/>
      <c r="T950" s="19"/>
      <c r="U950" s="19"/>
      <c r="V950" s="19"/>
      <c r="W950" s="20"/>
      <c r="X950" s="20"/>
    </row>
    <row r="951" spans="1:24" ht="15.75" hidden="1" customHeight="1" x14ac:dyDescent="0.25">
      <c r="A951" s="16"/>
      <c r="B951" s="16" t="str">
        <f t="shared" si="3"/>
        <v/>
      </c>
      <c r="C951" s="16"/>
      <c r="D951" s="16"/>
      <c r="E951" s="16"/>
      <c r="F951" s="17"/>
      <c r="G951" s="16"/>
      <c r="H951" s="16"/>
      <c r="I951" s="16"/>
      <c r="J951" s="22"/>
      <c r="K951" s="16"/>
      <c r="L951" s="16"/>
      <c r="M951" s="16"/>
      <c r="N951" s="19"/>
      <c r="O951" s="19"/>
      <c r="P951" s="19"/>
      <c r="Q951" s="19"/>
      <c r="R951" s="19"/>
      <c r="S951" s="19"/>
      <c r="T951" s="19"/>
      <c r="U951" s="19"/>
      <c r="V951" s="19"/>
      <c r="W951" s="20"/>
      <c r="X951" s="20"/>
    </row>
    <row r="952" spans="1:24" ht="15.75" hidden="1" customHeight="1" x14ac:dyDescent="0.25">
      <c r="A952" s="16"/>
      <c r="B952" s="16" t="str">
        <f t="shared" si="3"/>
        <v/>
      </c>
      <c r="C952" s="16"/>
      <c r="D952" s="16"/>
      <c r="E952" s="16"/>
      <c r="F952" s="17"/>
      <c r="G952" s="16"/>
      <c r="H952" s="16"/>
      <c r="I952" s="16"/>
      <c r="J952" s="22"/>
      <c r="K952" s="16"/>
      <c r="L952" s="16"/>
      <c r="M952" s="16"/>
      <c r="N952" s="19"/>
      <c r="O952" s="19"/>
      <c r="P952" s="19"/>
      <c r="Q952" s="19"/>
      <c r="R952" s="19"/>
      <c r="S952" s="19"/>
      <c r="T952" s="19"/>
      <c r="U952" s="19"/>
      <c r="V952" s="19"/>
      <c r="W952" s="20"/>
      <c r="X952" s="20"/>
    </row>
    <row r="953" spans="1:24" ht="15.75" hidden="1" customHeight="1" x14ac:dyDescent="0.25">
      <c r="A953" s="16"/>
      <c r="B953" s="16" t="str">
        <f t="shared" si="3"/>
        <v/>
      </c>
      <c r="C953" s="16"/>
      <c r="D953" s="16"/>
      <c r="E953" s="16"/>
      <c r="F953" s="17"/>
      <c r="G953" s="16"/>
      <c r="H953" s="16"/>
      <c r="I953" s="16"/>
      <c r="J953" s="22"/>
      <c r="K953" s="16"/>
      <c r="L953" s="16"/>
      <c r="M953" s="16"/>
      <c r="N953" s="19"/>
      <c r="O953" s="19"/>
      <c r="P953" s="19"/>
      <c r="Q953" s="19"/>
      <c r="R953" s="19"/>
      <c r="S953" s="19"/>
      <c r="T953" s="19"/>
      <c r="U953" s="19"/>
      <c r="V953" s="19"/>
      <c r="W953" s="20"/>
      <c r="X953" s="20"/>
    </row>
    <row r="954" spans="1:24" ht="15.75" hidden="1" customHeight="1" x14ac:dyDescent="0.25">
      <c r="A954" s="16"/>
      <c r="B954" s="16" t="str">
        <f t="shared" si="3"/>
        <v/>
      </c>
      <c r="C954" s="16"/>
      <c r="D954" s="16"/>
      <c r="E954" s="16"/>
      <c r="F954" s="17"/>
      <c r="G954" s="16"/>
      <c r="H954" s="16"/>
      <c r="I954" s="16"/>
      <c r="J954" s="22"/>
      <c r="K954" s="16"/>
      <c r="L954" s="16"/>
      <c r="M954" s="16"/>
      <c r="N954" s="19"/>
      <c r="O954" s="19"/>
      <c r="P954" s="19"/>
      <c r="Q954" s="19"/>
      <c r="R954" s="19"/>
      <c r="S954" s="19"/>
      <c r="T954" s="19"/>
      <c r="U954" s="19"/>
      <c r="V954" s="19"/>
      <c r="W954" s="20"/>
      <c r="X954" s="20"/>
    </row>
    <row r="955" spans="1:24" ht="15.75" hidden="1" customHeight="1" x14ac:dyDescent="0.25">
      <c r="A955" s="16"/>
      <c r="B955" s="16" t="str">
        <f t="shared" si="3"/>
        <v/>
      </c>
      <c r="C955" s="16"/>
      <c r="D955" s="16"/>
      <c r="E955" s="16"/>
      <c r="F955" s="17"/>
      <c r="G955" s="16"/>
      <c r="H955" s="16"/>
      <c r="I955" s="16"/>
      <c r="J955" s="22"/>
      <c r="K955" s="16"/>
      <c r="L955" s="16"/>
      <c r="M955" s="16"/>
      <c r="N955" s="19"/>
      <c r="O955" s="19"/>
      <c r="P955" s="19"/>
      <c r="Q955" s="19"/>
      <c r="R955" s="19"/>
      <c r="S955" s="19"/>
      <c r="T955" s="19"/>
      <c r="U955" s="19"/>
      <c r="V955" s="19"/>
      <c r="W955" s="20"/>
      <c r="X955" s="20"/>
    </row>
    <row r="956" spans="1:24" ht="15.75" hidden="1" customHeight="1" x14ac:dyDescent="0.25">
      <c r="A956" s="16"/>
      <c r="B956" s="16" t="str">
        <f t="shared" si="3"/>
        <v/>
      </c>
      <c r="C956" s="16"/>
      <c r="D956" s="16"/>
      <c r="E956" s="16"/>
      <c r="F956" s="17"/>
      <c r="G956" s="16"/>
      <c r="H956" s="16"/>
      <c r="I956" s="16"/>
      <c r="J956" s="22"/>
      <c r="K956" s="16"/>
      <c r="L956" s="16"/>
      <c r="M956" s="16"/>
      <c r="N956" s="19"/>
      <c r="O956" s="19"/>
      <c r="P956" s="19"/>
      <c r="Q956" s="19"/>
      <c r="R956" s="19"/>
      <c r="S956" s="19"/>
      <c r="T956" s="19"/>
      <c r="U956" s="19"/>
      <c r="V956" s="19"/>
      <c r="W956" s="20"/>
      <c r="X956" s="20"/>
    </row>
    <row r="957" spans="1:24" ht="15.75" hidden="1" customHeight="1" x14ac:dyDescent="0.25">
      <c r="A957" s="16"/>
      <c r="B957" s="16" t="str">
        <f t="shared" si="3"/>
        <v/>
      </c>
      <c r="C957" s="16"/>
      <c r="D957" s="16"/>
      <c r="E957" s="16"/>
      <c r="F957" s="17"/>
      <c r="G957" s="16"/>
      <c r="H957" s="16"/>
      <c r="I957" s="16"/>
      <c r="J957" s="22"/>
      <c r="K957" s="16"/>
      <c r="L957" s="16"/>
      <c r="M957" s="16"/>
      <c r="N957" s="19"/>
      <c r="O957" s="19"/>
      <c r="P957" s="19"/>
      <c r="Q957" s="19"/>
      <c r="R957" s="19"/>
      <c r="S957" s="19"/>
      <c r="T957" s="19"/>
      <c r="U957" s="19"/>
      <c r="V957" s="19"/>
      <c r="W957" s="20"/>
      <c r="X957" s="20"/>
    </row>
    <row r="958" spans="1:24" ht="15.75" hidden="1" customHeight="1" x14ac:dyDescent="0.25">
      <c r="A958" s="16"/>
      <c r="B958" s="16" t="str">
        <f t="shared" si="3"/>
        <v/>
      </c>
      <c r="C958" s="16"/>
      <c r="D958" s="16"/>
      <c r="E958" s="16"/>
      <c r="F958" s="17"/>
      <c r="G958" s="16"/>
      <c r="H958" s="16"/>
      <c r="I958" s="16"/>
      <c r="J958" s="22"/>
      <c r="K958" s="16"/>
      <c r="L958" s="16"/>
      <c r="M958" s="16"/>
      <c r="N958" s="19"/>
      <c r="O958" s="19"/>
      <c r="P958" s="19"/>
      <c r="Q958" s="19"/>
      <c r="R958" s="19"/>
      <c r="S958" s="19"/>
      <c r="T958" s="19"/>
      <c r="U958" s="19"/>
      <c r="V958" s="19"/>
      <c r="W958" s="20"/>
      <c r="X958" s="20"/>
    </row>
    <row r="959" spans="1:24" ht="15.75" hidden="1" customHeight="1" x14ac:dyDescent="0.25">
      <c r="A959" s="16"/>
      <c r="B959" s="16" t="str">
        <f t="shared" si="3"/>
        <v/>
      </c>
      <c r="C959" s="16"/>
      <c r="D959" s="16"/>
      <c r="E959" s="16"/>
      <c r="F959" s="17"/>
      <c r="G959" s="16"/>
      <c r="H959" s="16"/>
      <c r="I959" s="16"/>
      <c r="J959" s="22"/>
      <c r="K959" s="16"/>
      <c r="L959" s="16"/>
      <c r="M959" s="16"/>
      <c r="N959" s="19"/>
      <c r="O959" s="19"/>
      <c r="P959" s="19"/>
      <c r="Q959" s="19"/>
      <c r="R959" s="19"/>
      <c r="S959" s="19"/>
      <c r="T959" s="19"/>
      <c r="U959" s="19"/>
      <c r="V959" s="19"/>
      <c r="W959" s="20"/>
      <c r="X959" s="20"/>
    </row>
    <row r="960" spans="1:24" ht="15.75" hidden="1" customHeight="1" x14ac:dyDescent="0.25">
      <c r="A960" s="16"/>
      <c r="B960" s="16" t="str">
        <f t="shared" si="3"/>
        <v/>
      </c>
      <c r="C960" s="16"/>
      <c r="D960" s="16"/>
      <c r="E960" s="16"/>
      <c r="F960" s="17"/>
      <c r="G960" s="16"/>
      <c r="H960" s="16"/>
      <c r="I960" s="16"/>
      <c r="J960" s="22"/>
      <c r="K960" s="16"/>
      <c r="L960" s="16"/>
      <c r="M960" s="16"/>
      <c r="N960" s="19"/>
      <c r="O960" s="19"/>
      <c r="P960" s="19"/>
      <c r="Q960" s="19"/>
      <c r="R960" s="19"/>
      <c r="S960" s="19"/>
      <c r="T960" s="19"/>
      <c r="U960" s="19"/>
      <c r="V960" s="19"/>
      <c r="W960" s="20"/>
      <c r="X960" s="20"/>
    </row>
    <row r="961" spans="1:24" ht="15.75" hidden="1" customHeight="1" x14ac:dyDescent="0.25">
      <c r="A961" s="16"/>
      <c r="B961" s="16" t="str">
        <f t="shared" si="3"/>
        <v/>
      </c>
      <c r="C961" s="16"/>
      <c r="D961" s="16"/>
      <c r="E961" s="16"/>
      <c r="F961" s="17"/>
      <c r="G961" s="16"/>
      <c r="H961" s="16"/>
      <c r="I961" s="16"/>
      <c r="J961" s="22"/>
      <c r="K961" s="16"/>
      <c r="L961" s="16"/>
      <c r="M961" s="16"/>
      <c r="N961" s="19"/>
      <c r="O961" s="19"/>
      <c r="P961" s="19"/>
      <c r="Q961" s="19"/>
      <c r="R961" s="19"/>
      <c r="S961" s="19"/>
      <c r="T961" s="19"/>
      <c r="U961" s="19"/>
      <c r="V961" s="19"/>
      <c r="W961" s="20"/>
      <c r="X961" s="20"/>
    </row>
    <row r="962" spans="1:24" ht="15.75" hidden="1" customHeight="1" x14ac:dyDescent="0.25">
      <c r="A962" s="16"/>
      <c r="B962" s="16" t="str">
        <f t="shared" si="3"/>
        <v/>
      </c>
      <c r="C962" s="16"/>
      <c r="D962" s="16"/>
      <c r="E962" s="16"/>
      <c r="F962" s="17"/>
      <c r="G962" s="16"/>
      <c r="H962" s="16"/>
      <c r="I962" s="16"/>
      <c r="J962" s="22"/>
      <c r="K962" s="16"/>
      <c r="L962" s="16"/>
      <c r="M962" s="16"/>
      <c r="N962" s="19"/>
      <c r="O962" s="19"/>
      <c r="P962" s="19"/>
      <c r="Q962" s="19"/>
      <c r="R962" s="19"/>
      <c r="S962" s="19"/>
      <c r="T962" s="19"/>
      <c r="U962" s="19"/>
      <c r="V962" s="19"/>
      <c r="W962" s="20"/>
      <c r="X962" s="20"/>
    </row>
    <row r="963" spans="1:24" ht="15.75" hidden="1" customHeight="1" x14ac:dyDescent="0.25">
      <c r="A963" s="16"/>
      <c r="B963" s="16" t="str">
        <f t="shared" si="3"/>
        <v/>
      </c>
      <c r="C963" s="16"/>
      <c r="D963" s="16"/>
      <c r="E963" s="16"/>
      <c r="F963" s="17"/>
      <c r="G963" s="16"/>
      <c r="H963" s="16"/>
      <c r="I963" s="16"/>
      <c r="J963" s="22"/>
      <c r="K963" s="16"/>
      <c r="L963" s="16"/>
      <c r="M963" s="16"/>
      <c r="N963" s="19"/>
      <c r="O963" s="19"/>
      <c r="P963" s="19"/>
      <c r="Q963" s="19"/>
      <c r="R963" s="19"/>
      <c r="S963" s="19"/>
      <c r="T963" s="19"/>
      <c r="U963" s="19"/>
      <c r="V963" s="19"/>
      <c r="W963" s="20"/>
      <c r="X963" s="20"/>
    </row>
    <row r="964" spans="1:24" ht="15.75" hidden="1" customHeight="1" x14ac:dyDescent="0.25">
      <c r="A964" s="16"/>
      <c r="B964" s="16" t="str">
        <f t="shared" si="3"/>
        <v/>
      </c>
      <c r="C964" s="16"/>
      <c r="D964" s="16"/>
      <c r="E964" s="16"/>
      <c r="F964" s="17"/>
      <c r="G964" s="16"/>
      <c r="H964" s="16"/>
      <c r="I964" s="16"/>
      <c r="J964" s="22"/>
      <c r="K964" s="16"/>
      <c r="L964" s="16"/>
      <c r="M964" s="16"/>
      <c r="N964" s="19"/>
      <c r="O964" s="19"/>
      <c r="P964" s="19"/>
      <c r="Q964" s="19"/>
      <c r="R964" s="19"/>
      <c r="S964" s="19"/>
      <c r="T964" s="19"/>
      <c r="U964" s="19"/>
      <c r="V964" s="19"/>
      <c r="W964" s="20"/>
      <c r="X964" s="20"/>
    </row>
    <row r="965" spans="1:24" ht="15.75" hidden="1" customHeight="1" x14ac:dyDescent="0.25">
      <c r="A965" s="16"/>
      <c r="B965" s="16" t="str">
        <f t="shared" si="3"/>
        <v/>
      </c>
      <c r="C965" s="16"/>
      <c r="D965" s="16"/>
      <c r="E965" s="16"/>
      <c r="F965" s="17"/>
      <c r="G965" s="16"/>
      <c r="H965" s="16"/>
      <c r="I965" s="16"/>
      <c r="J965" s="22"/>
      <c r="K965" s="16"/>
      <c r="L965" s="16"/>
      <c r="M965" s="16"/>
      <c r="N965" s="19"/>
      <c r="O965" s="19"/>
      <c r="P965" s="19"/>
      <c r="Q965" s="19"/>
      <c r="R965" s="19"/>
      <c r="S965" s="19"/>
      <c r="T965" s="19"/>
      <c r="U965" s="19"/>
      <c r="V965" s="19"/>
      <c r="W965" s="20"/>
      <c r="X965" s="20"/>
    </row>
    <row r="966" spans="1:24" ht="15.75" hidden="1" customHeight="1" x14ac:dyDescent="0.25">
      <c r="A966" s="16"/>
      <c r="B966" s="16" t="str">
        <f t="shared" si="3"/>
        <v/>
      </c>
      <c r="C966" s="16"/>
      <c r="D966" s="16"/>
      <c r="E966" s="16"/>
      <c r="F966" s="17"/>
      <c r="G966" s="16"/>
      <c r="H966" s="16"/>
      <c r="I966" s="16"/>
      <c r="J966" s="22"/>
      <c r="K966" s="16"/>
      <c r="L966" s="16"/>
      <c r="M966" s="16"/>
      <c r="N966" s="19"/>
      <c r="O966" s="19"/>
      <c r="P966" s="19"/>
      <c r="Q966" s="19"/>
      <c r="R966" s="19"/>
      <c r="S966" s="19"/>
      <c r="T966" s="19"/>
      <c r="U966" s="19"/>
      <c r="V966" s="19"/>
      <c r="W966" s="20"/>
      <c r="X966" s="20"/>
    </row>
    <row r="967" spans="1:24" ht="15.75" hidden="1" customHeight="1" x14ac:dyDescent="0.25">
      <c r="A967" s="16"/>
      <c r="B967" s="16" t="str">
        <f t="shared" si="3"/>
        <v/>
      </c>
      <c r="C967" s="16"/>
      <c r="D967" s="16"/>
      <c r="E967" s="16"/>
      <c r="F967" s="17"/>
      <c r="G967" s="16"/>
      <c r="H967" s="16"/>
      <c r="I967" s="16"/>
      <c r="J967" s="22"/>
      <c r="K967" s="16"/>
      <c r="L967" s="16"/>
      <c r="M967" s="16"/>
      <c r="N967" s="19"/>
      <c r="O967" s="19"/>
      <c r="P967" s="19"/>
      <c r="Q967" s="19"/>
      <c r="R967" s="19"/>
      <c r="S967" s="19"/>
      <c r="T967" s="19"/>
      <c r="U967" s="19"/>
      <c r="V967" s="19"/>
      <c r="W967" s="20"/>
      <c r="X967" s="20"/>
    </row>
    <row r="968" spans="1:24" ht="15.75" hidden="1" customHeight="1" x14ac:dyDescent="0.25">
      <c r="A968" s="16"/>
      <c r="B968" s="16" t="str">
        <f t="shared" si="3"/>
        <v/>
      </c>
      <c r="C968" s="16"/>
      <c r="D968" s="16"/>
      <c r="E968" s="16"/>
      <c r="F968" s="17"/>
      <c r="G968" s="16"/>
      <c r="H968" s="16"/>
      <c r="I968" s="16"/>
      <c r="J968" s="22"/>
      <c r="K968" s="16"/>
      <c r="L968" s="16"/>
      <c r="M968" s="16"/>
      <c r="N968" s="19"/>
      <c r="O968" s="19"/>
      <c r="P968" s="19"/>
      <c r="Q968" s="19"/>
      <c r="R968" s="19"/>
      <c r="S968" s="19"/>
      <c r="T968" s="19"/>
      <c r="U968" s="19"/>
      <c r="V968" s="19"/>
      <c r="W968" s="20"/>
      <c r="X968" s="20"/>
    </row>
    <row r="969" spans="1:24" ht="15.75" hidden="1" customHeight="1" x14ac:dyDescent="0.25">
      <c r="A969" s="16"/>
      <c r="B969" s="16" t="str">
        <f t="shared" si="3"/>
        <v/>
      </c>
      <c r="C969" s="16"/>
      <c r="D969" s="16"/>
      <c r="E969" s="16"/>
      <c r="F969" s="17"/>
      <c r="G969" s="16"/>
      <c r="H969" s="16"/>
      <c r="I969" s="16"/>
      <c r="J969" s="22"/>
      <c r="K969" s="16"/>
      <c r="L969" s="16"/>
      <c r="M969" s="16"/>
      <c r="N969" s="19"/>
      <c r="O969" s="19"/>
      <c r="P969" s="19"/>
      <c r="Q969" s="19"/>
      <c r="R969" s="19"/>
      <c r="S969" s="19"/>
      <c r="T969" s="19"/>
      <c r="U969" s="19"/>
      <c r="V969" s="19"/>
      <c r="W969" s="20"/>
      <c r="X969" s="20"/>
    </row>
    <row r="970" spans="1:24" ht="15.75" hidden="1" customHeight="1" x14ac:dyDescent="0.25">
      <c r="A970" s="16"/>
      <c r="B970" s="16" t="str">
        <f t="shared" si="3"/>
        <v/>
      </c>
      <c r="C970" s="16"/>
      <c r="D970" s="16"/>
      <c r="E970" s="16"/>
      <c r="F970" s="17"/>
      <c r="G970" s="16"/>
      <c r="H970" s="16"/>
      <c r="I970" s="16"/>
      <c r="J970" s="22"/>
      <c r="K970" s="16"/>
      <c r="L970" s="16"/>
      <c r="M970" s="16"/>
      <c r="N970" s="19"/>
      <c r="O970" s="19"/>
      <c r="P970" s="19"/>
      <c r="Q970" s="19"/>
      <c r="R970" s="19"/>
      <c r="S970" s="19"/>
      <c r="T970" s="19"/>
      <c r="U970" s="19"/>
      <c r="V970" s="19"/>
      <c r="W970" s="20"/>
      <c r="X970" s="20"/>
    </row>
    <row r="971" spans="1:24" ht="15.75" hidden="1" customHeight="1" x14ac:dyDescent="0.25">
      <c r="A971" s="16"/>
      <c r="B971" s="16" t="str">
        <f t="shared" si="3"/>
        <v/>
      </c>
      <c r="C971" s="16"/>
      <c r="D971" s="16"/>
      <c r="E971" s="16"/>
      <c r="F971" s="17"/>
      <c r="G971" s="16"/>
      <c r="H971" s="16"/>
      <c r="I971" s="16"/>
      <c r="J971" s="22"/>
      <c r="K971" s="16"/>
      <c r="L971" s="16"/>
      <c r="M971" s="16"/>
      <c r="N971" s="19"/>
      <c r="O971" s="19"/>
      <c r="P971" s="19"/>
      <c r="Q971" s="19"/>
      <c r="R971" s="19"/>
      <c r="S971" s="19"/>
      <c r="T971" s="19"/>
      <c r="U971" s="19"/>
      <c r="V971" s="19"/>
      <c r="W971" s="20"/>
      <c r="X971" s="20"/>
    </row>
    <row r="972" spans="1:24" ht="15.75" hidden="1" customHeight="1" x14ac:dyDescent="0.25">
      <c r="A972" s="16"/>
      <c r="B972" s="16" t="str">
        <f t="shared" si="3"/>
        <v/>
      </c>
      <c r="C972" s="16"/>
      <c r="D972" s="16"/>
      <c r="E972" s="16"/>
      <c r="F972" s="17"/>
      <c r="G972" s="16"/>
      <c r="H972" s="16"/>
      <c r="I972" s="16"/>
      <c r="J972" s="22"/>
      <c r="K972" s="16"/>
      <c r="L972" s="16"/>
      <c r="M972" s="16"/>
      <c r="N972" s="19"/>
      <c r="O972" s="19"/>
      <c r="P972" s="19"/>
      <c r="Q972" s="19"/>
      <c r="R972" s="19"/>
      <c r="S972" s="19"/>
      <c r="T972" s="19"/>
      <c r="U972" s="19"/>
      <c r="V972" s="19"/>
      <c r="W972" s="20"/>
      <c r="X972" s="20"/>
    </row>
    <row r="973" spans="1:24" ht="15.75" hidden="1" customHeight="1" x14ac:dyDescent="0.25">
      <c r="A973" s="16"/>
      <c r="B973" s="16" t="str">
        <f t="shared" si="3"/>
        <v/>
      </c>
      <c r="C973" s="16"/>
      <c r="D973" s="16"/>
      <c r="E973" s="16"/>
      <c r="F973" s="17"/>
      <c r="G973" s="16"/>
      <c r="H973" s="16"/>
      <c r="I973" s="16"/>
      <c r="J973" s="22"/>
      <c r="K973" s="16"/>
      <c r="L973" s="16"/>
      <c r="M973" s="16"/>
      <c r="N973" s="19"/>
      <c r="O973" s="19"/>
      <c r="P973" s="19"/>
      <c r="Q973" s="19"/>
      <c r="R973" s="19"/>
      <c r="S973" s="19"/>
      <c r="T973" s="19"/>
      <c r="U973" s="19"/>
      <c r="V973" s="19"/>
      <c r="W973" s="20"/>
      <c r="X973" s="20"/>
    </row>
    <row r="974" spans="1:24" ht="15.75" hidden="1" customHeight="1" x14ac:dyDescent="0.25">
      <c r="A974" s="16"/>
      <c r="B974" s="16" t="str">
        <f t="shared" si="3"/>
        <v/>
      </c>
      <c r="C974" s="16"/>
      <c r="D974" s="16"/>
      <c r="E974" s="16"/>
      <c r="F974" s="17"/>
      <c r="G974" s="16"/>
      <c r="H974" s="16"/>
      <c r="I974" s="16"/>
      <c r="J974" s="22"/>
      <c r="K974" s="16"/>
      <c r="L974" s="16"/>
      <c r="M974" s="16"/>
      <c r="N974" s="19"/>
      <c r="O974" s="19"/>
      <c r="P974" s="19"/>
      <c r="Q974" s="19"/>
      <c r="R974" s="19"/>
      <c r="S974" s="19"/>
      <c r="T974" s="19"/>
      <c r="U974" s="19"/>
      <c r="V974" s="19"/>
      <c r="W974" s="20"/>
      <c r="X974" s="20"/>
    </row>
    <row r="975" spans="1:24" ht="15.75" hidden="1" customHeight="1" x14ac:dyDescent="0.25">
      <c r="A975" s="16"/>
      <c r="B975" s="16" t="str">
        <f t="shared" si="3"/>
        <v/>
      </c>
      <c r="C975" s="16"/>
      <c r="D975" s="16"/>
      <c r="E975" s="16"/>
      <c r="F975" s="17"/>
      <c r="G975" s="16"/>
      <c r="H975" s="16"/>
      <c r="I975" s="16"/>
      <c r="J975" s="22"/>
      <c r="K975" s="16"/>
      <c r="L975" s="16"/>
      <c r="M975" s="16"/>
      <c r="N975" s="19"/>
      <c r="O975" s="19"/>
      <c r="P975" s="19"/>
      <c r="Q975" s="19"/>
      <c r="R975" s="19"/>
      <c r="S975" s="19"/>
      <c r="T975" s="19"/>
      <c r="U975" s="19"/>
      <c r="V975" s="19"/>
      <c r="W975" s="20"/>
      <c r="X975" s="20"/>
    </row>
    <row r="976" spans="1:24" ht="15.75" hidden="1" customHeight="1" x14ac:dyDescent="0.25">
      <c r="A976" s="16"/>
      <c r="B976" s="16" t="str">
        <f t="shared" si="3"/>
        <v/>
      </c>
      <c r="C976" s="16"/>
      <c r="D976" s="16"/>
      <c r="E976" s="16"/>
      <c r="F976" s="17"/>
      <c r="G976" s="16"/>
      <c r="H976" s="16"/>
      <c r="I976" s="16"/>
      <c r="J976" s="22"/>
      <c r="K976" s="16"/>
      <c r="L976" s="16"/>
      <c r="M976" s="16"/>
      <c r="N976" s="19"/>
      <c r="O976" s="19"/>
      <c r="P976" s="19"/>
      <c r="Q976" s="19"/>
      <c r="R976" s="19"/>
      <c r="S976" s="19"/>
      <c r="T976" s="19"/>
      <c r="U976" s="19"/>
      <c r="V976" s="19"/>
      <c r="W976" s="20"/>
      <c r="X976" s="20"/>
    </row>
    <row r="977" spans="1:24" ht="15.75" hidden="1" customHeight="1" x14ac:dyDescent="0.25">
      <c r="A977" s="16"/>
      <c r="B977" s="16" t="str">
        <f t="shared" si="3"/>
        <v/>
      </c>
      <c r="C977" s="16"/>
      <c r="D977" s="16"/>
      <c r="E977" s="16"/>
      <c r="F977" s="17"/>
      <c r="G977" s="16"/>
      <c r="H977" s="16"/>
      <c r="I977" s="16"/>
      <c r="J977" s="22"/>
      <c r="K977" s="16"/>
      <c r="L977" s="16"/>
      <c r="M977" s="16"/>
      <c r="N977" s="19"/>
      <c r="O977" s="19"/>
      <c r="P977" s="19"/>
      <c r="Q977" s="19"/>
      <c r="R977" s="19"/>
      <c r="S977" s="19"/>
      <c r="T977" s="19"/>
      <c r="U977" s="19"/>
      <c r="V977" s="19"/>
      <c r="W977" s="20"/>
      <c r="X977" s="20"/>
    </row>
    <row r="978" spans="1:24" ht="15.75" hidden="1" customHeight="1" x14ac:dyDescent="0.25">
      <c r="A978" s="16"/>
      <c r="B978" s="16" t="str">
        <f t="shared" si="3"/>
        <v/>
      </c>
      <c r="C978" s="16"/>
      <c r="D978" s="16"/>
      <c r="E978" s="16"/>
      <c r="F978" s="17"/>
      <c r="G978" s="16"/>
      <c r="H978" s="16"/>
      <c r="I978" s="16"/>
      <c r="J978" s="22"/>
      <c r="K978" s="16"/>
      <c r="L978" s="16"/>
      <c r="M978" s="16"/>
      <c r="N978" s="19"/>
      <c r="O978" s="19"/>
      <c r="P978" s="19"/>
      <c r="Q978" s="19"/>
      <c r="R978" s="19"/>
      <c r="S978" s="19"/>
      <c r="T978" s="19"/>
      <c r="U978" s="19"/>
      <c r="V978" s="19"/>
      <c r="W978" s="20"/>
      <c r="X978" s="20"/>
    </row>
    <row r="979" spans="1:24" ht="15.75" hidden="1" customHeight="1" x14ac:dyDescent="0.25">
      <c r="A979" s="16"/>
      <c r="B979" s="16" t="str">
        <f t="shared" si="3"/>
        <v/>
      </c>
      <c r="C979" s="16"/>
      <c r="D979" s="16"/>
      <c r="E979" s="16"/>
      <c r="F979" s="17"/>
      <c r="G979" s="16"/>
      <c r="H979" s="16"/>
      <c r="I979" s="16"/>
      <c r="J979" s="22"/>
      <c r="K979" s="16"/>
      <c r="L979" s="16"/>
      <c r="M979" s="16"/>
      <c r="N979" s="19"/>
      <c r="O979" s="19"/>
      <c r="P979" s="19"/>
      <c r="Q979" s="19"/>
      <c r="R979" s="19"/>
      <c r="S979" s="19"/>
      <c r="T979" s="19"/>
      <c r="U979" s="19"/>
      <c r="V979" s="19"/>
      <c r="W979" s="20"/>
      <c r="X979" s="20"/>
    </row>
    <row r="980" spans="1:24" ht="15.75" hidden="1" customHeight="1" x14ac:dyDescent="0.25">
      <c r="A980" s="16"/>
      <c r="B980" s="16" t="str">
        <f t="shared" si="3"/>
        <v/>
      </c>
      <c r="C980" s="16"/>
      <c r="D980" s="16"/>
      <c r="E980" s="16"/>
      <c r="F980" s="17"/>
      <c r="G980" s="16"/>
      <c r="H980" s="16"/>
      <c r="I980" s="16"/>
      <c r="J980" s="22"/>
      <c r="K980" s="16"/>
      <c r="L980" s="16"/>
      <c r="M980" s="16"/>
      <c r="N980" s="19"/>
      <c r="O980" s="19"/>
      <c r="P980" s="19"/>
      <c r="Q980" s="19"/>
      <c r="R980" s="19"/>
      <c r="S980" s="19"/>
      <c r="T980" s="19"/>
      <c r="U980" s="19"/>
      <c r="V980" s="19"/>
      <c r="W980" s="20"/>
      <c r="X980" s="20"/>
    </row>
    <row r="981" spans="1:24" ht="15.75" hidden="1" customHeight="1" x14ac:dyDescent="0.25">
      <c r="A981" s="16"/>
      <c r="B981" s="16" t="str">
        <f t="shared" si="3"/>
        <v/>
      </c>
      <c r="C981" s="16"/>
      <c r="D981" s="16"/>
      <c r="E981" s="16"/>
      <c r="F981" s="17"/>
      <c r="G981" s="16"/>
      <c r="H981" s="16"/>
      <c r="I981" s="16"/>
      <c r="J981" s="22"/>
      <c r="K981" s="16"/>
      <c r="L981" s="16"/>
      <c r="M981" s="16"/>
      <c r="N981" s="19"/>
      <c r="O981" s="19"/>
      <c r="P981" s="19"/>
      <c r="Q981" s="19"/>
      <c r="R981" s="19"/>
      <c r="S981" s="19"/>
      <c r="T981" s="19"/>
      <c r="U981" s="19"/>
      <c r="V981" s="19"/>
      <c r="W981" s="20"/>
      <c r="X981" s="20"/>
    </row>
    <row r="982" spans="1:24" ht="15.75" hidden="1" customHeight="1" x14ac:dyDescent="0.25">
      <c r="A982" s="16"/>
      <c r="B982" s="16" t="str">
        <f t="shared" si="3"/>
        <v/>
      </c>
      <c r="C982" s="16"/>
      <c r="D982" s="16"/>
      <c r="E982" s="16"/>
      <c r="F982" s="17"/>
      <c r="G982" s="16"/>
      <c r="H982" s="16"/>
      <c r="I982" s="16"/>
      <c r="J982" s="22"/>
      <c r="K982" s="16"/>
      <c r="L982" s="16"/>
      <c r="M982" s="16"/>
      <c r="N982" s="19"/>
      <c r="O982" s="19"/>
      <c r="P982" s="19"/>
      <c r="Q982" s="19"/>
      <c r="R982" s="19"/>
      <c r="S982" s="19"/>
      <c r="T982" s="19"/>
      <c r="U982" s="19"/>
      <c r="V982" s="19"/>
      <c r="W982" s="20"/>
      <c r="X982" s="20"/>
    </row>
    <row r="983" spans="1:24" ht="15.75" hidden="1" customHeight="1" x14ac:dyDescent="0.25">
      <c r="A983" s="16"/>
      <c r="B983" s="16" t="str">
        <f t="shared" si="3"/>
        <v/>
      </c>
      <c r="C983" s="16"/>
      <c r="D983" s="16"/>
      <c r="E983" s="16"/>
      <c r="F983" s="17"/>
      <c r="G983" s="16"/>
      <c r="H983" s="16"/>
      <c r="I983" s="16"/>
      <c r="J983" s="22"/>
      <c r="K983" s="16"/>
      <c r="L983" s="16"/>
      <c r="M983" s="16"/>
      <c r="N983" s="19"/>
      <c r="O983" s="19"/>
      <c r="P983" s="19"/>
      <c r="Q983" s="19"/>
      <c r="R983" s="19"/>
      <c r="S983" s="19"/>
      <c r="T983" s="19"/>
      <c r="U983" s="19"/>
      <c r="V983" s="19"/>
      <c r="W983" s="20"/>
      <c r="X983" s="20"/>
    </row>
    <row r="984" spans="1:24" ht="15.75" hidden="1" customHeight="1" x14ac:dyDescent="0.25">
      <c r="A984" s="16"/>
      <c r="B984" s="16" t="str">
        <f t="shared" si="3"/>
        <v/>
      </c>
      <c r="C984" s="16"/>
      <c r="D984" s="16"/>
      <c r="E984" s="16"/>
      <c r="F984" s="17"/>
      <c r="G984" s="16"/>
      <c r="H984" s="16"/>
      <c r="I984" s="16"/>
      <c r="J984" s="22"/>
      <c r="K984" s="16"/>
      <c r="L984" s="16"/>
      <c r="M984" s="16"/>
      <c r="N984" s="19"/>
      <c r="O984" s="19"/>
      <c r="P984" s="19"/>
      <c r="Q984" s="19"/>
      <c r="R984" s="19"/>
      <c r="S984" s="19"/>
      <c r="T984" s="19"/>
      <c r="U984" s="19"/>
      <c r="V984" s="19"/>
      <c r="W984" s="20"/>
      <c r="X984" s="20"/>
    </row>
    <row r="985" spans="1:24" ht="15.75" hidden="1" customHeight="1" x14ac:dyDescent="0.25">
      <c r="A985" s="16"/>
      <c r="B985" s="16" t="str">
        <f t="shared" si="3"/>
        <v/>
      </c>
      <c r="C985" s="16"/>
      <c r="D985" s="16"/>
      <c r="E985" s="16"/>
      <c r="F985" s="17"/>
      <c r="G985" s="16"/>
      <c r="H985" s="16"/>
      <c r="I985" s="16"/>
      <c r="J985" s="22"/>
      <c r="K985" s="16"/>
      <c r="L985" s="16"/>
      <c r="M985" s="16"/>
      <c r="N985" s="19"/>
      <c r="O985" s="19"/>
      <c r="P985" s="19"/>
      <c r="Q985" s="19"/>
      <c r="R985" s="19"/>
      <c r="S985" s="19"/>
      <c r="T985" s="19"/>
      <c r="U985" s="19"/>
      <c r="V985" s="19"/>
      <c r="W985" s="20"/>
      <c r="X985" s="20"/>
    </row>
    <row r="986" spans="1:24" ht="15.75" hidden="1" customHeight="1" x14ac:dyDescent="0.25">
      <c r="A986" s="16"/>
      <c r="B986" s="16" t="str">
        <f t="shared" si="3"/>
        <v/>
      </c>
      <c r="C986" s="16"/>
      <c r="D986" s="16"/>
      <c r="E986" s="16"/>
      <c r="F986" s="17"/>
      <c r="G986" s="16"/>
      <c r="H986" s="16"/>
      <c r="I986" s="16"/>
      <c r="J986" s="22"/>
      <c r="K986" s="16"/>
      <c r="L986" s="16"/>
      <c r="M986" s="16"/>
      <c r="N986" s="19"/>
      <c r="O986" s="19"/>
      <c r="P986" s="19"/>
      <c r="Q986" s="19"/>
      <c r="R986" s="19"/>
      <c r="S986" s="19"/>
      <c r="T986" s="19"/>
      <c r="U986" s="19"/>
      <c r="V986" s="19"/>
      <c r="W986" s="20"/>
      <c r="X986" s="20"/>
    </row>
    <row r="987" spans="1:24" ht="15.75" hidden="1" customHeight="1" x14ac:dyDescent="0.25">
      <c r="A987" s="16"/>
      <c r="B987" s="16" t="str">
        <f t="shared" si="3"/>
        <v/>
      </c>
      <c r="C987" s="16"/>
      <c r="D987" s="16"/>
      <c r="E987" s="16"/>
      <c r="F987" s="17"/>
      <c r="G987" s="16"/>
      <c r="H987" s="16"/>
      <c r="I987" s="16"/>
      <c r="J987" s="22"/>
      <c r="K987" s="16"/>
      <c r="L987" s="16"/>
      <c r="M987" s="16"/>
      <c r="N987" s="19"/>
      <c r="O987" s="19"/>
      <c r="P987" s="19"/>
      <c r="Q987" s="19"/>
      <c r="R987" s="19"/>
      <c r="S987" s="19"/>
      <c r="T987" s="19"/>
      <c r="U987" s="19"/>
      <c r="V987" s="19"/>
      <c r="W987" s="20"/>
      <c r="X987" s="20"/>
    </row>
    <row r="988" spans="1:24" ht="15.75" hidden="1" customHeight="1" x14ac:dyDescent="0.25">
      <c r="A988" s="16"/>
      <c r="B988" s="16" t="str">
        <f t="shared" si="3"/>
        <v/>
      </c>
      <c r="C988" s="16"/>
      <c r="D988" s="16"/>
      <c r="E988" s="16"/>
      <c r="F988" s="17"/>
      <c r="G988" s="16"/>
      <c r="H988" s="16"/>
      <c r="I988" s="16"/>
      <c r="J988" s="22"/>
      <c r="K988" s="16"/>
      <c r="L988" s="16"/>
      <c r="M988" s="16"/>
      <c r="N988" s="19"/>
      <c r="O988" s="19"/>
      <c r="P988" s="19"/>
      <c r="Q988" s="19"/>
      <c r="R988" s="19"/>
      <c r="S988" s="19"/>
      <c r="T988" s="19"/>
      <c r="U988" s="19"/>
      <c r="V988" s="19"/>
      <c r="W988" s="20"/>
      <c r="X988" s="20"/>
    </row>
    <row r="989" spans="1:24" ht="15.75" hidden="1" customHeight="1" x14ac:dyDescent="0.25">
      <c r="A989" s="16"/>
      <c r="B989" s="16" t="str">
        <f t="shared" si="3"/>
        <v/>
      </c>
      <c r="C989" s="16"/>
      <c r="D989" s="16"/>
      <c r="E989" s="16"/>
      <c r="F989" s="17"/>
      <c r="G989" s="16"/>
      <c r="H989" s="16"/>
      <c r="I989" s="16"/>
      <c r="J989" s="22"/>
      <c r="K989" s="16"/>
      <c r="L989" s="16"/>
      <c r="M989" s="16"/>
      <c r="N989" s="19"/>
      <c r="O989" s="19"/>
      <c r="P989" s="19"/>
      <c r="Q989" s="19"/>
      <c r="R989" s="19"/>
      <c r="S989" s="19"/>
      <c r="T989" s="19"/>
      <c r="U989" s="19"/>
      <c r="V989" s="19"/>
      <c r="W989" s="20"/>
      <c r="X989" s="20"/>
    </row>
    <row r="990" spans="1:24" ht="15.75" hidden="1" customHeight="1" x14ac:dyDescent="0.25">
      <c r="A990" s="16"/>
      <c r="B990" s="16" t="str">
        <f t="shared" si="3"/>
        <v/>
      </c>
      <c r="C990" s="16"/>
      <c r="D990" s="16"/>
      <c r="E990" s="16"/>
      <c r="F990" s="17"/>
      <c r="G990" s="16"/>
      <c r="H990" s="16"/>
      <c r="I990" s="16"/>
      <c r="J990" s="22"/>
      <c r="K990" s="16"/>
      <c r="L990" s="16"/>
      <c r="M990" s="16"/>
      <c r="N990" s="19"/>
      <c r="O990" s="19"/>
      <c r="P990" s="19"/>
      <c r="Q990" s="19"/>
      <c r="R990" s="19"/>
      <c r="S990" s="19"/>
      <c r="T990" s="19"/>
      <c r="U990" s="19"/>
      <c r="V990" s="19"/>
      <c r="W990" s="20"/>
      <c r="X990" s="20"/>
    </row>
    <row r="991" spans="1:24" ht="15.75" hidden="1" customHeight="1" x14ac:dyDescent="0.25">
      <c r="A991" s="16"/>
      <c r="B991" s="16" t="str">
        <f t="shared" si="3"/>
        <v/>
      </c>
      <c r="C991" s="16"/>
      <c r="D991" s="16"/>
      <c r="E991" s="16"/>
      <c r="F991" s="17"/>
      <c r="G991" s="16"/>
      <c r="H991" s="16"/>
      <c r="I991" s="16"/>
      <c r="J991" s="22"/>
      <c r="K991" s="16"/>
      <c r="L991" s="16"/>
      <c r="M991" s="16"/>
      <c r="N991" s="19"/>
      <c r="O991" s="19"/>
      <c r="P991" s="19"/>
      <c r="Q991" s="19"/>
      <c r="R991" s="19"/>
      <c r="S991" s="19"/>
      <c r="T991" s="19"/>
      <c r="U991" s="19"/>
      <c r="V991" s="19"/>
      <c r="W991" s="20"/>
      <c r="X991" s="20"/>
    </row>
    <row r="992" spans="1:24" ht="15.75" hidden="1" customHeight="1" x14ac:dyDescent="0.25">
      <c r="A992" s="16"/>
      <c r="B992" s="16" t="str">
        <f t="shared" si="3"/>
        <v/>
      </c>
      <c r="C992" s="16"/>
      <c r="D992" s="16"/>
      <c r="E992" s="16"/>
      <c r="F992" s="17"/>
      <c r="G992" s="16"/>
      <c r="H992" s="16"/>
      <c r="I992" s="16"/>
      <c r="J992" s="22"/>
      <c r="K992" s="16"/>
      <c r="L992" s="16"/>
      <c r="M992" s="16"/>
      <c r="N992" s="19"/>
      <c r="O992" s="19"/>
      <c r="P992" s="19"/>
      <c r="Q992" s="19"/>
      <c r="R992" s="19"/>
      <c r="S992" s="19"/>
      <c r="T992" s="19"/>
      <c r="U992" s="19"/>
      <c r="V992" s="19"/>
      <c r="W992" s="20"/>
      <c r="X992" s="20"/>
    </row>
    <row r="993" spans="1:24" ht="15.75" hidden="1" customHeight="1" x14ac:dyDescent="0.25">
      <c r="A993" s="16"/>
      <c r="B993" s="16" t="str">
        <f t="shared" si="3"/>
        <v/>
      </c>
      <c r="C993" s="16"/>
      <c r="D993" s="16"/>
      <c r="E993" s="16"/>
      <c r="F993" s="17"/>
      <c r="G993" s="16"/>
      <c r="H993" s="16"/>
      <c r="I993" s="16"/>
      <c r="J993" s="22"/>
      <c r="K993" s="16"/>
      <c r="L993" s="16"/>
      <c r="M993" s="16"/>
      <c r="N993" s="19"/>
      <c r="O993" s="19"/>
      <c r="P993" s="19"/>
      <c r="Q993" s="19"/>
      <c r="R993" s="19"/>
      <c r="S993" s="19"/>
      <c r="T993" s="19"/>
      <c r="U993" s="19"/>
      <c r="V993" s="19"/>
      <c r="W993" s="20"/>
      <c r="X993" s="20"/>
    </row>
    <row r="994" spans="1:24" ht="15.75" hidden="1" customHeight="1" x14ac:dyDescent="0.25">
      <c r="A994" s="16"/>
      <c r="B994" s="16" t="str">
        <f t="shared" si="3"/>
        <v/>
      </c>
      <c r="C994" s="16"/>
      <c r="D994" s="16"/>
      <c r="E994" s="16"/>
      <c r="F994" s="17"/>
      <c r="G994" s="16"/>
      <c r="H994" s="16"/>
      <c r="I994" s="16"/>
      <c r="J994" s="22"/>
      <c r="K994" s="16"/>
      <c r="L994" s="16"/>
      <c r="M994" s="16"/>
      <c r="N994" s="19"/>
      <c r="O994" s="19"/>
      <c r="P994" s="19"/>
      <c r="Q994" s="19"/>
      <c r="R994" s="19"/>
      <c r="S994" s="19"/>
      <c r="T994" s="19"/>
      <c r="U994" s="19"/>
      <c r="V994" s="19"/>
      <c r="W994" s="20"/>
      <c r="X994" s="20"/>
    </row>
    <row r="995" spans="1:24" ht="15.75" hidden="1" customHeight="1" x14ac:dyDescent="0.25">
      <c r="A995" s="16"/>
      <c r="B995" s="16" t="str">
        <f t="shared" si="3"/>
        <v/>
      </c>
      <c r="C995" s="16"/>
      <c r="D995" s="16"/>
      <c r="E995" s="16"/>
      <c r="F995" s="17"/>
      <c r="G995" s="16"/>
      <c r="H995" s="16"/>
      <c r="I995" s="16"/>
      <c r="J995" s="22"/>
      <c r="K995" s="16"/>
      <c r="L995" s="16"/>
      <c r="M995" s="16"/>
      <c r="N995" s="19"/>
      <c r="O995" s="19"/>
      <c r="P995" s="19"/>
      <c r="Q995" s="19"/>
      <c r="R995" s="19"/>
      <c r="S995" s="19"/>
      <c r="T995" s="19"/>
      <c r="U995" s="19"/>
      <c r="V995" s="19"/>
      <c r="W995" s="20"/>
      <c r="X995" s="20"/>
    </row>
    <row r="996" spans="1:24" ht="15.75" hidden="1" customHeight="1" x14ac:dyDescent="0.25">
      <c r="A996" s="16"/>
      <c r="B996" s="16" t="str">
        <f t="shared" si="3"/>
        <v/>
      </c>
      <c r="C996" s="16"/>
      <c r="D996" s="16"/>
      <c r="E996" s="16"/>
      <c r="F996" s="17"/>
      <c r="G996" s="16"/>
      <c r="H996" s="16"/>
      <c r="I996" s="16"/>
      <c r="J996" s="22"/>
      <c r="K996" s="16"/>
      <c r="L996" s="16"/>
      <c r="M996" s="16"/>
      <c r="N996" s="19"/>
      <c r="O996" s="19"/>
      <c r="P996" s="19"/>
      <c r="Q996" s="19"/>
      <c r="R996" s="19"/>
      <c r="S996" s="19"/>
      <c r="T996" s="19"/>
      <c r="U996" s="19"/>
      <c r="V996" s="19"/>
      <c r="W996" s="20"/>
      <c r="X996" s="20"/>
    </row>
    <row r="997" spans="1:24" ht="15.75" hidden="1" customHeight="1" x14ac:dyDescent="0.25">
      <c r="A997" s="16"/>
      <c r="B997" s="16" t="str">
        <f t="shared" si="3"/>
        <v/>
      </c>
      <c r="C997" s="16"/>
      <c r="D997" s="16"/>
      <c r="E997" s="16"/>
      <c r="F997" s="17"/>
      <c r="G997" s="16"/>
      <c r="H997" s="16"/>
      <c r="I997" s="16"/>
      <c r="J997" s="22"/>
      <c r="K997" s="16"/>
      <c r="L997" s="16"/>
      <c r="M997" s="16"/>
      <c r="N997" s="19"/>
      <c r="O997" s="19"/>
      <c r="P997" s="19"/>
      <c r="Q997" s="19"/>
      <c r="R997" s="19"/>
      <c r="S997" s="19"/>
      <c r="T997" s="19"/>
      <c r="U997" s="19"/>
      <c r="V997" s="19"/>
      <c r="W997" s="20"/>
      <c r="X997" s="20"/>
    </row>
    <row r="998" spans="1:24" ht="15.75" hidden="1" customHeight="1" x14ac:dyDescent="0.25">
      <c r="A998" s="16"/>
      <c r="B998" s="16" t="str">
        <f t="shared" si="3"/>
        <v/>
      </c>
      <c r="C998" s="16"/>
      <c r="D998" s="16"/>
      <c r="E998" s="16"/>
      <c r="F998" s="17"/>
      <c r="G998" s="16"/>
      <c r="H998" s="16"/>
      <c r="I998" s="16"/>
      <c r="J998" s="22"/>
      <c r="K998" s="16"/>
      <c r="L998" s="16"/>
      <c r="M998" s="16"/>
      <c r="N998" s="19"/>
      <c r="O998" s="19"/>
      <c r="P998" s="19"/>
      <c r="Q998" s="19"/>
      <c r="R998" s="19"/>
      <c r="S998" s="19"/>
      <c r="T998" s="19"/>
      <c r="U998" s="19"/>
      <c r="V998" s="19"/>
      <c r="W998" s="20"/>
      <c r="X998" s="20"/>
    </row>
    <row r="999" spans="1:24" ht="15.75" hidden="1" customHeight="1" x14ac:dyDescent="0.25">
      <c r="A999" s="16"/>
      <c r="B999" s="16" t="str">
        <f t="shared" si="3"/>
        <v/>
      </c>
      <c r="C999" s="16"/>
      <c r="D999" s="16"/>
      <c r="E999" s="16"/>
      <c r="F999" s="17"/>
      <c r="G999" s="16"/>
      <c r="H999" s="16"/>
      <c r="I999" s="16"/>
      <c r="J999" s="22"/>
      <c r="K999" s="16"/>
      <c r="L999" s="16"/>
      <c r="M999" s="16"/>
      <c r="N999" s="19"/>
      <c r="O999" s="19"/>
      <c r="P999" s="19"/>
      <c r="Q999" s="19"/>
      <c r="R999" s="19"/>
      <c r="S999" s="19"/>
      <c r="T999" s="19"/>
      <c r="U999" s="19"/>
      <c r="V999" s="19"/>
      <c r="W999" s="20"/>
      <c r="X999" s="20"/>
    </row>
    <row r="1000" spans="1:24" ht="15.75" hidden="1" customHeight="1" x14ac:dyDescent="0.25">
      <c r="A1000" s="16"/>
      <c r="B1000" s="16" t="str">
        <f t="shared" si="3"/>
        <v/>
      </c>
      <c r="C1000" s="16"/>
      <c r="D1000" s="16"/>
      <c r="E1000" s="16"/>
      <c r="F1000" s="17"/>
      <c r="G1000" s="16"/>
      <c r="H1000" s="16"/>
      <c r="I1000" s="16"/>
      <c r="J1000" s="22"/>
      <c r="K1000" s="16"/>
      <c r="L1000" s="16"/>
      <c r="M1000" s="16"/>
      <c r="N1000" s="19"/>
      <c r="O1000" s="19"/>
      <c r="P1000" s="19"/>
      <c r="Q1000" s="19"/>
      <c r="R1000" s="19"/>
      <c r="S1000" s="19"/>
      <c r="T1000" s="19"/>
      <c r="U1000" s="19"/>
      <c r="V1000" s="19"/>
      <c r="W1000" s="20"/>
      <c r="X1000" s="20"/>
    </row>
    <row r="1001" spans="1:24" ht="15.75" hidden="1" customHeight="1" x14ac:dyDescent="0.25">
      <c r="A1001" s="16"/>
      <c r="B1001" s="16" t="str">
        <f t="shared" si="3"/>
        <v/>
      </c>
      <c r="C1001" s="16"/>
      <c r="D1001" s="16"/>
      <c r="E1001" s="16"/>
      <c r="F1001" s="17"/>
      <c r="G1001" s="16"/>
      <c r="H1001" s="16"/>
      <c r="I1001" s="16"/>
      <c r="J1001" s="22"/>
      <c r="K1001" s="16"/>
      <c r="L1001" s="16"/>
      <c r="M1001" s="16"/>
      <c r="N1001" s="19"/>
      <c r="O1001" s="19"/>
      <c r="P1001" s="19"/>
      <c r="Q1001" s="19"/>
      <c r="R1001" s="19"/>
      <c r="S1001" s="19"/>
      <c r="T1001" s="19"/>
      <c r="U1001" s="19"/>
      <c r="V1001" s="19"/>
      <c r="W1001" s="20"/>
      <c r="X1001" s="20"/>
    </row>
    <row r="1002" spans="1:24" ht="15.75" hidden="1" customHeight="1" x14ac:dyDescent="0.25">
      <c r="A1002" s="16"/>
      <c r="B1002" s="16" t="str">
        <f t="shared" si="3"/>
        <v/>
      </c>
      <c r="C1002" s="16"/>
      <c r="D1002" s="16"/>
      <c r="E1002" s="16"/>
      <c r="F1002" s="17"/>
      <c r="G1002" s="16"/>
      <c r="H1002" s="16"/>
      <c r="I1002" s="16"/>
      <c r="J1002" s="22"/>
      <c r="K1002" s="16"/>
      <c r="L1002" s="16"/>
      <c r="M1002" s="16"/>
      <c r="N1002" s="19"/>
      <c r="O1002" s="19"/>
      <c r="P1002" s="19"/>
      <c r="Q1002" s="19"/>
      <c r="R1002" s="19"/>
      <c r="S1002" s="19"/>
      <c r="T1002" s="19"/>
      <c r="U1002" s="19"/>
      <c r="V1002" s="19"/>
      <c r="W1002" s="20"/>
      <c r="X1002" s="20"/>
    </row>
    <row r="1003" spans="1:24" ht="15.75" hidden="1" customHeight="1" x14ac:dyDescent="0.25">
      <c r="A1003" s="16"/>
      <c r="B1003" s="16" t="str">
        <f t="shared" si="3"/>
        <v/>
      </c>
      <c r="C1003" s="16"/>
      <c r="D1003" s="16"/>
      <c r="E1003" s="16"/>
      <c r="F1003" s="17"/>
      <c r="G1003" s="16"/>
      <c r="H1003" s="16"/>
      <c r="I1003" s="16"/>
      <c r="J1003" s="22"/>
      <c r="K1003" s="16"/>
      <c r="L1003" s="16"/>
      <c r="M1003" s="16"/>
      <c r="N1003" s="19"/>
      <c r="O1003" s="19"/>
      <c r="P1003" s="19"/>
      <c r="Q1003" s="19"/>
      <c r="R1003" s="19"/>
      <c r="S1003" s="19"/>
      <c r="T1003" s="19"/>
      <c r="U1003" s="19"/>
      <c r="V1003" s="19"/>
      <c r="W1003" s="20"/>
      <c r="X1003" s="20"/>
    </row>
    <row r="1004" spans="1:24" ht="15.75" hidden="1" customHeight="1" x14ac:dyDescent="0.25">
      <c r="A1004" s="16"/>
      <c r="B1004" s="16" t="str">
        <f t="shared" si="3"/>
        <v/>
      </c>
      <c r="C1004" s="16"/>
      <c r="D1004" s="16"/>
      <c r="E1004" s="16"/>
      <c r="F1004" s="17"/>
      <c r="G1004" s="16"/>
      <c r="H1004" s="16"/>
      <c r="I1004" s="16"/>
      <c r="J1004" s="22"/>
      <c r="K1004" s="16"/>
      <c r="L1004" s="16"/>
      <c r="M1004" s="16"/>
      <c r="N1004" s="19"/>
      <c r="O1004" s="19"/>
      <c r="P1004" s="19"/>
      <c r="Q1004" s="19"/>
      <c r="R1004" s="19"/>
      <c r="S1004" s="19"/>
      <c r="T1004" s="19"/>
      <c r="U1004" s="19"/>
      <c r="V1004" s="19"/>
      <c r="W1004" s="20"/>
      <c r="X1004" s="20"/>
    </row>
    <row r="1005" spans="1:24" ht="15.75" hidden="1" customHeight="1" x14ac:dyDescent="0.25">
      <c r="A1005" s="16"/>
      <c r="B1005" s="16" t="str">
        <f t="shared" si="3"/>
        <v/>
      </c>
      <c r="C1005" s="16"/>
      <c r="D1005" s="16"/>
      <c r="E1005" s="16"/>
      <c r="F1005" s="17"/>
      <c r="G1005" s="16"/>
      <c r="H1005" s="16"/>
      <c r="I1005" s="16"/>
      <c r="J1005" s="22"/>
      <c r="K1005" s="16"/>
      <c r="L1005" s="16"/>
      <c r="M1005" s="16"/>
      <c r="N1005" s="19"/>
      <c r="O1005" s="19"/>
      <c r="P1005" s="19"/>
      <c r="Q1005" s="19"/>
      <c r="R1005" s="19"/>
      <c r="S1005" s="19"/>
      <c r="T1005" s="19"/>
      <c r="U1005" s="19"/>
      <c r="V1005" s="19"/>
      <c r="W1005" s="20"/>
      <c r="X1005" s="20"/>
    </row>
    <row r="1006" spans="1:24" ht="15.75" hidden="1" customHeight="1" x14ac:dyDescent="0.25">
      <c r="A1006" s="16"/>
      <c r="B1006" s="16" t="str">
        <f t="shared" si="3"/>
        <v/>
      </c>
      <c r="C1006" s="16"/>
      <c r="D1006" s="16"/>
      <c r="E1006" s="16"/>
      <c r="F1006" s="17"/>
      <c r="G1006" s="16"/>
      <c r="H1006" s="16"/>
      <c r="I1006" s="16"/>
      <c r="J1006" s="22"/>
      <c r="K1006" s="16"/>
      <c r="L1006" s="16"/>
      <c r="M1006" s="16"/>
      <c r="N1006" s="19"/>
      <c r="O1006" s="19"/>
      <c r="P1006" s="19"/>
      <c r="Q1006" s="19"/>
      <c r="R1006" s="19"/>
      <c r="S1006" s="19"/>
      <c r="T1006" s="19"/>
      <c r="U1006" s="19"/>
      <c r="V1006" s="19"/>
      <c r="W1006" s="20"/>
      <c r="X1006" s="20"/>
    </row>
    <row r="1007" spans="1:24" ht="15.75" hidden="1" customHeight="1" x14ac:dyDescent="0.25">
      <c r="A1007" s="16"/>
      <c r="B1007" s="16" t="str">
        <f t="shared" si="3"/>
        <v/>
      </c>
      <c r="C1007" s="16"/>
      <c r="D1007" s="16"/>
      <c r="E1007" s="16"/>
      <c r="F1007" s="17"/>
      <c r="G1007" s="16"/>
      <c r="H1007" s="16"/>
      <c r="I1007" s="16"/>
      <c r="J1007" s="22"/>
      <c r="K1007" s="16"/>
      <c r="L1007" s="16"/>
      <c r="M1007" s="16"/>
      <c r="N1007" s="19"/>
      <c r="O1007" s="19"/>
      <c r="P1007" s="19"/>
      <c r="Q1007" s="19"/>
      <c r="R1007" s="19"/>
      <c r="S1007" s="19"/>
      <c r="T1007" s="19"/>
      <c r="U1007" s="19"/>
      <c r="V1007" s="19"/>
      <c r="W1007" s="20"/>
      <c r="X1007" s="20"/>
    </row>
    <row r="1008" spans="1:24" ht="15.75" hidden="1" customHeight="1" x14ac:dyDescent="0.25">
      <c r="A1008" s="16"/>
      <c r="B1008" s="16" t="str">
        <f t="shared" si="3"/>
        <v/>
      </c>
      <c r="C1008" s="16"/>
      <c r="D1008" s="16"/>
      <c r="E1008" s="16"/>
      <c r="F1008" s="17"/>
      <c r="G1008" s="16"/>
      <c r="H1008" s="16"/>
      <c r="I1008" s="16"/>
      <c r="J1008" s="22"/>
      <c r="K1008" s="16"/>
      <c r="L1008" s="16"/>
      <c r="M1008" s="16"/>
      <c r="N1008" s="19"/>
      <c r="O1008" s="19"/>
      <c r="P1008" s="19"/>
      <c r="Q1008" s="19"/>
      <c r="R1008" s="19"/>
      <c r="S1008" s="19"/>
      <c r="T1008" s="19"/>
      <c r="U1008" s="19"/>
      <c r="V1008" s="19"/>
      <c r="W1008" s="20"/>
      <c r="X1008" s="20"/>
    </row>
    <row r="1009" spans="1:26" ht="15.75" hidden="1" customHeight="1" x14ac:dyDescent="0.25">
      <c r="A1009" s="16"/>
      <c r="B1009" s="16" t="str">
        <f t="shared" si="3"/>
        <v/>
      </c>
      <c r="C1009" s="16"/>
      <c r="D1009" s="16"/>
      <c r="E1009" s="16"/>
      <c r="F1009" s="17"/>
      <c r="G1009" s="16"/>
      <c r="H1009" s="16"/>
      <c r="I1009" s="16"/>
      <c r="J1009" s="22"/>
      <c r="K1009" s="16"/>
      <c r="L1009" s="16"/>
      <c r="M1009" s="16"/>
      <c r="N1009" s="19"/>
      <c r="O1009" s="19"/>
      <c r="P1009" s="19"/>
      <c r="Q1009" s="19"/>
      <c r="R1009" s="19"/>
      <c r="S1009" s="19"/>
      <c r="T1009" s="19"/>
      <c r="U1009" s="19"/>
      <c r="V1009" s="19"/>
      <c r="W1009" s="20"/>
      <c r="X1009" s="20"/>
    </row>
    <row r="1010" spans="1:26" ht="15.75" hidden="1" customHeight="1" x14ac:dyDescent="0.25">
      <c r="A1010" s="16"/>
      <c r="B1010" s="16" t="str">
        <f t="shared" si="3"/>
        <v/>
      </c>
      <c r="C1010" s="16"/>
      <c r="D1010" s="16"/>
      <c r="E1010" s="16"/>
      <c r="F1010" s="17"/>
      <c r="G1010" s="16"/>
      <c r="H1010" s="16"/>
      <c r="I1010" s="16"/>
      <c r="J1010" s="22"/>
      <c r="K1010" s="16"/>
      <c r="L1010" s="16"/>
      <c r="M1010" s="16"/>
      <c r="N1010" s="19"/>
      <c r="O1010" s="19"/>
      <c r="P1010" s="19"/>
      <c r="Q1010" s="19"/>
      <c r="R1010" s="19"/>
      <c r="S1010" s="19"/>
      <c r="T1010" s="19"/>
      <c r="U1010" s="19"/>
      <c r="V1010" s="19"/>
      <c r="W1010" s="20"/>
      <c r="X1010" s="20"/>
    </row>
    <row r="1011" spans="1:26" ht="15.75" hidden="1" customHeight="1" x14ac:dyDescent="0.25">
      <c r="A1011" s="16"/>
      <c r="B1011" s="16" t="str">
        <f t="shared" si="3"/>
        <v/>
      </c>
      <c r="C1011" s="16"/>
      <c r="D1011" s="16"/>
      <c r="E1011" s="16"/>
      <c r="F1011" s="17"/>
      <c r="G1011" s="16"/>
      <c r="H1011" s="16"/>
      <c r="I1011" s="16"/>
      <c r="J1011" s="22"/>
      <c r="K1011" s="16"/>
      <c r="L1011" s="16"/>
      <c r="M1011" s="16"/>
      <c r="N1011" s="19"/>
      <c r="O1011" s="19"/>
      <c r="P1011" s="19"/>
      <c r="Q1011" s="19"/>
      <c r="R1011" s="19"/>
      <c r="S1011" s="19"/>
      <c r="T1011" s="19"/>
      <c r="U1011" s="19"/>
      <c r="V1011" s="19"/>
      <c r="W1011" s="20"/>
      <c r="X1011" s="20"/>
    </row>
    <row r="1012" spans="1:26" ht="15.75" hidden="1" customHeight="1" x14ac:dyDescent="0.25">
      <c r="A1012" s="16"/>
      <c r="B1012" s="16" t="str">
        <f t="shared" si="3"/>
        <v/>
      </c>
      <c r="C1012" s="16"/>
      <c r="D1012" s="16"/>
      <c r="E1012" s="16"/>
      <c r="F1012" s="17"/>
      <c r="G1012" s="16"/>
      <c r="H1012" s="16"/>
      <c r="I1012" s="16"/>
      <c r="J1012" s="22"/>
      <c r="K1012" s="16"/>
      <c r="L1012" s="16"/>
      <c r="M1012" s="16"/>
      <c r="N1012" s="19"/>
      <c r="O1012" s="19"/>
      <c r="P1012" s="19"/>
      <c r="Q1012" s="19"/>
      <c r="R1012" s="19"/>
      <c r="S1012" s="19"/>
      <c r="T1012" s="19"/>
      <c r="U1012" s="19"/>
      <c r="V1012" s="19"/>
      <c r="W1012" s="20"/>
      <c r="X1012" s="20"/>
    </row>
    <row r="1013" spans="1:26" ht="15.75" hidden="1" customHeight="1" x14ac:dyDescent="0.25">
      <c r="A1013" s="16"/>
      <c r="B1013" s="16" t="str">
        <f t="shared" si="3"/>
        <v/>
      </c>
      <c r="C1013" s="16"/>
      <c r="D1013" s="16"/>
      <c r="E1013" s="16"/>
      <c r="F1013" s="17"/>
      <c r="G1013" s="16"/>
      <c r="H1013" s="16"/>
      <c r="I1013" s="16"/>
      <c r="J1013" s="22"/>
      <c r="K1013" s="16"/>
      <c r="L1013" s="16"/>
      <c r="M1013" s="16"/>
      <c r="N1013" s="19"/>
      <c r="O1013" s="19"/>
      <c r="P1013" s="19"/>
      <c r="Q1013" s="19"/>
      <c r="R1013" s="19"/>
      <c r="S1013" s="19"/>
      <c r="T1013" s="19"/>
      <c r="U1013" s="19"/>
      <c r="V1013" s="19"/>
      <c r="W1013" s="20"/>
      <c r="X1013" s="20"/>
    </row>
    <row r="1014" spans="1:26" ht="15.75" hidden="1" customHeight="1" x14ac:dyDescent="0.25">
      <c r="A1014" s="16"/>
      <c r="B1014" s="16" t="str">
        <f t="shared" si="3"/>
        <v/>
      </c>
      <c r="C1014" s="16"/>
      <c r="D1014" s="16"/>
      <c r="E1014" s="16"/>
      <c r="F1014" s="17"/>
      <c r="G1014" s="16"/>
      <c r="H1014" s="16"/>
      <c r="I1014" s="16"/>
      <c r="J1014" s="22"/>
      <c r="K1014" s="16"/>
      <c r="L1014" s="16"/>
      <c r="M1014" s="16"/>
      <c r="N1014" s="19"/>
      <c r="O1014" s="19"/>
      <c r="P1014" s="19"/>
      <c r="Q1014" s="19"/>
      <c r="R1014" s="19"/>
      <c r="S1014" s="19"/>
      <c r="T1014" s="19"/>
      <c r="U1014" s="19"/>
      <c r="V1014" s="19"/>
      <c r="W1014" s="20"/>
      <c r="X1014" s="20"/>
    </row>
    <row r="1015" spans="1:26" ht="15.75" hidden="1" customHeight="1" x14ac:dyDescent="0.25">
      <c r="A1015" s="16"/>
      <c r="B1015" s="16" t="str">
        <f t="shared" si="3"/>
        <v/>
      </c>
      <c r="C1015" s="16"/>
      <c r="D1015" s="16"/>
      <c r="E1015" s="16"/>
      <c r="F1015" s="17"/>
      <c r="G1015" s="16"/>
      <c r="H1015" s="16"/>
      <c r="I1015" s="16"/>
      <c r="J1015" s="22"/>
      <c r="K1015" s="16"/>
      <c r="L1015" s="16"/>
      <c r="M1015" s="16"/>
      <c r="N1015" s="19"/>
      <c r="O1015" s="19"/>
      <c r="P1015" s="19"/>
      <c r="Q1015" s="19"/>
      <c r="R1015" s="19"/>
      <c r="S1015" s="19"/>
      <c r="T1015" s="19"/>
      <c r="U1015" s="19"/>
      <c r="V1015" s="19"/>
      <c r="W1015" s="20"/>
      <c r="X1015" s="20"/>
    </row>
    <row r="1016" spans="1:26" ht="15.75" hidden="1" customHeight="1" x14ac:dyDescent="0.25">
      <c r="A1016" s="16"/>
      <c r="B1016" s="16" t="str">
        <f t="shared" si="3"/>
        <v/>
      </c>
      <c r="C1016" s="16"/>
      <c r="D1016" s="16"/>
      <c r="E1016" s="16"/>
      <c r="F1016" s="17"/>
      <c r="G1016" s="16"/>
      <c r="H1016" s="16"/>
      <c r="I1016" s="16"/>
      <c r="J1016" s="22"/>
      <c r="K1016" s="16"/>
      <c r="L1016" s="16"/>
      <c r="M1016" s="16"/>
      <c r="N1016" s="19"/>
      <c r="O1016" s="19"/>
      <c r="P1016" s="19"/>
      <c r="Q1016" s="19"/>
      <c r="R1016" s="19"/>
      <c r="S1016" s="19"/>
      <c r="T1016" s="19"/>
      <c r="U1016" s="19"/>
      <c r="V1016" s="19"/>
      <c r="W1016" s="20"/>
      <c r="X1016" s="20"/>
    </row>
    <row r="1017" spans="1:26" ht="15.75" hidden="1" customHeight="1" x14ac:dyDescent="0.25">
      <c r="A1017" s="16"/>
      <c r="B1017" s="16" t="str">
        <f t="shared" si="3"/>
        <v/>
      </c>
      <c r="C1017" s="16"/>
      <c r="D1017" s="16"/>
      <c r="E1017" s="16"/>
      <c r="F1017" s="17"/>
      <c r="G1017" s="16"/>
      <c r="H1017" s="16"/>
      <c r="I1017" s="16"/>
      <c r="J1017" s="22"/>
      <c r="K1017" s="16"/>
      <c r="L1017" s="16"/>
      <c r="M1017" s="16"/>
      <c r="N1017" s="19"/>
      <c r="O1017" s="19"/>
      <c r="P1017" s="19"/>
      <c r="Q1017" s="19"/>
      <c r="R1017" s="19"/>
      <c r="S1017" s="19"/>
      <c r="T1017" s="19"/>
      <c r="U1017" s="19"/>
      <c r="V1017" s="19"/>
      <c r="W1017" s="20"/>
      <c r="X1017" s="20"/>
    </row>
    <row r="1018" spans="1:26" ht="15.75" hidden="1" customHeight="1" x14ac:dyDescent="0.25">
      <c r="A1018" s="16"/>
      <c r="B1018" s="16" t="str">
        <f t="shared" si="3"/>
        <v/>
      </c>
      <c r="C1018" s="16"/>
      <c r="D1018" s="16"/>
      <c r="E1018" s="16"/>
      <c r="F1018" s="17"/>
      <c r="G1018" s="16"/>
      <c r="H1018" s="16"/>
      <c r="I1018" s="16"/>
      <c r="J1018" s="22"/>
      <c r="K1018" s="16"/>
      <c r="L1018" s="16"/>
      <c r="M1018" s="16"/>
      <c r="N1018" s="19"/>
      <c r="O1018" s="19"/>
      <c r="P1018" s="19"/>
      <c r="Q1018" s="19"/>
      <c r="R1018" s="19"/>
      <c r="S1018" s="19"/>
      <c r="T1018" s="19"/>
      <c r="U1018" s="19"/>
      <c r="V1018" s="19"/>
      <c r="W1018" s="20"/>
      <c r="X1018" s="20"/>
    </row>
    <row r="1019" spans="1:26" ht="15.75" hidden="1" customHeight="1" x14ac:dyDescent="0.25">
      <c r="A1019" s="16"/>
      <c r="B1019" s="16" t="str">
        <f t="shared" si="3"/>
        <v/>
      </c>
      <c r="C1019" s="16"/>
      <c r="D1019" s="16"/>
      <c r="E1019" s="16"/>
      <c r="F1019" s="17"/>
      <c r="G1019" s="16"/>
      <c r="H1019" s="16"/>
      <c r="I1019" s="16"/>
      <c r="J1019" s="22"/>
      <c r="K1019" s="16"/>
      <c r="L1019" s="16"/>
      <c r="M1019" s="16"/>
      <c r="N1019" s="19"/>
      <c r="O1019" s="19"/>
      <c r="P1019" s="19"/>
      <c r="Q1019" s="19"/>
      <c r="R1019" s="19"/>
      <c r="S1019" s="19"/>
      <c r="T1019" s="19"/>
      <c r="U1019" s="19"/>
      <c r="V1019" s="19"/>
      <c r="W1019" s="20"/>
      <c r="X1019" s="20"/>
    </row>
    <row r="1020" spans="1:26" ht="15.75" hidden="1" customHeight="1" x14ac:dyDescent="0.25">
      <c r="A1020" s="16"/>
      <c r="B1020" s="16" t="str">
        <f t="shared" si="3"/>
        <v/>
      </c>
      <c r="C1020" s="16"/>
      <c r="D1020" s="16"/>
      <c r="E1020" s="16"/>
      <c r="F1020" s="17"/>
      <c r="G1020" s="16"/>
      <c r="H1020" s="16"/>
      <c r="I1020" s="16"/>
      <c r="J1020" s="22"/>
      <c r="K1020" s="16"/>
      <c r="L1020" s="16"/>
      <c r="M1020" s="16"/>
      <c r="N1020" s="19"/>
      <c r="O1020" s="19"/>
      <c r="P1020" s="19"/>
      <c r="Q1020" s="19"/>
      <c r="R1020" s="19"/>
      <c r="S1020" s="19"/>
      <c r="T1020" s="19"/>
      <c r="U1020" s="19"/>
      <c r="V1020" s="19"/>
      <c r="W1020" s="20"/>
      <c r="X1020" s="20"/>
    </row>
    <row r="1021" spans="1:26" ht="15.75" customHeight="1" x14ac:dyDescent="0.25">
      <c r="A1021" s="23"/>
      <c r="B1021" s="23" t="str">
        <f t="shared" si="3"/>
        <v/>
      </c>
      <c r="C1021" s="23"/>
      <c r="D1021" s="23"/>
      <c r="E1021" s="23"/>
      <c r="F1021" s="24"/>
      <c r="G1021" s="23"/>
      <c r="H1021" s="23"/>
      <c r="I1021" s="23"/>
      <c r="J1021" s="25"/>
      <c r="K1021" s="23"/>
      <c r="L1021" s="23"/>
      <c r="M1021" s="23"/>
      <c r="N1021" s="26"/>
      <c r="O1021" s="26"/>
      <c r="P1021" s="26"/>
      <c r="Q1021" s="26"/>
      <c r="R1021" s="26"/>
      <c r="S1021" s="26"/>
      <c r="T1021" s="26"/>
      <c r="U1021" s="26"/>
      <c r="V1021" s="26"/>
      <c r="W1021" s="27"/>
    </row>
    <row r="1022" spans="1:26" ht="15.75" customHeight="1" x14ac:dyDescent="0.25">
      <c r="A1022" s="23"/>
      <c r="B1022" s="23" t="str">
        <f t="shared" si="3"/>
        <v/>
      </c>
      <c r="C1022" s="23"/>
      <c r="D1022" s="23"/>
      <c r="E1022" s="23"/>
      <c r="F1022" s="24"/>
      <c r="G1022" s="23"/>
      <c r="H1022" s="23"/>
      <c r="I1022" s="23"/>
      <c r="J1022" s="25"/>
      <c r="K1022" s="23"/>
      <c r="L1022" s="23"/>
      <c r="M1022" s="23"/>
      <c r="N1022" s="26"/>
      <c r="O1022" s="26"/>
      <c r="P1022" s="26"/>
      <c r="Q1022" s="26"/>
      <c r="R1022" s="26"/>
      <c r="S1022" s="26"/>
      <c r="T1022" s="26"/>
      <c r="U1022" s="26"/>
      <c r="V1022" s="26"/>
      <c r="W1022" s="27"/>
    </row>
    <row r="1023" spans="1:26" ht="23.25" customHeight="1" x14ac:dyDescent="0.25">
      <c r="A1023" s="28" t="s">
        <v>33</v>
      </c>
      <c r="B1023" s="28" t="str">
        <f t="shared" si="3"/>
        <v/>
      </c>
      <c r="C1023" s="28"/>
      <c r="D1023" s="28"/>
      <c r="E1023" s="28"/>
      <c r="F1023" s="29"/>
      <c r="G1023" s="28">
        <f ca="1">SUM(G22:G1020)</f>
        <v>75693505242</v>
      </c>
      <c r="H1023" s="28"/>
      <c r="I1023" s="28">
        <f ca="1">SUM(I22:I1020)</f>
        <v>66479686484</v>
      </c>
      <c r="J1023" s="30"/>
      <c r="K1023" s="28">
        <f t="shared" ref="K1023:W1023" ca="1" si="4">SUM(K22:K1020)</f>
        <v>7218525870</v>
      </c>
      <c r="L1023" s="28">
        <f t="shared" ca="1" si="4"/>
        <v>15164780950</v>
      </c>
      <c r="M1023" s="28">
        <f t="shared" ca="1" si="4"/>
        <v>2577763214</v>
      </c>
      <c r="N1023" s="28">
        <f t="shared" ca="1" si="4"/>
        <v>11938008580</v>
      </c>
      <c r="O1023" s="28">
        <f t="shared" ca="1" si="4"/>
        <v>6176585808</v>
      </c>
      <c r="P1023" s="28">
        <f t="shared" ca="1" si="4"/>
        <v>3838947837</v>
      </c>
      <c r="Q1023" s="28">
        <f t="shared" ca="1" si="4"/>
        <v>8834743299</v>
      </c>
      <c r="R1023" s="28">
        <f t="shared" ca="1" si="4"/>
        <v>10730330926</v>
      </c>
      <c r="S1023" s="28">
        <f t="shared" ca="1" si="4"/>
        <v>0</v>
      </c>
      <c r="T1023" s="28">
        <f t="shared" ca="1" si="4"/>
        <v>0</v>
      </c>
      <c r="U1023" s="28">
        <f t="shared" ca="1" si="4"/>
        <v>0</v>
      </c>
      <c r="V1023" s="28">
        <f t="shared" ca="1" si="4"/>
        <v>0</v>
      </c>
      <c r="W1023" s="28">
        <f t="shared" ca="1" si="4"/>
        <v>66479686484</v>
      </c>
      <c r="X1023" s="31"/>
      <c r="Y1023" s="32"/>
      <c r="Z1023" s="32"/>
    </row>
    <row r="1024" spans="1:26" ht="15.75" customHeight="1" x14ac:dyDescent="0.25">
      <c r="A1024" s="23"/>
      <c r="B1024" s="23" t="str">
        <f t="shared" si="3"/>
        <v/>
      </c>
      <c r="C1024" s="23"/>
      <c r="D1024" s="23"/>
      <c r="E1024" s="23"/>
      <c r="F1024" s="24"/>
      <c r="G1024" s="23"/>
      <c r="H1024" s="23"/>
      <c r="I1024" s="23"/>
      <c r="J1024" s="25"/>
      <c r="K1024" s="23"/>
      <c r="L1024" s="23"/>
      <c r="M1024" s="23"/>
      <c r="N1024" s="26"/>
      <c r="O1024" s="26"/>
      <c r="P1024" s="26"/>
      <c r="Q1024" s="26"/>
      <c r="R1024" s="26"/>
      <c r="S1024" s="26"/>
      <c r="T1024" s="26"/>
      <c r="U1024" s="26"/>
      <c r="V1024" s="26"/>
      <c r="W1024" s="27"/>
    </row>
    <row r="1025" spans="1:23" ht="15.75" customHeight="1" x14ac:dyDescent="0.25">
      <c r="A1025" s="23"/>
      <c r="B1025" s="23" t="str">
        <f t="shared" si="3"/>
        <v/>
      </c>
      <c r="C1025" s="33" t="s">
        <v>34</v>
      </c>
      <c r="D1025" s="23"/>
      <c r="E1025" s="23"/>
      <c r="F1025" s="24"/>
      <c r="G1025" s="23"/>
      <c r="H1025" s="23"/>
      <c r="I1025" s="23"/>
      <c r="J1025" s="25"/>
      <c r="K1025" s="23"/>
      <c r="L1025" s="23"/>
      <c r="M1025" s="23"/>
      <c r="N1025" s="26"/>
      <c r="O1025" s="26"/>
      <c r="P1025" s="26"/>
      <c r="Q1025" s="26"/>
      <c r="R1025" s="26"/>
      <c r="S1025" s="26"/>
      <c r="T1025" s="26"/>
      <c r="U1025" s="26"/>
      <c r="V1025" s="26"/>
      <c r="W1025" s="27"/>
    </row>
    <row r="1026" spans="1:23" ht="15.75" customHeight="1" x14ac:dyDescent="0.25">
      <c r="A1026" s="23"/>
      <c r="B1026" s="23" t="str">
        <f t="shared" si="3"/>
        <v/>
      </c>
      <c r="C1026" s="23"/>
      <c r="D1026" s="23"/>
      <c r="E1026" s="23"/>
      <c r="F1026" s="24"/>
      <c r="G1026" s="23"/>
      <c r="H1026" s="23"/>
      <c r="I1026" s="23"/>
      <c r="J1026" s="25"/>
      <c r="K1026" s="23"/>
      <c r="L1026" s="23"/>
      <c r="M1026" s="23"/>
      <c r="N1026" s="26"/>
      <c r="O1026" s="26"/>
      <c r="P1026" s="26"/>
      <c r="Q1026" s="26"/>
      <c r="R1026" s="26"/>
      <c r="S1026" s="26"/>
      <c r="T1026" s="26"/>
      <c r="U1026" s="26"/>
      <c r="V1026" s="26"/>
      <c r="W1026" s="27"/>
    </row>
    <row r="1027" spans="1:23" ht="15.75" customHeight="1" x14ac:dyDescent="0.25">
      <c r="A1027" s="23"/>
      <c r="B1027" s="23" t="str">
        <f t="shared" si="3"/>
        <v/>
      </c>
      <c r="C1027" s="23"/>
      <c r="D1027" s="23"/>
      <c r="E1027" s="23"/>
      <c r="F1027" s="24"/>
      <c r="G1027" s="23"/>
      <c r="H1027" s="23"/>
      <c r="I1027" s="23"/>
      <c r="J1027" s="25"/>
      <c r="K1027" s="23"/>
      <c r="L1027" s="23"/>
      <c r="M1027" s="23"/>
      <c r="N1027" s="26"/>
      <c r="O1027" s="26"/>
      <c r="P1027" s="26"/>
      <c r="Q1027" s="26"/>
      <c r="R1027" s="26"/>
      <c r="S1027" s="26"/>
      <c r="T1027" s="26"/>
      <c r="U1027" s="26"/>
      <c r="V1027" s="26"/>
      <c r="W1027" s="27"/>
    </row>
    <row r="1028" spans="1:23" ht="15.75" customHeight="1" x14ac:dyDescent="0.25">
      <c r="A1028" s="23"/>
      <c r="B1028" s="23" t="str">
        <f t="shared" si="3"/>
        <v/>
      </c>
      <c r="C1028" s="23"/>
      <c r="D1028" s="23"/>
      <c r="E1028" s="23"/>
      <c r="F1028" s="24"/>
      <c r="G1028" s="23"/>
      <c r="H1028" s="23"/>
      <c r="I1028" s="23"/>
      <c r="J1028" s="25"/>
      <c r="K1028" s="23"/>
      <c r="L1028" s="23"/>
      <c r="M1028" s="23"/>
      <c r="N1028" s="26"/>
      <c r="O1028" s="26"/>
      <c r="P1028" s="26"/>
      <c r="Q1028" s="26"/>
      <c r="R1028" s="26"/>
      <c r="S1028" s="26"/>
      <c r="T1028" s="26"/>
      <c r="U1028" s="26"/>
      <c r="V1028" s="26"/>
      <c r="W1028" s="27"/>
    </row>
    <row r="1029" spans="1:23" ht="15.75" customHeight="1" x14ac:dyDescent="0.25">
      <c r="A1029" s="23"/>
      <c r="B1029" s="23" t="str">
        <f t="shared" si="3"/>
        <v/>
      </c>
      <c r="C1029" s="23"/>
      <c r="D1029" s="23"/>
      <c r="E1029" s="23"/>
      <c r="F1029" s="24"/>
      <c r="G1029" s="23"/>
      <c r="H1029" s="23"/>
      <c r="I1029" s="23"/>
      <c r="J1029" s="25"/>
      <c r="K1029" s="23"/>
      <c r="L1029" s="23"/>
      <c r="M1029" s="23"/>
      <c r="N1029" s="26"/>
      <c r="O1029" s="26"/>
      <c r="P1029" s="26"/>
      <c r="Q1029" s="26"/>
      <c r="R1029" s="26"/>
      <c r="S1029" s="26"/>
      <c r="T1029" s="26"/>
      <c r="U1029" s="26"/>
      <c r="V1029" s="26"/>
      <c r="W1029" s="27"/>
    </row>
    <row r="1030" spans="1:23" ht="15.75" customHeight="1" x14ac:dyDescent="0.25">
      <c r="A1030" s="23"/>
      <c r="B1030" s="23" t="str">
        <f t="shared" si="3"/>
        <v/>
      </c>
      <c r="C1030" s="23"/>
      <c r="D1030" s="23"/>
      <c r="E1030" s="23"/>
      <c r="F1030" s="24"/>
      <c r="G1030" s="23"/>
      <c r="H1030" s="23"/>
      <c r="I1030" s="23"/>
      <c r="J1030" s="25"/>
      <c r="K1030" s="23"/>
      <c r="L1030" s="23"/>
      <c r="M1030" s="23"/>
      <c r="N1030" s="26"/>
      <c r="O1030" s="26"/>
      <c r="P1030" s="26"/>
      <c r="Q1030" s="26"/>
      <c r="R1030" s="26"/>
      <c r="S1030" s="26"/>
      <c r="T1030" s="26"/>
      <c r="U1030" s="26"/>
      <c r="V1030" s="26"/>
      <c r="W1030" s="27"/>
    </row>
    <row r="1031" spans="1:23" ht="15.75" customHeight="1" x14ac:dyDescent="0.25">
      <c r="A1031" s="23"/>
      <c r="B1031" s="23" t="str">
        <f t="shared" si="3"/>
        <v/>
      </c>
      <c r="C1031" s="23"/>
      <c r="D1031" s="23"/>
      <c r="E1031" s="23"/>
      <c r="F1031" s="24"/>
      <c r="G1031" s="23"/>
      <c r="H1031" s="23"/>
      <c r="I1031" s="23"/>
      <c r="J1031" s="25"/>
      <c r="K1031" s="23"/>
      <c r="L1031" s="23"/>
      <c r="M1031" s="23"/>
      <c r="N1031" s="26"/>
      <c r="O1031" s="26"/>
      <c r="P1031" s="26"/>
      <c r="Q1031" s="26"/>
      <c r="R1031" s="26"/>
      <c r="S1031" s="26"/>
      <c r="T1031" s="26"/>
      <c r="U1031" s="26"/>
      <c r="V1031" s="26"/>
      <c r="W1031" s="27"/>
    </row>
    <row r="1032" spans="1:23" ht="15.75" customHeight="1" x14ac:dyDescent="0.25">
      <c r="A1032" s="23"/>
      <c r="B1032" s="23" t="str">
        <f t="shared" si="3"/>
        <v/>
      </c>
      <c r="C1032" s="23"/>
      <c r="D1032" s="23"/>
      <c r="E1032" s="23"/>
      <c r="F1032" s="24"/>
      <c r="G1032" s="23"/>
      <c r="H1032" s="23"/>
      <c r="I1032" s="23"/>
      <c r="J1032" s="25"/>
      <c r="K1032" s="23"/>
      <c r="L1032" s="23"/>
      <c r="M1032" s="23"/>
      <c r="N1032" s="26"/>
      <c r="O1032" s="26"/>
      <c r="P1032" s="26"/>
      <c r="Q1032" s="26"/>
      <c r="R1032" s="26"/>
      <c r="S1032" s="26"/>
      <c r="T1032" s="26"/>
      <c r="U1032" s="26"/>
      <c r="V1032" s="26"/>
      <c r="W1032" s="27"/>
    </row>
    <row r="1033" spans="1:23" ht="15.75" customHeight="1" x14ac:dyDescent="0.25">
      <c r="A1033" s="23"/>
      <c r="B1033" s="23" t="str">
        <f t="shared" si="3"/>
        <v/>
      </c>
      <c r="C1033" s="23"/>
      <c r="D1033" s="23"/>
      <c r="E1033" s="23"/>
      <c r="F1033" s="24"/>
      <c r="G1033" s="23"/>
      <c r="H1033" s="23"/>
      <c r="I1033" s="23"/>
      <c r="J1033" s="25"/>
      <c r="K1033" s="23"/>
      <c r="L1033" s="23"/>
      <c r="M1033" s="23"/>
      <c r="N1033" s="26"/>
      <c r="O1033" s="26"/>
      <c r="P1033" s="26"/>
      <c r="Q1033" s="26"/>
      <c r="R1033" s="26"/>
      <c r="S1033" s="26"/>
      <c r="T1033" s="26"/>
      <c r="U1033" s="26"/>
      <c r="V1033" s="26"/>
      <c r="W1033" s="27"/>
    </row>
    <row r="1034" spans="1:23" ht="15.75" customHeight="1" x14ac:dyDescent="0.25">
      <c r="A1034" s="23"/>
      <c r="B1034" s="23" t="str">
        <f t="shared" si="3"/>
        <v/>
      </c>
      <c r="C1034" s="23"/>
      <c r="D1034" s="23"/>
      <c r="E1034" s="23"/>
      <c r="F1034" s="24"/>
      <c r="G1034" s="23"/>
      <c r="H1034" s="23"/>
      <c r="I1034" s="23"/>
      <c r="J1034" s="25"/>
      <c r="K1034" s="23"/>
      <c r="L1034" s="23"/>
      <c r="M1034" s="23"/>
      <c r="N1034" s="26"/>
      <c r="O1034" s="26"/>
      <c r="P1034" s="26"/>
      <c r="Q1034" s="26"/>
      <c r="R1034" s="26"/>
      <c r="S1034" s="26"/>
      <c r="T1034" s="26"/>
      <c r="U1034" s="26"/>
      <c r="V1034" s="26"/>
      <c r="W1034" s="27"/>
    </row>
    <row r="1035" spans="1:23" ht="15.75" customHeight="1" x14ac:dyDescent="0.25">
      <c r="A1035" s="23"/>
      <c r="B1035" s="23" t="str">
        <f t="shared" si="3"/>
        <v/>
      </c>
      <c r="C1035" s="23"/>
      <c r="D1035" s="23"/>
      <c r="E1035" s="23"/>
      <c r="F1035" s="24"/>
      <c r="G1035" s="23"/>
      <c r="H1035" s="23"/>
      <c r="I1035" s="23"/>
      <c r="J1035" s="25"/>
      <c r="K1035" s="23"/>
      <c r="L1035" s="23"/>
      <c r="M1035" s="23"/>
      <c r="N1035" s="26"/>
      <c r="O1035" s="26"/>
      <c r="P1035" s="26"/>
      <c r="Q1035" s="26"/>
      <c r="R1035" s="26"/>
      <c r="S1035" s="26"/>
      <c r="T1035" s="26"/>
      <c r="U1035" s="26"/>
      <c r="V1035" s="26"/>
      <c r="W1035" s="27"/>
    </row>
    <row r="1036" spans="1:23" ht="15.75" customHeight="1" x14ac:dyDescent="0.25">
      <c r="A1036" s="23"/>
      <c r="B1036" s="23" t="str">
        <f t="shared" si="3"/>
        <v/>
      </c>
      <c r="C1036" s="23"/>
      <c r="D1036" s="23"/>
      <c r="E1036" s="23"/>
      <c r="F1036" s="24"/>
      <c r="G1036" s="23"/>
      <c r="H1036" s="23"/>
      <c r="I1036" s="23"/>
      <c r="J1036" s="25"/>
      <c r="K1036" s="23"/>
      <c r="L1036" s="23"/>
      <c r="M1036" s="23"/>
      <c r="N1036" s="26"/>
      <c r="O1036" s="26"/>
      <c r="P1036" s="26"/>
      <c r="Q1036" s="26"/>
      <c r="R1036" s="26"/>
      <c r="S1036" s="26"/>
      <c r="T1036" s="26"/>
      <c r="U1036" s="26"/>
      <c r="V1036" s="26"/>
      <c r="W1036" s="27"/>
    </row>
    <row r="1037" spans="1:23" ht="15.75" customHeight="1" x14ac:dyDescent="0.25">
      <c r="A1037" s="23"/>
      <c r="B1037" s="23" t="str">
        <f t="shared" si="3"/>
        <v/>
      </c>
      <c r="C1037" s="23"/>
      <c r="D1037" s="23"/>
      <c r="E1037" s="23"/>
      <c r="F1037" s="24"/>
      <c r="G1037" s="23"/>
      <c r="H1037" s="23"/>
      <c r="I1037" s="23"/>
      <c r="J1037" s="25"/>
      <c r="K1037" s="23"/>
      <c r="L1037" s="23"/>
      <c r="M1037" s="23"/>
      <c r="N1037" s="26"/>
      <c r="O1037" s="26"/>
      <c r="P1037" s="26"/>
      <c r="Q1037" s="26"/>
      <c r="R1037" s="26"/>
      <c r="S1037" s="26"/>
      <c r="T1037" s="26"/>
      <c r="U1037" s="26"/>
      <c r="V1037" s="26"/>
      <c r="W1037" s="27"/>
    </row>
    <row r="1038" spans="1:23" ht="15.75" customHeight="1" x14ac:dyDescent="0.25">
      <c r="A1038" s="23"/>
      <c r="B1038" s="23" t="str">
        <f t="shared" si="3"/>
        <v/>
      </c>
      <c r="C1038" s="23"/>
      <c r="D1038" s="23"/>
      <c r="E1038" s="23"/>
      <c r="F1038" s="24"/>
      <c r="G1038" s="23"/>
      <c r="H1038" s="23"/>
      <c r="I1038" s="23"/>
      <c r="J1038" s="25"/>
      <c r="K1038" s="23"/>
      <c r="L1038" s="23"/>
      <c r="M1038" s="23"/>
      <c r="N1038" s="26"/>
      <c r="O1038" s="26"/>
      <c r="P1038" s="26"/>
      <c r="Q1038" s="26"/>
      <c r="R1038" s="26"/>
      <c r="S1038" s="26"/>
      <c r="T1038" s="26"/>
      <c r="U1038" s="26"/>
      <c r="V1038" s="26"/>
      <c r="W1038" s="27"/>
    </row>
    <row r="1039" spans="1:23" ht="15.75" customHeight="1" x14ac:dyDescent="0.25">
      <c r="A1039" s="23"/>
      <c r="B1039" s="23" t="str">
        <f t="shared" si="3"/>
        <v/>
      </c>
      <c r="C1039" s="23"/>
      <c r="D1039" s="23"/>
      <c r="E1039" s="23"/>
      <c r="F1039" s="24"/>
      <c r="G1039" s="23"/>
      <c r="H1039" s="23"/>
      <c r="I1039" s="23"/>
      <c r="J1039" s="25"/>
      <c r="K1039" s="23"/>
      <c r="L1039" s="23"/>
      <c r="M1039" s="23"/>
      <c r="N1039" s="26"/>
      <c r="O1039" s="26"/>
      <c r="P1039" s="26"/>
      <c r="Q1039" s="26"/>
      <c r="R1039" s="26"/>
      <c r="S1039" s="26"/>
      <c r="T1039" s="26"/>
      <c r="U1039" s="26"/>
      <c r="V1039" s="26"/>
      <c r="W1039" s="27"/>
    </row>
    <row r="1040" spans="1:23" ht="15.75" customHeight="1" x14ac:dyDescent="0.25">
      <c r="A1040" s="23"/>
      <c r="B1040" s="23" t="str">
        <f t="shared" ref="B1040:B1294" si="5">MID(X1040,18,30)</f>
        <v/>
      </c>
      <c r="C1040" s="23"/>
      <c r="D1040" s="23"/>
      <c r="E1040" s="23"/>
      <c r="F1040" s="24"/>
      <c r="G1040" s="23"/>
      <c r="H1040" s="23"/>
      <c r="I1040" s="23"/>
      <c r="J1040" s="25"/>
      <c r="K1040" s="23"/>
      <c r="L1040" s="23"/>
      <c r="M1040" s="23"/>
      <c r="N1040" s="26"/>
      <c r="O1040" s="26"/>
      <c r="P1040" s="26"/>
      <c r="Q1040" s="26"/>
      <c r="R1040" s="26"/>
      <c r="S1040" s="26"/>
      <c r="T1040" s="26"/>
      <c r="U1040" s="26"/>
      <c r="V1040" s="26"/>
      <c r="W1040" s="27"/>
    </row>
    <row r="1041" spans="1:23" ht="15.75" customHeight="1" x14ac:dyDescent="0.25">
      <c r="A1041" s="23"/>
      <c r="B1041" s="23" t="str">
        <f t="shared" si="5"/>
        <v/>
      </c>
      <c r="C1041" s="23"/>
      <c r="D1041" s="23"/>
      <c r="E1041" s="23"/>
      <c r="F1041" s="24"/>
      <c r="G1041" s="23"/>
      <c r="H1041" s="23"/>
      <c r="I1041" s="23"/>
      <c r="J1041" s="25"/>
      <c r="K1041" s="23"/>
      <c r="L1041" s="23"/>
      <c r="M1041" s="23"/>
      <c r="N1041" s="26"/>
      <c r="O1041" s="26"/>
      <c r="P1041" s="26"/>
      <c r="Q1041" s="26"/>
      <c r="R1041" s="26"/>
      <c r="S1041" s="26"/>
      <c r="T1041" s="26"/>
      <c r="U1041" s="26"/>
      <c r="V1041" s="26"/>
      <c r="W1041" s="27"/>
    </row>
    <row r="1042" spans="1:23" ht="15.75" customHeight="1" x14ac:dyDescent="0.25">
      <c r="A1042" s="23"/>
      <c r="B1042" s="23" t="str">
        <f t="shared" si="5"/>
        <v/>
      </c>
      <c r="C1042" s="23"/>
      <c r="D1042" s="23"/>
      <c r="E1042" s="23"/>
      <c r="F1042" s="24"/>
      <c r="G1042" s="23"/>
      <c r="H1042" s="23"/>
      <c r="I1042" s="23"/>
      <c r="J1042" s="25"/>
      <c r="K1042" s="23"/>
      <c r="L1042" s="23"/>
      <c r="M1042" s="23"/>
      <c r="N1042" s="26"/>
      <c r="O1042" s="26"/>
      <c r="P1042" s="26"/>
      <c r="Q1042" s="26"/>
      <c r="R1042" s="26"/>
      <c r="S1042" s="26"/>
      <c r="T1042" s="26"/>
      <c r="U1042" s="26"/>
      <c r="V1042" s="26"/>
      <c r="W1042" s="27"/>
    </row>
    <row r="1043" spans="1:23" ht="15.75" customHeight="1" x14ac:dyDescent="0.25">
      <c r="A1043" s="23"/>
      <c r="B1043" s="23" t="str">
        <f t="shared" si="5"/>
        <v/>
      </c>
      <c r="C1043" s="23"/>
      <c r="D1043" s="23"/>
      <c r="E1043" s="23"/>
      <c r="F1043" s="24"/>
      <c r="G1043" s="23"/>
      <c r="H1043" s="23"/>
      <c r="I1043" s="23"/>
      <c r="J1043" s="25"/>
      <c r="K1043" s="23"/>
      <c r="L1043" s="23"/>
      <c r="M1043" s="23"/>
      <c r="N1043" s="26"/>
      <c r="O1043" s="26"/>
      <c r="P1043" s="26"/>
      <c r="Q1043" s="26"/>
      <c r="R1043" s="26"/>
      <c r="S1043" s="26"/>
      <c r="T1043" s="26"/>
      <c r="U1043" s="26"/>
      <c r="V1043" s="26"/>
      <c r="W1043" s="27"/>
    </row>
    <row r="1044" spans="1:23" ht="15.75" customHeight="1" x14ac:dyDescent="0.25">
      <c r="A1044" s="23"/>
      <c r="B1044" s="23" t="str">
        <f t="shared" si="5"/>
        <v/>
      </c>
      <c r="C1044" s="23"/>
      <c r="D1044" s="23"/>
      <c r="E1044" s="23"/>
      <c r="F1044" s="24"/>
      <c r="G1044" s="23"/>
      <c r="H1044" s="23"/>
      <c r="I1044" s="23"/>
      <c r="J1044" s="25"/>
      <c r="K1044" s="23"/>
      <c r="L1044" s="23"/>
      <c r="M1044" s="23"/>
      <c r="N1044" s="26"/>
      <c r="O1044" s="26"/>
      <c r="P1044" s="26"/>
      <c r="Q1044" s="26"/>
      <c r="R1044" s="26"/>
      <c r="S1044" s="26"/>
      <c r="T1044" s="26"/>
      <c r="U1044" s="26"/>
      <c r="V1044" s="26"/>
      <c r="W1044" s="27"/>
    </row>
    <row r="1045" spans="1:23" ht="15.75" customHeight="1" x14ac:dyDescent="0.25">
      <c r="A1045" s="23"/>
      <c r="B1045" s="23" t="str">
        <f t="shared" si="5"/>
        <v/>
      </c>
      <c r="C1045" s="23"/>
      <c r="D1045" s="23"/>
      <c r="E1045" s="23"/>
      <c r="F1045" s="24"/>
      <c r="G1045" s="23"/>
      <c r="H1045" s="23"/>
      <c r="I1045" s="23"/>
      <c r="J1045" s="25"/>
      <c r="K1045" s="23"/>
      <c r="L1045" s="23"/>
      <c r="M1045" s="23"/>
      <c r="N1045" s="26"/>
      <c r="O1045" s="26"/>
      <c r="P1045" s="26"/>
      <c r="Q1045" s="26"/>
      <c r="R1045" s="26"/>
      <c r="S1045" s="26"/>
      <c r="T1045" s="26"/>
      <c r="U1045" s="26"/>
      <c r="V1045" s="26"/>
      <c r="W1045" s="27"/>
    </row>
    <row r="1046" spans="1:23" ht="15.75" customHeight="1" x14ac:dyDescent="0.25">
      <c r="A1046" s="23"/>
      <c r="B1046" s="23" t="str">
        <f t="shared" si="5"/>
        <v/>
      </c>
      <c r="C1046" s="23"/>
      <c r="D1046" s="23"/>
      <c r="E1046" s="23"/>
      <c r="F1046" s="24"/>
      <c r="G1046" s="23"/>
      <c r="H1046" s="23"/>
      <c r="I1046" s="23"/>
      <c r="J1046" s="25"/>
      <c r="K1046" s="23"/>
      <c r="L1046" s="23"/>
      <c r="M1046" s="23"/>
      <c r="N1046" s="26"/>
      <c r="O1046" s="26"/>
      <c r="P1046" s="26"/>
      <c r="Q1046" s="26"/>
      <c r="R1046" s="26"/>
      <c r="S1046" s="26"/>
      <c r="T1046" s="26"/>
      <c r="U1046" s="26"/>
      <c r="V1046" s="26"/>
      <c r="W1046" s="27"/>
    </row>
    <row r="1047" spans="1:23" ht="15.75" customHeight="1" x14ac:dyDescent="0.25">
      <c r="A1047" s="23"/>
      <c r="B1047" s="23" t="str">
        <f t="shared" si="5"/>
        <v/>
      </c>
      <c r="C1047" s="23"/>
      <c r="D1047" s="23"/>
      <c r="E1047" s="23"/>
      <c r="F1047" s="24"/>
      <c r="G1047" s="23"/>
      <c r="H1047" s="23"/>
      <c r="I1047" s="23"/>
      <c r="J1047" s="25"/>
      <c r="K1047" s="23"/>
      <c r="L1047" s="23"/>
      <c r="M1047" s="23"/>
      <c r="N1047" s="26"/>
      <c r="O1047" s="26"/>
      <c r="P1047" s="26"/>
      <c r="Q1047" s="26"/>
      <c r="R1047" s="26"/>
      <c r="S1047" s="26"/>
      <c r="T1047" s="26"/>
      <c r="U1047" s="26"/>
      <c r="V1047" s="26"/>
      <c r="W1047" s="27"/>
    </row>
    <row r="1048" spans="1:23" ht="15.75" customHeight="1" x14ac:dyDescent="0.25">
      <c r="A1048" s="23"/>
      <c r="B1048" s="23" t="str">
        <f t="shared" si="5"/>
        <v/>
      </c>
      <c r="C1048" s="23"/>
      <c r="D1048" s="23"/>
      <c r="E1048" s="23"/>
      <c r="F1048" s="24"/>
      <c r="G1048" s="23"/>
      <c r="H1048" s="23"/>
      <c r="I1048" s="23"/>
      <c r="J1048" s="25"/>
      <c r="K1048" s="23"/>
      <c r="L1048" s="23"/>
      <c r="M1048" s="23"/>
      <c r="N1048" s="26"/>
      <c r="O1048" s="26"/>
      <c r="P1048" s="26"/>
      <c r="Q1048" s="26"/>
      <c r="R1048" s="26"/>
      <c r="S1048" s="26"/>
      <c r="T1048" s="26"/>
      <c r="U1048" s="26"/>
      <c r="V1048" s="26"/>
      <c r="W1048" s="27"/>
    </row>
    <row r="1049" spans="1:23" ht="15.75" customHeight="1" x14ac:dyDescent="0.25">
      <c r="A1049" s="23"/>
      <c r="B1049" s="23" t="str">
        <f t="shared" si="5"/>
        <v/>
      </c>
      <c r="C1049" s="23"/>
      <c r="D1049" s="23"/>
      <c r="E1049" s="23"/>
      <c r="F1049" s="24"/>
      <c r="G1049" s="23"/>
      <c r="H1049" s="23"/>
      <c r="I1049" s="23"/>
      <c r="J1049" s="25"/>
      <c r="K1049" s="23"/>
      <c r="L1049" s="23"/>
      <c r="M1049" s="23"/>
      <c r="N1049" s="26"/>
      <c r="O1049" s="26"/>
      <c r="P1049" s="26"/>
      <c r="Q1049" s="26"/>
      <c r="R1049" s="26"/>
      <c r="S1049" s="26"/>
      <c r="T1049" s="26"/>
      <c r="U1049" s="26"/>
      <c r="V1049" s="26"/>
      <c r="W1049" s="27"/>
    </row>
    <row r="1050" spans="1:23" ht="15.75" customHeight="1" x14ac:dyDescent="0.25">
      <c r="A1050" s="23"/>
      <c r="B1050" s="23" t="str">
        <f t="shared" si="5"/>
        <v/>
      </c>
      <c r="C1050" s="23"/>
      <c r="D1050" s="23"/>
      <c r="E1050" s="23"/>
      <c r="F1050" s="24"/>
      <c r="G1050" s="23"/>
      <c r="H1050" s="23"/>
      <c r="I1050" s="23"/>
      <c r="J1050" s="25"/>
      <c r="K1050" s="23"/>
      <c r="L1050" s="23"/>
      <c r="M1050" s="23"/>
      <c r="N1050" s="26"/>
      <c r="O1050" s="26"/>
      <c r="P1050" s="26"/>
      <c r="Q1050" s="26"/>
      <c r="R1050" s="26"/>
      <c r="S1050" s="26"/>
      <c r="T1050" s="26"/>
      <c r="U1050" s="26"/>
      <c r="V1050" s="26"/>
      <c r="W1050" s="27"/>
    </row>
    <row r="1051" spans="1:23" ht="15.75" customHeight="1" x14ac:dyDescent="0.25">
      <c r="A1051" s="23"/>
      <c r="B1051" s="23" t="str">
        <f t="shared" si="5"/>
        <v/>
      </c>
      <c r="C1051" s="23"/>
      <c r="D1051" s="23"/>
      <c r="E1051" s="23"/>
      <c r="F1051" s="24"/>
      <c r="G1051" s="23"/>
      <c r="H1051" s="23"/>
      <c r="I1051" s="23"/>
      <c r="J1051" s="25"/>
      <c r="K1051" s="23"/>
      <c r="L1051" s="23"/>
      <c r="M1051" s="23"/>
      <c r="N1051" s="26"/>
      <c r="O1051" s="26"/>
      <c r="P1051" s="26"/>
      <c r="Q1051" s="26"/>
      <c r="R1051" s="26"/>
      <c r="S1051" s="26"/>
      <c r="T1051" s="26"/>
      <c r="U1051" s="26"/>
      <c r="V1051" s="26"/>
      <c r="W1051" s="27"/>
    </row>
    <row r="1052" spans="1:23" ht="15.75" customHeight="1" x14ac:dyDescent="0.25">
      <c r="A1052" s="23"/>
      <c r="B1052" s="23" t="str">
        <f t="shared" si="5"/>
        <v/>
      </c>
      <c r="C1052" s="23"/>
      <c r="D1052" s="23"/>
      <c r="E1052" s="23"/>
      <c r="F1052" s="24"/>
      <c r="G1052" s="23"/>
      <c r="H1052" s="23"/>
      <c r="I1052" s="23"/>
      <c r="J1052" s="25"/>
      <c r="K1052" s="23"/>
      <c r="L1052" s="23"/>
      <c r="M1052" s="23"/>
      <c r="N1052" s="26"/>
      <c r="O1052" s="26"/>
      <c r="P1052" s="26"/>
      <c r="Q1052" s="26"/>
      <c r="R1052" s="26"/>
      <c r="S1052" s="26"/>
      <c r="T1052" s="26"/>
      <c r="U1052" s="26"/>
      <c r="V1052" s="26"/>
      <c r="W1052" s="27"/>
    </row>
    <row r="1053" spans="1:23" ht="15.75" customHeight="1" x14ac:dyDescent="0.25">
      <c r="A1053" s="23"/>
      <c r="B1053" s="23" t="str">
        <f t="shared" si="5"/>
        <v/>
      </c>
      <c r="C1053" s="23"/>
      <c r="D1053" s="23"/>
      <c r="E1053" s="23"/>
      <c r="F1053" s="24"/>
      <c r="G1053" s="23"/>
      <c r="H1053" s="23"/>
      <c r="I1053" s="23"/>
      <c r="J1053" s="25"/>
      <c r="K1053" s="23"/>
      <c r="L1053" s="23"/>
      <c r="M1053" s="23"/>
      <c r="N1053" s="26"/>
      <c r="O1053" s="26"/>
      <c r="P1053" s="26"/>
      <c r="Q1053" s="26"/>
      <c r="R1053" s="26"/>
      <c r="S1053" s="26"/>
      <c r="T1053" s="26"/>
      <c r="U1053" s="26"/>
      <c r="V1053" s="26"/>
      <c r="W1053" s="27"/>
    </row>
    <row r="1054" spans="1:23" ht="15.75" customHeight="1" x14ac:dyDescent="0.25">
      <c r="A1054" s="23"/>
      <c r="B1054" s="23" t="str">
        <f t="shared" si="5"/>
        <v/>
      </c>
      <c r="C1054" s="23"/>
      <c r="D1054" s="23"/>
      <c r="E1054" s="23"/>
      <c r="F1054" s="24"/>
      <c r="G1054" s="23"/>
      <c r="H1054" s="23"/>
      <c r="I1054" s="23"/>
      <c r="J1054" s="25"/>
      <c r="K1054" s="23"/>
      <c r="L1054" s="23"/>
      <c r="M1054" s="23"/>
      <c r="N1054" s="26"/>
      <c r="O1054" s="26"/>
      <c r="P1054" s="26"/>
      <c r="Q1054" s="26"/>
      <c r="R1054" s="26"/>
      <c r="S1054" s="26"/>
      <c r="T1054" s="26"/>
      <c r="U1054" s="26"/>
      <c r="V1054" s="26"/>
      <c r="W1054" s="27"/>
    </row>
    <row r="1055" spans="1:23" ht="15.75" customHeight="1" x14ac:dyDescent="0.25">
      <c r="A1055" s="23"/>
      <c r="B1055" s="23" t="str">
        <f t="shared" si="5"/>
        <v/>
      </c>
      <c r="C1055" s="23"/>
      <c r="D1055" s="23"/>
      <c r="E1055" s="23"/>
      <c r="F1055" s="24"/>
      <c r="G1055" s="23"/>
      <c r="H1055" s="23"/>
      <c r="I1055" s="23"/>
      <c r="J1055" s="25"/>
      <c r="K1055" s="23"/>
      <c r="L1055" s="23"/>
      <c r="M1055" s="23"/>
      <c r="N1055" s="26"/>
      <c r="O1055" s="26"/>
      <c r="P1055" s="26"/>
      <c r="Q1055" s="26"/>
      <c r="R1055" s="26"/>
      <c r="S1055" s="26"/>
      <c r="T1055" s="26"/>
      <c r="U1055" s="26"/>
      <c r="V1055" s="26"/>
      <c r="W1055" s="27"/>
    </row>
    <row r="1056" spans="1:23" ht="15.75" customHeight="1" x14ac:dyDescent="0.25">
      <c r="A1056" s="23"/>
      <c r="B1056" s="23" t="str">
        <f t="shared" si="5"/>
        <v/>
      </c>
      <c r="C1056" s="23"/>
      <c r="D1056" s="23"/>
      <c r="E1056" s="23"/>
      <c r="F1056" s="24"/>
      <c r="G1056" s="23"/>
      <c r="H1056" s="23"/>
      <c r="I1056" s="23"/>
      <c r="J1056" s="25"/>
      <c r="K1056" s="23"/>
      <c r="L1056" s="23"/>
      <c r="M1056" s="23"/>
      <c r="N1056" s="26"/>
      <c r="O1056" s="26"/>
      <c r="P1056" s="26"/>
      <c r="Q1056" s="26"/>
      <c r="R1056" s="26"/>
      <c r="S1056" s="26"/>
      <c r="T1056" s="26"/>
      <c r="U1056" s="26"/>
      <c r="V1056" s="26"/>
      <c r="W1056" s="27"/>
    </row>
    <row r="1057" spans="1:23" ht="15.75" customHeight="1" x14ac:dyDescent="0.25">
      <c r="A1057" s="23"/>
      <c r="B1057" s="23" t="str">
        <f t="shared" si="5"/>
        <v/>
      </c>
      <c r="C1057" s="23"/>
      <c r="D1057" s="23"/>
      <c r="E1057" s="23"/>
      <c r="F1057" s="24"/>
      <c r="G1057" s="23"/>
      <c r="H1057" s="23"/>
      <c r="I1057" s="23"/>
      <c r="J1057" s="25"/>
      <c r="K1057" s="23"/>
      <c r="L1057" s="23"/>
      <c r="M1057" s="23"/>
      <c r="N1057" s="26"/>
      <c r="O1057" s="26"/>
      <c r="P1057" s="26"/>
      <c r="Q1057" s="26"/>
      <c r="R1057" s="26"/>
      <c r="S1057" s="26"/>
      <c r="T1057" s="26"/>
      <c r="U1057" s="26"/>
      <c r="V1057" s="26"/>
      <c r="W1057" s="27"/>
    </row>
    <row r="1058" spans="1:23" ht="15.75" customHeight="1" x14ac:dyDescent="0.25">
      <c r="A1058" s="23"/>
      <c r="B1058" s="23" t="str">
        <f t="shared" si="5"/>
        <v/>
      </c>
      <c r="C1058" s="23"/>
      <c r="D1058" s="23"/>
      <c r="E1058" s="23"/>
      <c r="F1058" s="24"/>
      <c r="G1058" s="23"/>
      <c r="H1058" s="23"/>
      <c r="I1058" s="23"/>
      <c r="J1058" s="25"/>
      <c r="K1058" s="23"/>
      <c r="L1058" s="23"/>
      <c r="M1058" s="23"/>
      <c r="N1058" s="26"/>
      <c r="O1058" s="26"/>
      <c r="P1058" s="26"/>
      <c r="Q1058" s="26"/>
      <c r="R1058" s="26"/>
      <c r="S1058" s="26"/>
      <c r="T1058" s="26"/>
      <c r="U1058" s="26"/>
      <c r="V1058" s="26"/>
      <c r="W1058" s="27"/>
    </row>
    <row r="1059" spans="1:23" ht="15.75" customHeight="1" x14ac:dyDescent="0.25">
      <c r="A1059" s="23"/>
      <c r="B1059" s="23" t="str">
        <f t="shared" si="5"/>
        <v/>
      </c>
      <c r="C1059" s="23"/>
      <c r="D1059" s="23"/>
      <c r="E1059" s="23"/>
      <c r="F1059" s="24"/>
      <c r="G1059" s="23"/>
      <c r="H1059" s="23"/>
      <c r="I1059" s="23"/>
      <c r="J1059" s="25"/>
      <c r="K1059" s="23"/>
      <c r="L1059" s="23"/>
      <c r="M1059" s="23"/>
      <c r="N1059" s="26"/>
      <c r="O1059" s="26"/>
      <c r="P1059" s="26"/>
      <c r="Q1059" s="26"/>
      <c r="R1059" s="26"/>
      <c r="S1059" s="26"/>
      <c r="T1059" s="26"/>
      <c r="U1059" s="26"/>
      <c r="V1059" s="26"/>
      <c r="W1059" s="27"/>
    </row>
    <row r="1060" spans="1:23" ht="15.75" customHeight="1" x14ac:dyDescent="0.25">
      <c r="A1060" s="23"/>
      <c r="B1060" s="23" t="str">
        <f t="shared" si="5"/>
        <v/>
      </c>
      <c r="C1060" s="23"/>
      <c r="D1060" s="23"/>
      <c r="E1060" s="23"/>
      <c r="F1060" s="24"/>
      <c r="G1060" s="23"/>
      <c r="H1060" s="23"/>
      <c r="I1060" s="23"/>
      <c r="J1060" s="25"/>
      <c r="K1060" s="23"/>
      <c r="L1060" s="23"/>
      <c r="M1060" s="23"/>
      <c r="N1060" s="26"/>
      <c r="O1060" s="26"/>
      <c r="P1060" s="26"/>
      <c r="Q1060" s="26"/>
      <c r="R1060" s="26"/>
      <c r="S1060" s="26"/>
      <c r="T1060" s="26"/>
      <c r="U1060" s="26"/>
      <c r="V1060" s="26"/>
      <c r="W1060" s="27"/>
    </row>
    <row r="1061" spans="1:23" ht="15.75" customHeight="1" x14ac:dyDescent="0.25">
      <c r="A1061" s="23"/>
      <c r="B1061" s="23" t="str">
        <f t="shared" si="5"/>
        <v/>
      </c>
      <c r="C1061" s="23"/>
      <c r="D1061" s="23"/>
      <c r="E1061" s="23"/>
      <c r="F1061" s="24"/>
      <c r="G1061" s="23"/>
      <c r="H1061" s="23"/>
      <c r="I1061" s="23"/>
      <c r="J1061" s="25"/>
      <c r="K1061" s="23"/>
      <c r="L1061" s="23"/>
      <c r="M1061" s="23"/>
      <c r="N1061" s="26"/>
      <c r="O1061" s="26"/>
      <c r="P1061" s="26"/>
      <c r="Q1061" s="26"/>
      <c r="R1061" s="26"/>
      <c r="S1061" s="26"/>
      <c r="T1061" s="26"/>
      <c r="U1061" s="26"/>
      <c r="V1061" s="26"/>
      <c r="W1061" s="27"/>
    </row>
    <row r="1062" spans="1:23" ht="15.75" customHeight="1" x14ac:dyDescent="0.25">
      <c r="A1062" s="23"/>
      <c r="B1062" s="23" t="str">
        <f t="shared" si="5"/>
        <v/>
      </c>
      <c r="C1062" s="23"/>
      <c r="D1062" s="23"/>
      <c r="E1062" s="23"/>
      <c r="F1062" s="24"/>
      <c r="G1062" s="23"/>
      <c r="H1062" s="23"/>
      <c r="I1062" s="23"/>
      <c r="J1062" s="25"/>
      <c r="K1062" s="23"/>
      <c r="L1062" s="23"/>
      <c r="M1062" s="23"/>
      <c r="N1062" s="26"/>
      <c r="O1062" s="26"/>
      <c r="P1062" s="26"/>
      <c r="Q1062" s="26"/>
      <c r="R1062" s="26"/>
      <c r="S1062" s="26"/>
      <c r="T1062" s="26"/>
      <c r="U1062" s="26"/>
      <c r="V1062" s="26"/>
      <c r="W1062" s="27"/>
    </row>
    <row r="1063" spans="1:23" ht="15.75" customHeight="1" x14ac:dyDescent="0.25">
      <c r="A1063" s="23"/>
      <c r="B1063" s="23" t="str">
        <f t="shared" si="5"/>
        <v/>
      </c>
      <c r="C1063" s="23"/>
      <c r="D1063" s="23"/>
      <c r="E1063" s="23"/>
      <c r="F1063" s="24"/>
      <c r="G1063" s="23"/>
      <c r="H1063" s="23"/>
      <c r="I1063" s="23"/>
      <c r="J1063" s="25"/>
      <c r="K1063" s="23"/>
      <c r="L1063" s="23"/>
      <c r="M1063" s="23"/>
      <c r="N1063" s="26"/>
      <c r="O1063" s="26"/>
      <c r="P1063" s="26"/>
      <c r="Q1063" s="26"/>
      <c r="R1063" s="26"/>
      <c r="S1063" s="26"/>
      <c r="T1063" s="26"/>
      <c r="U1063" s="26"/>
      <c r="V1063" s="26"/>
      <c r="W1063" s="27"/>
    </row>
    <row r="1064" spans="1:23" ht="15.75" customHeight="1" x14ac:dyDescent="0.25">
      <c r="A1064" s="23"/>
      <c r="B1064" s="23" t="str">
        <f t="shared" si="5"/>
        <v/>
      </c>
      <c r="C1064" s="23"/>
      <c r="D1064" s="23"/>
      <c r="E1064" s="23"/>
      <c r="F1064" s="24"/>
      <c r="G1064" s="23"/>
      <c r="H1064" s="23"/>
      <c r="I1064" s="23"/>
      <c r="J1064" s="25"/>
      <c r="K1064" s="23"/>
      <c r="L1064" s="23"/>
      <c r="M1064" s="23"/>
      <c r="N1064" s="26"/>
      <c r="O1064" s="26"/>
      <c r="P1064" s="26"/>
      <c r="Q1064" s="26"/>
      <c r="R1064" s="26"/>
      <c r="S1064" s="26"/>
      <c r="T1064" s="26"/>
      <c r="U1064" s="26"/>
      <c r="V1064" s="26"/>
      <c r="W1064" s="27"/>
    </row>
    <row r="1065" spans="1:23" ht="15.75" customHeight="1" x14ac:dyDescent="0.25">
      <c r="A1065" s="23"/>
      <c r="B1065" s="23" t="str">
        <f t="shared" si="5"/>
        <v/>
      </c>
      <c r="C1065" s="23"/>
      <c r="D1065" s="23"/>
      <c r="E1065" s="23"/>
      <c r="F1065" s="24"/>
      <c r="G1065" s="23"/>
      <c r="H1065" s="23"/>
      <c r="I1065" s="23"/>
      <c r="J1065" s="25"/>
      <c r="K1065" s="23"/>
      <c r="L1065" s="23"/>
      <c r="M1065" s="23"/>
      <c r="N1065" s="26"/>
      <c r="O1065" s="26"/>
      <c r="P1065" s="26"/>
      <c r="Q1065" s="26"/>
      <c r="R1065" s="26"/>
      <c r="S1065" s="26"/>
      <c r="T1065" s="26"/>
      <c r="U1065" s="26"/>
      <c r="V1065" s="26"/>
      <c r="W1065" s="27"/>
    </row>
    <row r="1066" spans="1:23" ht="15.75" customHeight="1" x14ac:dyDescent="0.25">
      <c r="A1066" s="23"/>
      <c r="B1066" s="23" t="str">
        <f t="shared" si="5"/>
        <v/>
      </c>
      <c r="C1066" s="23"/>
      <c r="D1066" s="23"/>
      <c r="E1066" s="23"/>
      <c r="F1066" s="24"/>
      <c r="G1066" s="23"/>
      <c r="H1066" s="23"/>
      <c r="I1066" s="23"/>
      <c r="J1066" s="25"/>
      <c r="K1066" s="23"/>
      <c r="L1066" s="23"/>
      <c r="M1066" s="23"/>
      <c r="N1066" s="26"/>
      <c r="O1066" s="26"/>
      <c r="P1066" s="26"/>
      <c r="Q1066" s="26"/>
      <c r="R1066" s="26"/>
      <c r="S1066" s="26"/>
      <c r="T1066" s="26"/>
      <c r="U1066" s="26"/>
      <c r="V1066" s="26"/>
      <c r="W1066" s="27"/>
    </row>
    <row r="1067" spans="1:23" ht="15.75" customHeight="1" x14ac:dyDescent="0.25">
      <c r="A1067" s="23"/>
      <c r="B1067" s="23" t="str">
        <f t="shared" si="5"/>
        <v/>
      </c>
      <c r="C1067" s="23"/>
      <c r="D1067" s="23"/>
      <c r="E1067" s="23"/>
      <c r="F1067" s="24"/>
      <c r="G1067" s="23"/>
      <c r="H1067" s="23"/>
      <c r="I1067" s="23"/>
      <c r="J1067" s="25"/>
      <c r="K1067" s="23"/>
      <c r="L1067" s="23"/>
      <c r="M1067" s="23"/>
      <c r="N1067" s="26"/>
      <c r="O1067" s="26"/>
      <c r="P1067" s="26"/>
      <c r="Q1067" s="26"/>
      <c r="R1067" s="26"/>
      <c r="S1067" s="26"/>
      <c r="T1067" s="26"/>
      <c r="U1067" s="26"/>
      <c r="V1067" s="26"/>
      <c r="W1067" s="27"/>
    </row>
    <row r="1068" spans="1:23" ht="15.75" customHeight="1" x14ac:dyDescent="0.25">
      <c r="A1068" s="23"/>
      <c r="B1068" s="23" t="str">
        <f t="shared" si="5"/>
        <v/>
      </c>
      <c r="C1068" s="23"/>
      <c r="D1068" s="23"/>
      <c r="E1068" s="23"/>
      <c r="F1068" s="24"/>
      <c r="G1068" s="23"/>
      <c r="H1068" s="23"/>
      <c r="I1068" s="23"/>
      <c r="J1068" s="25"/>
      <c r="K1068" s="23"/>
      <c r="L1068" s="23"/>
      <c r="M1068" s="23"/>
      <c r="N1068" s="26"/>
      <c r="O1068" s="26"/>
      <c r="P1068" s="26"/>
      <c r="Q1068" s="26"/>
      <c r="R1068" s="26"/>
      <c r="S1068" s="26"/>
      <c r="T1068" s="26"/>
      <c r="U1068" s="26"/>
      <c r="V1068" s="26"/>
      <c r="W1068" s="27"/>
    </row>
    <row r="1069" spans="1:23" ht="15.75" customHeight="1" x14ac:dyDescent="0.25">
      <c r="A1069" s="23"/>
      <c r="B1069" s="23" t="str">
        <f t="shared" si="5"/>
        <v/>
      </c>
      <c r="C1069" s="23"/>
      <c r="D1069" s="23"/>
      <c r="E1069" s="23"/>
      <c r="F1069" s="24"/>
      <c r="G1069" s="23"/>
      <c r="H1069" s="23"/>
      <c r="I1069" s="23"/>
      <c r="J1069" s="25"/>
      <c r="K1069" s="23"/>
      <c r="L1069" s="23"/>
      <c r="M1069" s="23"/>
      <c r="N1069" s="26"/>
      <c r="O1069" s="26"/>
      <c r="P1069" s="26"/>
      <c r="Q1069" s="26"/>
      <c r="R1069" s="26"/>
      <c r="S1069" s="26"/>
      <c r="T1069" s="26"/>
      <c r="U1069" s="26"/>
      <c r="V1069" s="26"/>
      <c r="W1069" s="27"/>
    </row>
    <row r="1070" spans="1:23" ht="15.75" customHeight="1" x14ac:dyDescent="0.25">
      <c r="A1070" s="23"/>
      <c r="B1070" s="23" t="str">
        <f t="shared" si="5"/>
        <v/>
      </c>
      <c r="C1070" s="23"/>
      <c r="D1070" s="23"/>
      <c r="E1070" s="23"/>
      <c r="F1070" s="24"/>
      <c r="G1070" s="23"/>
      <c r="H1070" s="23"/>
      <c r="I1070" s="23"/>
      <c r="J1070" s="25"/>
      <c r="K1070" s="23"/>
      <c r="L1070" s="23"/>
      <c r="M1070" s="23"/>
      <c r="N1070" s="26"/>
      <c r="O1070" s="26"/>
      <c r="P1070" s="26"/>
      <c r="Q1070" s="26"/>
      <c r="R1070" s="26"/>
      <c r="S1070" s="26"/>
      <c r="T1070" s="26"/>
      <c r="U1070" s="26"/>
      <c r="V1070" s="26"/>
      <c r="W1070" s="27"/>
    </row>
    <row r="1071" spans="1:23" ht="15.75" customHeight="1" x14ac:dyDescent="0.25">
      <c r="A1071" s="23"/>
      <c r="B1071" s="23" t="str">
        <f t="shared" si="5"/>
        <v/>
      </c>
      <c r="C1071" s="23"/>
      <c r="D1071" s="23"/>
      <c r="E1071" s="23"/>
      <c r="F1071" s="24"/>
      <c r="G1071" s="23"/>
      <c r="H1071" s="23"/>
      <c r="I1071" s="23"/>
      <c r="J1071" s="25"/>
      <c r="K1071" s="23"/>
      <c r="L1071" s="23"/>
      <c r="M1071" s="23"/>
      <c r="N1071" s="26"/>
      <c r="O1071" s="26"/>
      <c r="P1071" s="26"/>
      <c r="Q1071" s="26"/>
      <c r="R1071" s="26"/>
      <c r="S1071" s="26"/>
      <c r="T1071" s="26"/>
      <c r="U1071" s="26"/>
      <c r="V1071" s="26"/>
      <c r="W1071" s="27"/>
    </row>
    <row r="1072" spans="1:23" ht="15.75" customHeight="1" x14ac:dyDescent="0.25">
      <c r="A1072" s="23"/>
      <c r="B1072" s="23" t="str">
        <f t="shared" si="5"/>
        <v/>
      </c>
      <c r="C1072" s="23"/>
      <c r="D1072" s="23"/>
      <c r="E1072" s="23"/>
      <c r="F1072" s="24"/>
      <c r="G1072" s="23"/>
      <c r="H1072" s="23"/>
      <c r="I1072" s="23"/>
      <c r="J1072" s="25"/>
      <c r="K1072" s="23"/>
      <c r="L1072" s="23"/>
      <c r="M1072" s="23"/>
      <c r="N1072" s="26"/>
      <c r="O1072" s="26"/>
      <c r="P1072" s="26"/>
      <c r="Q1072" s="26"/>
      <c r="R1072" s="26"/>
      <c r="S1072" s="26"/>
      <c r="T1072" s="26"/>
      <c r="U1072" s="26"/>
      <c r="V1072" s="26"/>
      <c r="W1072" s="27"/>
    </row>
    <row r="1073" spans="1:23" ht="15.75" customHeight="1" x14ac:dyDescent="0.25">
      <c r="A1073" s="23"/>
      <c r="B1073" s="23" t="str">
        <f t="shared" si="5"/>
        <v/>
      </c>
      <c r="C1073" s="23"/>
      <c r="D1073" s="23"/>
      <c r="E1073" s="23"/>
      <c r="F1073" s="24"/>
      <c r="G1073" s="23"/>
      <c r="H1073" s="23"/>
      <c r="I1073" s="23"/>
      <c r="J1073" s="25"/>
      <c r="K1073" s="23"/>
      <c r="L1073" s="23"/>
      <c r="M1073" s="23"/>
      <c r="N1073" s="26"/>
      <c r="O1073" s="26"/>
      <c r="P1073" s="26"/>
      <c r="Q1073" s="26"/>
      <c r="R1073" s="26"/>
      <c r="S1073" s="26"/>
      <c r="T1073" s="26"/>
      <c r="U1073" s="26"/>
      <c r="V1073" s="26"/>
      <c r="W1073" s="27"/>
    </row>
    <row r="1074" spans="1:23" ht="15.75" customHeight="1" x14ac:dyDescent="0.25">
      <c r="A1074" s="23"/>
      <c r="B1074" s="23" t="str">
        <f t="shared" si="5"/>
        <v/>
      </c>
      <c r="C1074" s="23"/>
      <c r="D1074" s="23"/>
      <c r="E1074" s="23"/>
      <c r="F1074" s="24"/>
      <c r="G1074" s="23"/>
      <c r="H1074" s="23"/>
      <c r="I1074" s="23"/>
      <c r="J1074" s="25"/>
      <c r="K1074" s="23"/>
      <c r="L1074" s="23"/>
      <c r="M1074" s="23"/>
      <c r="N1074" s="26"/>
      <c r="O1074" s="26"/>
      <c r="P1074" s="26"/>
      <c r="Q1074" s="26"/>
      <c r="R1074" s="26"/>
      <c r="S1074" s="26"/>
      <c r="T1074" s="26"/>
      <c r="U1074" s="26"/>
      <c r="V1074" s="26"/>
      <c r="W1074" s="27"/>
    </row>
    <row r="1075" spans="1:23" ht="15.75" customHeight="1" x14ac:dyDescent="0.25">
      <c r="A1075" s="23"/>
      <c r="B1075" s="23" t="str">
        <f t="shared" si="5"/>
        <v/>
      </c>
      <c r="C1075" s="23"/>
      <c r="D1075" s="23"/>
      <c r="E1075" s="23"/>
      <c r="F1075" s="24"/>
      <c r="G1075" s="23"/>
      <c r="H1075" s="23"/>
      <c r="I1075" s="23"/>
      <c r="J1075" s="25"/>
      <c r="K1075" s="23"/>
      <c r="L1075" s="23"/>
      <c r="M1075" s="23"/>
      <c r="N1075" s="26"/>
      <c r="O1075" s="26"/>
      <c r="P1075" s="26"/>
      <c r="Q1075" s="26"/>
      <c r="R1075" s="26"/>
      <c r="S1075" s="26"/>
      <c r="T1075" s="26"/>
      <c r="U1075" s="26"/>
      <c r="V1075" s="26"/>
      <c r="W1075" s="27"/>
    </row>
    <row r="1076" spans="1:23" ht="15.75" customHeight="1" x14ac:dyDescent="0.25">
      <c r="A1076" s="23"/>
      <c r="B1076" s="23" t="str">
        <f t="shared" si="5"/>
        <v/>
      </c>
      <c r="C1076" s="23"/>
      <c r="D1076" s="23"/>
      <c r="E1076" s="23"/>
      <c r="F1076" s="24"/>
      <c r="G1076" s="23"/>
      <c r="H1076" s="23"/>
      <c r="I1076" s="23"/>
      <c r="J1076" s="25"/>
      <c r="K1076" s="23"/>
      <c r="L1076" s="23"/>
      <c r="M1076" s="23"/>
      <c r="N1076" s="26"/>
      <c r="O1076" s="26"/>
      <c r="P1076" s="26"/>
      <c r="Q1076" s="26"/>
      <c r="R1076" s="26"/>
      <c r="S1076" s="26"/>
      <c r="T1076" s="26"/>
      <c r="U1076" s="26"/>
      <c r="V1076" s="26"/>
      <c r="W1076" s="27"/>
    </row>
    <row r="1077" spans="1:23" ht="15.75" customHeight="1" x14ac:dyDescent="0.25">
      <c r="A1077" s="23"/>
      <c r="B1077" s="23" t="str">
        <f t="shared" si="5"/>
        <v/>
      </c>
      <c r="C1077" s="23"/>
      <c r="D1077" s="23"/>
      <c r="E1077" s="23"/>
      <c r="F1077" s="24"/>
      <c r="G1077" s="23"/>
      <c r="H1077" s="23"/>
      <c r="I1077" s="23"/>
      <c r="J1077" s="25"/>
      <c r="K1077" s="23"/>
      <c r="L1077" s="23"/>
      <c r="M1077" s="23"/>
      <c r="N1077" s="26"/>
      <c r="O1077" s="26"/>
      <c r="P1077" s="26"/>
      <c r="Q1077" s="26"/>
      <c r="R1077" s="26"/>
      <c r="S1077" s="26"/>
      <c r="T1077" s="26"/>
      <c r="U1077" s="26"/>
      <c r="V1077" s="26"/>
      <c r="W1077" s="27"/>
    </row>
    <row r="1078" spans="1:23" ht="15.75" customHeight="1" x14ac:dyDescent="0.25">
      <c r="A1078" s="23"/>
      <c r="B1078" s="23" t="str">
        <f t="shared" si="5"/>
        <v/>
      </c>
      <c r="C1078" s="23"/>
      <c r="D1078" s="23"/>
      <c r="E1078" s="23"/>
      <c r="F1078" s="24"/>
      <c r="G1078" s="23"/>
      <c r="H1078" s="23"/>
      <c r="I1078" s="23"/>
      <c r="J1078" s="25"/>
      <c r="K1078" s="23"/>
      <c r="L1078" s="23"/>
      <c r="M1078" s="23"/>
      <c r="N1078" s="26"/>
      <c r="O1078" s="26"/>
      <c r="P1078" s="26"/>
      <c r="Q1078" s="26"/>
      <c r="R1078" s="26"/>
      <c r="S1078" s="26"/>
      <c r="T1078" s="26"/>
      <c r="U1078" s="26"/>
      <c r="V1078" s="26"/>
      <c r="W1078" s="27"/>
    </row>
    <row r="1079" spans="1:23" ht="15.75" customHeight="1" x14ac:dyDescent="0.25">
      <c r="A1079" s="23"/>
      <c r="B1079" s="23" t="str">
        <f t="shared" si="5"/>
        <v/>
      </c>
      <c r="C1079" s="23"/>
      <c r="D1079" s="23"/>
      <c r="E1079" s="23"/>
      <c r="F1079" s="24"/>
      <c r="G1079" s="23"/>
      <c r="H1079" s="23"/>
      <c r="I1079" s="23"/>
      <c r="J1079" s="25"/>
      <c r="K1079" s="23"/>
      <c r="L1079" s="23"/>
      <c r="M1079" s="23"/>
      <c r="N1079" s="26"/>
      <c r="O1079" s="26"/>
      <c r="P1079" s="26"/>
      <c r="Q1079" s="26"/>
      <c r="R1079" s="26"/>
      <c r="S1079" s="26"/>
      <c r="T1079" s="26"/>
      <c r="U1079" s="26"/>
      <c r="V1079" s="26"/>
      <c r="W1079" s="27"/>
    </row>
    <row r="1080" spans="1:23" ht="15.75" customHeight="1" x14ac:dyDescent="0.25">
      <c r="A1080" s="23"/>
      <c r="B1080" s="23" t="str">
        <f t="shared" si="5"/>
        <v/>
      </c>
      <c r="C1080" s="23"/>
      <c r="D1080" s="23"/>
      <c r="E1080" s="23"/>
      <c r="F1080" s="24"/>
      <c r="G1080" s="23"/>
      <c r="H1080" s="23"/>
      <c r="I1080" s="23"/>
      <c r="J1080" s="25"/>
      <c r="K1080" s="23"/>
      <c r="L1080" s="23"/>
      <c r="M1080" s="23"/>
      <c r="N1080" s="26"/>
      <c r="O1080" s="26"/>
      <c r="P1080" s="26"/>
      <c r="Q1080" s="26"/>
      <c r="R1080" s="26"/>
      <c r="S1080" s="26"/>
      <c r="T1080" s="26"/>
      <c r="U1080" s="26"/>
      <c r="V1080" s="26"/>
      <c r="W1080" s="27"/>
    </row>
    <row r="1081" spans="1:23" ht="15.75" customHeight="1" x14ac:dyDescent="0.25">
      <c r="A1081" s="23"/>
      <c r="B1081" s="23" t="str">
        <f t="shared" si="5"/>
        <v/>
      </c>
      <c r="C1081" s="23"/>
      <c r="D1081" s="23"/>
      <c r="E1081" s="23"/>
      <c r="F1081" s="24"/>
      <c r="G1081" s="23"/>
      <c r="H1081" s="23"/>
      <c r="I1081" s="23"/>
      <c r="J1081" s="25"/>
      <c r="K1081" s="23"/>
      <c r="L1081" s="23"/>
      <c r="M1081" s="23"/>
      <c r="N1081" s="26"/>
      <c r="O1081" s="26"/>
      <c r="P1081" s="26"/>
      <c r="Q1081" s="26"/>
      <c r="R1081" s="26"/>
      <c r="S1081" s="26"/>
      <c r="T1081" s="26"/>
      <c r="U1081" s="26"/>
      <c r="V1081" s="26"/>
      <c r="W1081" s="27"/>
    </row>
    <row r="1082" spans="1:23" ht="15.75" customHeight="1" x14ac:dyDescent="0.25">
      <c r="A1082" s="23"/>
      <c r="B1082" s="23" t="str">
        <f t="shared" si="5"/>
        <v/>
      </c>
      <c r="C1082" s="23"/>
      <c r="D1082" s="23"/>
      <c r="E1082" s="23"/>
      <c r="F1082" s="24"/>
      <c r="G1082" s="23"/>
      <c r="H1082" s="23"/>
      <c r="I1082" s="23"/>
      <c r="J1082" s="25"/>
      <c r="K1082" s="23"/>
      <c r="L1082" s="23"/>
      <c r="M1082" s="23"/>
      <c r="N1082" s="26"/>
      <c r="O1082" s="26"/>
      <c r="P1082" s="26"/>
      <c r="Q1082" s="26"/>
      <c r="R1082" s="26"/>
      <c r="S1082" s="26"/>
      <c r="T1082" s="26"/>
      <c r="U1082" s="26"/>
      <c r="V1082" s="26"/>
      <c r="W1082" s="27"/>
    </row>
    <row r="1083" spans="1:23" ht="15.75" customHeight="1" x14ac:dyDescent="0.25">
      <c r="A1083" s="23"/>
      <c r="B1083" s="23" t="str">
        <f t="shared" si="5"/>
        <v/>
      </c>
      <c r="C1083" s="23"/>
      <c r="D1083" s="23"/>
      <c r="E1083" s="23"/>
      <c r="F1083" s="24"/>
      <c r="G1083" s="23"/>
      <c r="H1083" s="23"/>
      <c r="I1083" s="23"/>
      <c r="J1083" s="25"/>
      <c r="K1083" s="23"/>
      <c r="L1083" s="23"/>
      <c r="M1083" s="23"/>
      <c r="N1083" s="26"/>
      <c r="O1083" s="26"/>
      <c r="P1083" s="26"/>
      <c r="Q1083" s="26"/>
      <c r="R1083" s="26"/>
      <c r="S1083" s="26"/>
      <c r="T1083" s="26"/>
      <c r="U1083" s="26"/>
      <c r="V1083" s="26"/>
      <c r="W1083" s="27"/>
    </row>
    <row r="1084" spans="1:23" ht="15.75" customHeight="1" x14ac:dyDescent="0.25">
      <c r="A1084" s="23"/>
      <c r="B1084" s="23" t="str">
        <f t="shared" si="5"/>
        <v/>
      </c>
      <c r="C1084" s="23"/>
      <c r="D1084" s="23"/>
      <c r="E1084" s="23"/>
      <c r="F1084" s="24"/>
      <c r="G1084" s="23"/>
      <c r="H1084" s="23"/>
      <c r="I1084" s="23"/>
      <c r="J1084" s="25"/>
      <c r="K1084" s="23"/>
      <c r="L1084" s="23"/>
      <c r="M1084" s="23"/>
      <c r="N1084" s="26"/>
      <c r="O1084" s="26"/>
      <c r="P1084" s="26"/>
      <c r="Q1084" s="26"/>
      <c r="R1084" s="26"/>
      <c r="S1084" s="26"/>
      <c r="T1084" s="26"/>
      <c r="U1084" s="26"/>
      <c r="V1084" s="26"/>
      <c r="W1084" s="27"/>
    </row>
    <row r="1085" spans="1:23" ht="15.75" customHeight="1" x14ac:dyDescent="0.25">
      <c r="A1085" s="23"/>
      <c r="B1085" s="23" t="str">
        <f t="shared" si="5"/>
        <v/>
      </c>
      <c r="C1085" s="23"/>
      <c r="D1085" s="23"/>
      <c r="E1085" s="23"/>
      <c r="F1085" s="24"/>
      <c r="G1085" s="23"/>
      <c r="H1085" s="23"/>
      <c r="I1085" s="23"/>
      <c r="J1085" s="25"/>
      <c r="K1085" s="23"/>
      <c r="L1085" s="23"/>
      <c r="M1085" s="23"/>
      <c r="N1085" s="26"/>
      <c r="O1085" s="26"/>
      <c r="P1085" s="26"/>
      <c r="Q1085" s="26"/>
      <c r="R1085" s="26"/>
      <c r="S1085" s="26"/>
      <c r="T1085" s="26"/>
      <c r="U1085" s="26"/>
      <c r="V1085" s="26"/>
      <c r="W1085" s="27"/>
    </row>
    <row r="1086" spans="1:23" ht="15.75" customHeight="1" x14ac:dyDescent="0.25">
      <c r="A1086" s="23"/>
      <c r="B1086" s="23" t="str">
        <f t="shared" si="5"/>
        <v/>
      </c>
      <c r="C1086" s="23"/>
      <c r="D1086" s="23"/>
      <c r="E1086" s="23"/>
      <c r="F1086" s="24"/>
      <c r="G1086" s="23"/>
      <c r="H1086" s="23"/>
      <c r="I1086" s="23"/>
      <c r="J1086" s="25"/>
      <c r="K1086" s="23"/>
      <c r="L1086" s="23"/>
      <c r="M1086" s="23"/>
      <c r="N1086" s="26"/>
      <c r="O1086" s="26"/>
      <c r="P1086" s="26"/>
      <c r="Q1086" s="26"/>
      <c r="R1086" s="26"/>
      <c r="S1086" s="26"/>
      <c r="T1086" s="26"/>
      <c r="U1086" s="26"/>
      <c r="V1086" s="26"/>
      <c r="W1086" s="27"/>
    </row>
    <row r="1087" spans="1:23" ht="15.75" customHeight="1" x14ac:dyDescent="0.25">
      <c r="A1087" s="23"/>
      <c r="B1087" s="23" t="str">
        <f t="shared" si="5"/>
        <v/>
      </c>
      <c r="C1087" s="23"/>
      <c r="D1087" s="23"/>
      <c r="E1087" s="23"/>
      <c r="F1087" s="24"/>
      <c r="G1087" s="23"/>
      <c r="H1087" s="23"/>
      <c r="I1087" s="23"/>
      <c r="J1087" s="25"/>
      <c r="K1087" s="23"/>
      <c r="L1087" s="23"/>
      <c r="M1087" s="23"/>
      <c r="N1087" s="26"/>
      <c r="O1087" s="26"/>
      <c r="P1087" s="26"/>
      <c r="Q1087" s="26"/>
      <c r="R1087" s="26"/>
      <c r="S1087" s="26"/>
      <c r="T1087" s="26"/>
      <c r="U1087" s="26"/>
      <c r="V1087" s="26"/>
      <c r="W1087" s="27"/>
    </row>
    <row r="1088" spans="1:23" ht="15.75" customHeight="1" x14ac:dyDescent="0.25">
      <c r="A1088" s="23"/>
      <c r="B1088" s="23" t="str">
        <f t="shared" si="5"/>
        <v/>
      </c>
      <c r="C1088" s="23"/>
      <c r="D1088" s="23"/>
      <c r="E1088" s="23"/>
      <c r="F1088" s="24"/>
      <c r="G1088" s="23"/>
      <c r="H1088" s="23"/>
      <c r="I1088" s="23"/>
      <c r="J1088" s="25"/>
      <c r="K1088" s="23"/>
      <c r="L1088" s="23"/>
      <c r="M1088" s="23"/>
      <c r="N1088" s="26"/>
      <c r="O1088" s="26"/>
      <c r="P1088" s="26"/>
      <c r="Q1088" s="26"/>
      <c r="R1088" s="26"/>
      <c r="S1088" s="26"/>
      <c r="T1088" s="26"/>
      <c r="U1088" s="26"/>
      <c r="V1088" s="26"/>
      <c r="W1088" s="27"/>
    </row>
    <row r="1089" spans="1:23" ht="15.75" customHeight="1" x14ac:dyDescent="0.25">
      <c r="A1089" s="23"/>
      <c r="B1089" s="23" t="str">
        <f t="shared" si="5"/>
        <v/>
      </c>
      <c r="C1089" s="23"/>
      <c r="D1089" s="23"/>
      <c r="E1089" s="23"/>
      <c r="F1089" s="24"/>
      <c r="G1089" s="23"/>
      <c r="H1089" s="23"/>
      <c r="I1089" s="23"/>
      <c r="J1089" s="25"/>
      <c r="K1089" s="23"/>
      <c r="L1089" s="23"/>
      <c r="M1089" s="23"/>
      <c r="N1089" s="26"/>
      <c r="O1089" s="26"/>
      <c r="P1089" s="26"/>
      <c r="Q1089" s="26"/>
      <c r="R1089" s="26"/>
      <c r="S1089" s="26"/>
      <c r="T1089" s="26"/>
      <c r="U1089" s="26"/>
      <c r="V1089" s="26"/>
      <c r="W1089" s="27"/>
    </row>
    <row r="1090" spans="1:23" ht="15.75" customHeight="1" x14ac:dyDescent="0.25">
      <c r="A1090" s="23"/>
      <c r="B1090" s="23" t="str">
        <f t="shared" si="5"/>
        <v/>
      </c>
      <c r="C1090" s="23"/>
      <c r="D1090" s="23"/>
      <c r="E1090" s="23"/>
      <c r="F1090" s="24"/>
      <c r="G1090" s="23"/>
      <c r="H1090" s="23"/>
      <c r="I1090" s="23"/>
      <c r="J1090" s="25"/>
      <c r="K1090" s="23"/>
      <c r="L1090" s="23"/>
      <c r="M1090" s="23"/>
      <c r="N1090" s="26"/>
      <c r="O1090" s="26"/>
      <c r="P1090" s="26"/>
      <c r="Q1090" s="26"/>
      <c r="R1090" s="26"/>
      <c r="S1090" s="26"/>
      <c r="T1090" s="26"/>
      <c r="U1090" s="26"/>
      <c r="V1090" s="26"/>
      <c r="W1090" s="27"/>
    </row>
    <row r="1091" spans="1:23" ht="15.75" customHeight="1" x14ac:dyDescent="0.25">
      <c r="A1091" s="23"/>
      <c r="B1091" s="23" t="str">
        <f t="shared" si="5"/>
        <v/>
      </c>
      <c r="C1091" s="23"/>
      <c r="D1091" s="23"/>
      <c r="E1091" s="23"/>
      <c r="F1091" s="24"/>
      <c r="G1091" s="23"/>
      <c r="H1091" s="23"/>
      <c r="I1091" s="23"/>
      <c r="J1091" s="25"/>
      <c r="K1091" s="23"/>
      <c r="L1091" s="23"/>
      <c r="M1091" s="23"/>
      <c r="N1091" s="26"/>
      <c r="O1091" s="26"/>
      <c r="P1091" s="26"/>
      <c r="Q1091" s="26"/>
      <c r="R1091" s="26"/>
      <c r="S1091" s="26"/>
      <c r="T1091" s="26"/>
      <c r="U1091" s="26"/>
      <c r="V1091" s="26"/>
      <c r="W1091" s="27"/>
    </row>
    <row r="1092" spans="1:23" ht="15.75" customHeight="1" x14ac:dyDescent="0.25">
      <c r="A1092" s="23"/>
      <c r="B1092" s="23" t="str">
        <f t="shared" si="5"/>
        <v/>
      </c>
      <c r="C1092" s="23"/>
      <c r="D1092" s="23"/>
      <c r="E1092" s="23"/>
      <c r="F1092" s="24"/>
      <c r="G1092" s="23"/>
      <c r="H1092" s="23"/>
      <c r="I1092" s="23"/>
      <c r="J1092" s="25"/>
      <c r="K1092" s="23"/>
      <c r="L1092" s="23"/>
      <c r="M1092" s="23"/>
      <c r="N1092" s="26"/>
      <c r="O1092" s="26"/>
      <c r="P1092" s="26"/>
      <c r="Q1092" s="26"/>
      <c r="R1092" s="26"/>
      <c r="S1092" s="26"/>
      <c r="T1092" s="26"/>
      <c r="U1092" s="26"/>
      <c r="V1092" s="26"/>
      <c r="W1092" s="27"/>
    </row>
    <row r="1093" spans="1:23" ht="15.75" customHeight="1" x14ac:dyDescent="0.25">
      <c r="A1093" s="23"/>
      <c r="B1093" s="23" t="str">
        <f t="shared" si="5"/>
        <v/>
      </c>
      <c r="C1093" s="23"/>
      <c r="D1093" s="23"/>
      <c r="E1093" s="23"/>
      <c r="F1093" s="24"/>
      <c r="G1093" s="23"/>
      <c r="H1093" s="23"/>
      <c r="I1093" s="23"/>
      <c r="J1093" s="25"/>
      <c r="K1093" s="23"/>
      <c r="L1093" s="23"/>
      <c r="M1093" s="23"/>
      <c r="N1093" s="26"/>
      <c r="O1093" s="26"/>
      <c r="P1093" s="26"/>
      <c r="Q1093" s="26"/>
      <c r="R1093" s="26"/>
      <c r="S1093" s="26"/>
      <c r="T1093" s="26"/>
      <c r="U1093" s="26"/>
      <c r="V1093" s="26"/>
      <c r="W1093" s="27"/>
    </row>
    <row r="1094" spans="1:23" ht="15.75" customHeight="1" x14ac:dyDescent="0.25">
      <c r="A1094" s="23"/>
      <c r="B1094" s="23" t="str">
        <f t="shared" si="5"/>
        <v/>
      </c>
      <c r="C1094" s="23"/>
      <c r="D1094" s="23"/>
      <c r="E1094" s="23"/>
      <c r="F1094" s="24"/>
      <c r="G1094" s="23"/>
      <c r="H1094" s="23"/>
      <c r="I1094" s="23"/>
      <c r="J1094" s="25"/>
      <c r="K1094" s="23"/>
      <c r="L1094" s="23"/>
      <c r="M1094" s="23"/>
      <c r="N1094" s="26"/>
      <c r="O1094" s="26"/>
      <c r="P1094" s="26"/>
      <c r="Q1094" s="26"/>
      <c r="R1094" s="26"/>
      <c r="S1094" s="26"/>
      <c r="T1094" s="26"/>
      <c r="U1094" s="26"/>
      <c r="V1094" s="26"/>
      <c r="W1094" s="27"/>
    </row>
    <row r="1095" spans="1:23" ht="15.75" customHeight="1" x14ac:dyDescent="0.25">
      <c r="A1095" s="23"/>
      <c r="B1095" s="23" t="str">
        <f t="shared" si="5"/>
        <v/>
      </c>
      <c r="C1095" s="23"/>
      <c r="D1095" s="23"/>
      <c r="E1095" s="23"/>
      <c r="F1095" s="24"/>
      <c r="G1095" s="23"/>
      <c r="H1095" s="23"/>
      <c r="I1095" s="23"/>
      <c r="J1095" s="25"/>
      <c r="K1095" s="23"/>
      <c r="L1095" s="23"/>
      <c r="M1095" s="23"/>
      <c r="N1095" s="26"/>
      <c r="O1095" s="26"/>
      <c r="P1095" s="26"/>
      <c r="Q1095" s="26"/>
      <c r="R1095" s="26"/>
      <c r="S1095" s="26"/>
      <c r="T1095" s="26"/>
      <c r="U1095" s="26"/>
      <c r="V1095" s="26"/>
      <c r="W1095" s="27"/>
    </row>
    <row r="1096" spans="1:23" ht="15.75" customHeight="1" x14ac:dyDescent="0.25">
      <c r="A1096" s="23"/>
      <c r="B1096" s="23" t="str">
        <f t="shared" si="5"/>
        <v/>
      </c>
      <c r="C1096" s="23"/>
      <c r="D1096" s="23"/>
      <c r="E1096" s="23"/>
      <c r="F1096" s="24"/>
      <c r="G1096" s="23"/>
      <c r="H1096" s="23"/>
      <c r="I1096" s="23"/>
      <c r="J1096" s="25"/>
      <c r="K1096" s="23"/>
      <c r="L1096" s="23"/>
      <c r="M1096" s="23"/>
      <c r="N1096" s="26"/>
      <c r="O1096" s="26"/>
      <c r="P1096" s="26"/>
      <c r="Q1096" s="26"/>
      <c r="R1096" s="26"/>
      <c r="S1096" s="26"/>
      <c r="T1096" s="26"/>
      <c r="U1096" s="26"/>
      <c r="V1096" s="26"/>
      <c r="W1096" s="27"/>
    </row>
    <row r="1097" spans="1:23" ht="15.75" customHeight="1" x14ac:dyDescent="0.25">
      <c r="A1097" s="23"/>
      <c r="B1097" s="23" t="str">
        <f t="shared" si="5"/>
        <v/>
      </c>
      <c r="C1097" s="23"/>
      <c r="D1097" s="23"/>
      <c r="E1097" s="23"/>
      <c r="F1097" s="24"/>
      <c r="G1097" s="23"/>
      <c r="H1097" s="23"/>
      <c r="I1097" s="23"/>
      <c r="J1097" s="25"/>
      <c r="K1097" s="23"/>
      <c r="L1097" s="23"/>
      <c r="M1097" s="23"/>
      <c r="N1097" s="26"/>
      <c r="O1097" s="26"/>
      <c r="P1097" s="26"/>
      <c r="Q1097" s="26"/>
      <c r="R1097" s="26"/>
      <c r="S1097" s="26"/>
      <c r="T1097" s="26"/>
      <c r="U1097" s="26"/>
      <c r="V1097" s="26"/>
      <c r="W1097" s="27"/>
    </row>
    <row r="1098" spans="1:23" ht="15.75" customHeight="1" x14ac:dyDescent="0.25">
      <c r="A1098" s="23"/>
      <c r="B1098" s="23" t="str">
        <f t="shared" si="5"/>
        <v/>
      </c>
      <c r="C1098" s="23"/>
      <c r="D1098" s="23"/>
      <c r="E1098" s="23"/>
      <c r="F1098" s="24"/>
      <c r="G1098" s="23"/>
      <c r="H1098" s="23"/>
      <c r="I1098" s="23"/>
      <c r="J1098" s="25"/>
      <c r="K1098" s="23"/>
      <c r="L1098" s="23"/>
      <c r="M1098" s="23"/>
      <c r="N1098" s="26"/>
      <c r="O1098" s="26"/>
      <c r="P1098" s="26"/>
      <c r="Q1098" s="26"/>
      <c r="R1098" s="26"/>
      <c r="S1098" s="26"/>
      <c r="T1098" s="26"/>
      <c r="U1098" s="26"/>
      <c r="V1098" s="26"/>
      <c r="W1098" s="27"/>
    </row>
    <row r="1099" spans="1:23" ht="15.75" customHeight="1" x14ac:dyDescent="0.25">
      <c r="A1099" s="23"/>
      <c r="B1099" s="23" t="str">
        <f t="shared" si="5"/>
        <v/>
      </c>
      <c r="C1099" s="23"/>
      <c r="D1099" s="23"/>
      <c r="E1099" s="23"/>
      <c r="F1099" s="24"/>
      <c r="G1099" s="23"/>
      <c r="H1099" s="23"/>
      <c r="I1099" s="23"/>
      <c r="J1099" s="25"/>
      <c r="K1099" s="23"/>
      <c r="L1099" s="23"/>
      <c r="M1099" s="23"/>
      <c r="N1099" s="26"/>
      <c r="O1099" s="26"/>
      <c r="P1099" s="26"/>
      <c r="Q1099" s="26"/>
      <c r="R1099" s="26"/>
      <c r="S1099" s="26"/>
      <c r="T1099" s="26"/>
      <c r="U1099" s="26"/>
      <c r="V1099" s="26"/>
      <c r="W1099" s="27"/>
    </row>
    <row r="1100" spans="1:23" ht="15.75" customHeight="1" x14ac:dyDescent="0.25">
      <c r="A1100" s="23"/>
      <c r="B1100" s="23" t="str">
        <f t="shared" si="5"/>
        <v/>
      </c>
      <c r="C1100" s="23"/>
      <c r="D1100" s="23"/>
      <c r="E1100" s="23"/>
      <c r="F1100" s="24"/>
      <c r="G1100" s="23"/>
      <c r="H1100" s="23"/>
      <c r="I1100" s="23"/>
      <c r="J1100" s="25"/>
      <c r="K1100" s="23"/>
      <c r="L1100" s="23"/>
      <c r="M1100" s="23"/>
      <c r="N1100" s="26"/>
      <c r="O1100" s="26"/>
      <c r="P1100" s="26"/>
      <c r="Q1100" s="26"/>
      <c r="R1100" s="26"/>
      <c r="S1100" s="26"/>
      <c r="T1100" s="26"/>
      <c r="U1100" s="26"/>
      <c r="V1100" s="26"/>
      <c r="W1100" s="27"/>
    </row>
    <row r="1101" spans="1:23" ht="15.75" customHeight="1" x14ac:dyDescent="0.25">
      <c r="A1101" s="23"/>
      <c r="B1101" s="23" t="str">
        <f t="shared" si="5"/>
        <v/>
      </c>
      <c r="C1101" s="23"/>
      <c r="D1101" s="23"/>
      <c r="E1101" s="23"/>
      <c r="F1101" s="24"/>
      <c r="G1101" s="23"/>
      <c r="H1101" s="23"/>
      <c r="I1101" s="23"/>
      <c r="J1101" s="25"/>
      <c r="K1101" s="23"/>
      <c r="L1101" s="23"/>
      <c r="M1101" s="23"/>
      <c r="N1101" s="26"/>
      <c r="O1101" s="26"/>
      <c r="P1101" s="26"/>
      <c r="Q1101" s="26"/>
      <c r="R1101" s="26"/>
      <c r="S1101" s="26"/>
      <c r="T1101" s="26"/>
      <c r="U1101" s="26"/>
      <c r="V1101" s="26"/>
      <c r="W1101" s="27"/>
    </row>
    <row r="1102" spans="1:23" ht="15.75" customHeight="1" x14ac:dyDescent="0.25">
      <c r="A1102" s="23"/>
      <c r="B1102" s="23" t="str">
        <f t="shared" si="5"/>
        <v/>
      </c>
      <c r="C1102" s="23"/>
      <c r="D1102" s="23"/>
      <c r="E1102" s="23"/>
      <c r="F1102" s="24"/>
      <c r="G1102" s="23"/>
      <c r="H1102" s="23"/>
      <c r="I1102" s="23"/>
      <c r="J1102" s="25"/>
      <c r="K1102" s="23"/>
      <c r="L1102" s="23"/>
      <c r="M1102" s="23"/>
      <c r="N1102" s="26"/>
      <c r="O1102" s="26"/>
      <c r="P1102" s="26"/>
      <c r="Q1102" s="26"/>
      <c r="R1102" s="26"/>
      <c r="S1102" s="26"/>
      <c r="T1102" s="26"/>
      <c r="U1102" s="26"/>
      <c r="V1102" s="26"/>
      <c r="W1102" s="27"/>
    </row>
    <row r="1103" spans="1:23" ht="15.75" customHeight="1" x14ac:dyDescent="0.25">
      <c r="A1103" s="23"/>
      <c r="B1103" s="23" t="str">
        <f t="shared" si="5"/>
        <v/>
      </c>
      <c r="C1103" s="23"/>
      <c r="D1103" s="23"/>
      <c r="E1103" s="23"/>
      <c r="F1103" s="24"/>
      <c r="G1103" s="23"/>
      <c r="H1103" s="23"/>
      <c r="I1103" s="23"/>
      <c r="J1103" s="25"/>
      <c r="K1103" s="23"/>
      <c r="L1103" s="23"/>
      <c r="M1103" s="23"/>
      <c r="N1103" s="26"/>
      <c r="O1103" s="26"/>
      <c r="P1103" s="26"/>
      <c r="Q1103" s="26"/>
      <c r="R1103" s="26"/>
      <c r="S1103" s="26"/>
      <c r="T1103" s="26"/>
      <c r="U1103" s="26"/>
      <c r="V1103" s="26"/>
      <c r="W1103" s="27"/>
    </row>
    <row r="1104" spans="1:23" ht="15.75" customHeight="1" x14ac:dyDescent="0.25">
      <c r="A1104" s="23"/>
      <c r="B1104" s="23" t="str">
        <f t="shared" si="5"/>
        <v/>
      </c>
      <c r="C1104" s="23"/>
      <c r="D1104" s="23"/>
      <c r="E1104" s="23"/>
      <c r="F1104" s="24"/>
      <c r="G1104" s="23"/>
      <c r="H1104" s="23"/>
      <c r="I1104" s="23"/>
      <c r="J1104" s="25"/>
      <c r="K1104" s="23"/>
      <c r="L1104" s="23"/>
      <c r="M1104" s="23"/>
      <c r="N1104" s="26"/>
      <c r="O1104" s="26"/>
      <c r="P1104" s="26"/>
      <c r="Q1104" s="26"/>
      <c r="R1104" s="26"/>
      <c r="S1104" s="26"/>
      <c r="T1104" s="26"/>
      <c r="U1104" s="26"/>
      <c r="V1104" s="26"/>
      <c r="W1104" s="27"/>
    </row>
    <row r="1105" spans="1:23" ht="15.75" customHeight="1" x14ac:dyDescent="0.25">
      <c r="A1105" s="23"/>
      <c r="B1105" s="23" t="str">
        <f t="shared" si="5"/>
        <v/>
      </c>
      <c r="C1105" s="23"/>
      <c r="D1105" s="23"/>
      <c r="E1105" s="23"/>
      <c r="F1105" s="24"/>
      <c r="G1105" s="23"/>
      <c r="H1105" s="23"/>
      <c r="I1105" s="23"/>
      <c r="J1105" s="25"/>
      <c r="K1105" s="23"/>
      <c r="L1105" s="23"/>
      <c r="M1105" s="23"/>
      <c r="N1105" s="26"/>
      <c r="O1105" s="26"/>
      <c r="P1105" s="26"/>
      <c r="Q1105" s="26"/>
      <c r="R1105" s="26"/>
      <c r="S1105" s="26"/>
      <c r="T1105" s="26"/>
      <c r="U1105" s="26"/>
      <c r="V1105" s="26"/>
      <c r="W1105" s="27"/>
    </row>
    <row r="1106" spans="1:23" ht="15.75" customHeight="1" x14ac:dyDescent="0.25">
      <c r="A1106" s="23"/>
      <c r="B1106" s="23" t="str">
        <f t="shared" si="5"/>
        <v/>
      </c>
      <c r="C1106" s="23"/>
      <c r="D1106" s="23"/>
      <c r="E1106" s="23"/>
      <c r="F1106" s="24"/>
      <c r="G1106" s="23"/>
      <c r="H1106" s="23"/>
      <c r="I1106" s="23"/>
      <c r="J1106" s="25"/>
      <c r="K1106" s="23"/>
      <c r="L1106" s="23"/>
      <c r="M1106" s="23"/>
      <c r="N1106" s="26"/>
      <c r="O1106" s="26"/>
      <c r="P1106" s="26"/>
      <c r="Q1106" s="26"/>
      <c r="R1106" s="26"/>
      <c r="S1106" s="26"/>
      <c r="T1106" s="26"/>
      <c r="U1106" s="26"/>
      <c r="V1106" s="26"/>
      <c r="W1106" s="27"/>
    </row>
    <row r="1107" spans="1:23" ht="15.75" customHeight="1" x14ac:dyDescent="0.25">
      <c r="A1107" s="23"/>
      <c r="B1107" s="23" t="str">
        <f t="shared" si="5"/>
        <v/>
      </c>
      <c r="C1107" s="23"/>
      <c r="D1107" s="23"/>
      <c r="E1107" s="23"/>
      <c r="F1107" s="24"/>
      <c r="G1107" s="23"/>
      <c r="H1107" s="23"/>
      <c r="I1107" s="23"/>
      <c r="J1107" s="25"/>
      <c r="K1107" s="23"/>
      <c r="L1107" s="23"/>
      <c r="M1107" s="23"/>
      <c r="N1107" s="26"/>
      <c r="O1107" s="26"/>
      <c r="P1107" s="26"/>
      <c r="Q1107" s="26"/>
      <c r="R1107" s="26"/>
      <c r="S1107" s="26"/>
      <c r="T1107" s="26"/>
      <c r="U1107" s="26"/>
      <c r="V1107" s="26"/>
      <c r="W1107" s="27"/>
    </row>
    <row r="1108" spans="1:23" ht="15.75" customHeight="1" x14ac:dyDescent="0.25">
      <c r="A1108" s="23"/>
      <c r="B1108" s="23" t="str">
        <f t="shared" si="5"/>
        <v/>
      </c>
      <c r="C1108" s="23"/>
      <c r="D1108" s="23"/>
      <c r="E1108" s="23"/>
      <c r="F1108" s="24"/>
      <c r="G1108" s="23"/>
      <c r="H1108" s="23"/>
      <c r="I1108" s="23"/>
      <c r="J1108" s="25"/>
      <c r="K1108" s="23"/>
      <c r="L1108" s="23"/>
      <c r="M1108" s="23"/>
      <c r="N1108" s="26"/>
      <c r="O1108" s="26"/>
      <c r="P1108" s="26"/>
      <c r="Q1108" s="26"/>
      <c r="R1108" s="26"/>
      <c r="S1108" s="26"/>
      <c r="T1108" s="26"/>
      <c r="U1108" s="26"/>
      <c r="V1108" s="26"/>
      <c r="W1108" s="27"/>
    </row>
    <row r="1109" spans="1:23" ht="15.75" customHeight="1" x14ac:dyDescent="0.25">
      <c r="A1109" s="23"/>
      <c r="B1109" s="23" t="str">
        <f t="shared" si="5"/>
        <v/>
      </c>
      <c r="C1109" s="23"/>
      <c r="D1109" s="23"/>
      <c r="E1109" s="23"/>
      <c r="F1109" s="24"/>
      <c r="G1109" s="23"/>
      <c r="H1109" s="23"/>
      <c r="I1109" s="23"/>
      <c r="J1109" s="25"/>
      <c r="K1109" s="23"/>
      <c r="L1109" s="23"/>
      <c r="M1109" s="23"/>
      <c r="N1109" s="26"/>
      <c r="O1109" s="26"/>
      <c r="P1109" s="26"/>
      <c r="Q1109" s="26"/>
      <c r="R1109" s="26"/>
      <c r="S1109" s="26"/>
      <c r="T1109" s="26"/>
      <c r="U1109" s="26"/>
      <c r="V1109" s="26"/>
      <c r="W1109" s="27"/>
    </row>
    <row r="1110" spans="1:23" ht="15.75" customHeight="1" x14ac:dyDescent="0.25">
      <c r="A1110" s="23"/>
      <c r="B1110" s="23" t="str">
        <f t="shared" si="5"/>
        <v/>
      </c>
      <c r="C1110" s="23"/>
      <c r="D1110" s="23"/>
      <c r="E1110" s="23"/>
      <c r="F1110" s="24"/>
      <c r="G1110" s="23"/>
      <c r="H1110" s="23"/>
      <c r="I1110" s="23"/>
      <c r="J1110" s="25"/>
      <c r="K1110" s="23"/>
      <c r="L1110" s="23"/>
      <c r="M1110" s="23"/>
      <c r="N1110" s="26"/>
      <c r="O1110" s="26"/>
      <c r="P1110" s="26"/>
      <c r="Q1110" s="26"/>
      <c r="R1110" s="26"/>
      <c r="S1110" s="26"/>
      <c r="T1110" s="26"/>
      <c r="U1110" s="26"/>
      <c r="V1110" s="26"/>
      <c r="W1110" s="27"/>
    </row>
    <row r="1111" spans="1:23" ht="15.75" customHeight="1" x14ac:dyDescent="0.25">
      <c r="A1111" s="23"/>
      <c r="B1111" s="23" t="str">
        <f t="shared" si="5"/>
        <v/>
      </c>
      <c r="C1111" s="23"/>
      <c r="D1111" s="23"/>
      <c r="E1111" s="23"/>
      <c r="F1111" s="24"/>
      <c r="G1111" s="23"/>
      <c r="H1111" s="23"/>
      <c r="I1111" s="23"/>
      <c r="J1111" s="25"/>
      <c r="K1111" s="23"/>
      <c r="L1111" s="23"/>
      <c r="M1111" s="23"/>
      <c r="N1111" s="26"/>
      <c r="O1111" s="26"/>
      <c r="P1111" s="26"/>
      <c r="Q1111" s="26"/>
      <c r="R1111" s="26"/>
      <c r="S1111" s="26"/>
      <c r="T1111" s="26"/>
      <c r="U1111" s="26"/>
      <c r="V1111" s="26"/>
      <c r="W1111" s="27"/>
    </row>
    <row r="1112" spans="1:23" ht="15.75" customHeight="1" x14ac:dyDescent="0.25">
      <c r="A1112" s="23"/>
      <c r="B1112" s="23" t="str">
        <f t="shared" si="5"/>
        <v/>
      </c>
      <c r="C1112" s="23"/>
      <c r="D1112" s="23"/>
      <c r="E1112" s="23"/>
      <c r="F1112" s="24"/>
      <c r="G1112" s="23"/>
      <c r="H1112" s="23"/>
      <c r="I1112" s="23"/>
      <c r="J1112" s="25"/>
      <c r="K1112" s="23"/>
      <c r="L1112" s="23"/>
      <c r="M1112" s="23"/>
      <c r="N1112" s="26"/>
      <c r="O1112" s="26"/>
      <c r="P1112" s="26"/>
      <c r="Q1112" s="26"/>
      <c r="R1112" s="26"/>
      <c r="S1112" s="26"/>
      <c r="T1112" s="26"/>
      <c r="U1112" s="26"/>
      <c r="V1112" s="26"/>
      <c r="W1112" s="27"/>
    </row>
    <row r="1113" spans="1:23" ht="15.75" customHeight="1" x14ac:dyDescent="0.25">
      <c r="A1113" s="23"/>
      <c r="B1113" s="23" t="str">
        <f t="shared" si="5"/>
        <v/>
      </c>
      <c r="C1113" s="23"/>
      <c r="D1113" s="23"/>
      <c r="E1113" s="23"/>
      <c r="F1113" s="24"/>
      <c r="G1113" s="23"/>
      <c r="H1113" s="23"/>
      <c r="I1113" s="23"/>
      <c r="J1113" s="25"/>
      <c r="K1113" s="23"/>
      <c r="L1113" s="23"/>
      <c r="M1113" s="23"/>
      <c r="N1113" s="26"/>
      <c r="O1113" s="26"/>
      <c r="P1113" s="26"/>
      <c r="Q1113" s="26"/>
      <c r="R1113" s="26"/>
      <c r="S1113" s="26"/>
      <c r="T1113" s="26"/>
      <c r="U1113" s="26"/>
      <c r="V1113" s="26"/>
      <c r="W1113" s="27"/>
    </row>
    <row r="1114" spans="1:23" ht="15.75" customHeight="1" x14ac:dyDescent="0.25">
      <c r="A1114" s="23"/>
      <c r="B1114" s="23" t="str">
        <f t="shared" si="5"/>
        <v/>
      </c>
      <c r="C1114" s="23"/>
      <c r="D1114" s="23"/>
      <c r="E1114" s="23"/>
      <c r="F1114" s="24"/>
      <c r="G1114" s="23"/>
      <c r="H1114" s="23"/>
      <c r="I1114" s="23"/>
      <c r="J1114" s="25"/>
      <c r="K1114" s="23"/>
      <c r="L1114" s="23"/>
      <c r="M1114" s="23"/>
      <c r="N1114" s="26"/>
      <c r="O1114" s="26"/>
      <c r="P1114" s="26"/>
      <c r="Q1114" s="26"/>
      <c r="R1114" s="26"/>
      <c r="S1114" s="26"/>
      <c r="T1114" s="26"/>
      <c r="U1114" s="26"/>
      <c r="V1114" s="26"/>
      <c r="W1114" s="27"/>
    </row>
    <row r="1115" spans="1:23" ht="15.75" customHeight="1" x14ac:dyDescent="0.25">
      <c r="A1115" s="23"/>
      <c r="B1115" s="23" t="str">
        <f t="shared" si="5"/>
        <v/>
      </c>
      <c r="C1115" s="23"/>
      <c r="D1115" s="23"/>
      <c r="E1115" s="23"/>
      <c r="F1115" s="24"/>
      <c r="G1115" s="23"/>
      <c r="H1115" s="23"/>
      <c r="I1115" s="23"/>
      <c r="J1115" s="25"/>
      <c r="K1115" s="23"/>
      <c r="L1115" s="23"/>
      <c r="M1115" s="23"/>
      <c r="N1115" s="26"/>
      <c r="O1115" s="26"/>
      <c r="P1115" s="26"/>
      <c r="Q1115" s="26"/>
      <c r="R1115" s="26"/>
      <c r="S1115" s="26"/>
      <c r="T1115" s="26"/>
      <c r="U1115" s="26"/>
      <c r="V1115" s="26"/>
      <c r="W1115" s="27"/>
    </row>
    <row r="1116" spans="1:23" ht="15.75" customHeight="1" x14ac:dyDescent="0.25">
      <c r="A1116" s="23"/>
      <c r="B1116" s="23" t="str">
        <f t="shared" si="5"/>
        <v/>
      </c>
      <c r="C1116" s="23"/>
      <c r="D1116" s="23"/>
      <c r="E1116" s="23"/>
      <c r="F1116" s="24"/>
      <c r="G1116" s="23"/>
      <c r="H1116" s="23"/>
      <c r="I1116" s="23"/>
      <c r="J1116" s="25"/>
      <c r="K1116" s="23"/>
      <c r="L1116" s="23"/>
      <c r="M1116" s="23"/>
      <c r="N1116" s="26"/>
      <c r="O1116" s="26"/>
      <c r="P1116" s="26"/>
      <c r="Q1116" s="26"/>
      <c r="R1116" s="26"/>
      <c r="S1116" s="26"/>
      <c r="T1116" s="26"/>
      <c r="U1116" s="26"/>
      <c r="V1116" s="26"/>
      <c r="W1116" s="27"/>
    </row>
    <row r="1117" spans="1:23" ht="15.75" customHeight="1" x14ac:dyDescent="0.25">
      <c r="A1117" s="23"/>
      <c r="B1117" s="23" t="str">
        <f t="shared" si="5"/>
        <v/>
      </c>
      <c r="C1117" s="23"/>
      <c r="D1117" s="23"/>
      <c r="E1117" s="23"/>
      <c r="F1117" s="24"/>
      <c r="G1117" s="23"/>
      <c r="H1117" s="23"/>
      <c r="I1117" s="23"/>
      <c r="J1117" s="25"/>
      <c r="K1117" s="23"/>
      <c r="L1117" s="23"/>
      <c r="M1117" s="23"/>
      <c r="N1117" s="26"/>
      <c r="O1117" s="26"/>
      <c r="P1117" s="26"/>
      <c r="Q1117" s="26"/>
      <c r="R1117" s="26"/>
      <c r="S1117" s="26"/>
      <c r="T1117" s="26"/>
      <c r="U1117" s="26"/>
      <c r="V1117" s="26"/>
      <c r="W1117" s="27"/>
    </row>
    <row r="1118" spans="1:23" ht="15.75" customHeight="1" x14ac:dyDescent="0.25">
      <c r="A1118" s="23"/>
      <c r="B1118" s="23" t="str">
        <f t="shared" si="5"/>
        <v/>
      </c>
      <c r="C1118" s="23"/>
      <c r="D1118" s="23"/>
      <c r="E1118" s="23"/>
      <c r="F1118" s="24"/>
      <c r="G1118" s="23"/>
      <c r="H1118" s="23"/>
      <c r="I1118" s="23"/>
      <c r="J1118" s="25"/>
      <c r="K1118" s="23"/>
      <c r="L1118" s="23"/>
      <c r="M1118" s="23"/>
      <c r="N1118" s="26"/>
      <c r="O1118" s="26"/>
      <c r="P1118" s="26"/>
      <c r="Q1118" s="26"/>
      <c r="R1118" s="26"/>
      <c r="S1118" s="26"/>
      <c r="T1118" s="26"/>
      <c r="U1118" s="26"/>
      <c r="V1118" s="26"/>
      <c r="W1118" s="27"/>
    </row>
    <row r="1119" spans="1:23" ht="15.75" customHeight="1" x14ac:dyDescent="0.25">
      <c r="A1119" s="23"/>
      <c r="B1119" s="23" t="str">
        <f t="shared" si="5"/>
        <v/>
      </c>
      <c r="C1119" s="23"/>
      <c r="D1119" s="23"/>
      <c r="E1119" s="23"/>
      <c r="F1119" s="24"/>
      <c r="G1119" s="23"/>
      <c r="H1119" s="23"/>
      <c r="I1119" s="23"/>
      <c r="J1119" s="25"/>
      <c r="K1119" s="23"/>
      <c r="L1119" s="23"/>
      <c r="M1119" s="23"/>
      <c r="N1119" s="26"/>
      <c r="O1119" s="26"/>
      <c r="P1119" s="26"/>
      <c r="Q1119" s="26"/>
      <c r="R1119" s="26"/>
      <c r="S1119" s="26"/>
      <c r="T1119" s="26"/>
      <c r="U1119" s="26"/>
      <c r="V1119" s="26"/>
      <c r="W1119" s="27"/>
    </row>
    <row r="1120" spans="1:23" ht="15.75" customHeight="1" x14ac:dyDescent="0.25">
      <c r="A1120" s="23"/>
      <c r="B1120" s="23" t="str">
        <f t="shared" si="5"/>
        <v/>
      </c>
      <c r="C1120" s="23"/>
      <c r="D1120" s="23"/>
      <c r="E1120" s="23"/>
      <c r="F1120" s="24"/>
      <c r="G1120" s="23"/>
      <c r="H1120" s="23"/>
      <c r="I1120" s="23"/>
      <c r="J1120" s="25"/>
      <c r="K1120" s="23"/>
      <c r="L1120" s="23"/>
      <c r="M1120" s="23"/>
      <c r="N1120" s="26"/>
      <c r="O1120" s="26"/>
      <c r="P1120" s="26"/>
      <c r="Q1120" s="26"/>
      <c r="R1120" s="26"/>
      <c r="S1120" s="26"/>
      <c r="T1120" s="26"/>
      <c r="U1120" s="26"/>
      <c r="V1120" s="26"/>
      <c r="W1120" s="27"/>
    </row>
    <row r="1121" spans="1:23" ht="15.75" customHeight="1" x14ac:dyDescent="0.25">
      <c r="A1121" s="23"/>
      <c r="B1121" s="23" t="str">
        <f t="shared" si="5"/>
        <v/>
      </c>
      <c r="C1121" s="23"/>
      <c r="D1121" s="23"/>
      <c r="E1121" s="23"/>
      <c r="F1121" s="24"/>
      <c r="G1121" s="23"/>
      <c r="H1121" s="23"/>
      <c r="I1121" s="23"/>
      <c r="J1121" s="25"/>
      <c r="K1121" s="23"/>
      <c r="L1121" s="23"/>
      <c r="M1121" s="23"/>
      <c r="N1121" s="26"/>
      <c r="O1121" s="26"/>
      <c r="P1121" s="26"/>
      <c r="Q1121" s="26"/>
      <c r="R1121" s="26"/>
      <c r="S1121" s="26"/>
      <c r="T1121" s="26"/>
      <c r="U1121" s="26"/>
      <c r="V1121" s="26"/>
      <c r="W1121" s="27"/>
    </row>
    <row r="1122" spans="1:23" ht="15.75" customHeight="1" x14ac:dyDescent="0.25">
      <c r="A1122" s="23"/>
      <c r="B1122" s="23" t="str">
        <f t="shared" si="5"/>
        <v/>
      </c>
      <c r="C1122" s="23"/>
      <c r="D1122" s="23"/>
      <c r="E1122" s="23"/>
      <c r="F1122" s="24"/>
      <c r="G1122" s="23"/>
      <c r="H1122" s="23"/>
      <c r="I1122" s="23"/>
      <c r="J1122" s="25"/>
      <c r="K1122" s="23"/>
      <c r="L1122" s="23"/>
      <c r="M1122" s="23"/>
      <c r="N1122" s="26"/>
      <c r="O1122" s="26"/>
      <c r="P1122" s="26"/>
      <c r="Q1122" s="26"/>
      <c r="R1122" s="26"/>
      <c r="S1122" s="26"/>
      <c r="T1122" s="26"/>
      <c r="U1122" s="26"/>
      <c r="V1122" s="26"/>
      <c r="W1122" s="27"/>
    </row>
    <row r="1123" spans="1:23" ht="15.75" customHeight="1" x14ac:dyDescent="0.25">
      <c r="A1123" s="23"/>
      <c r="B1123" s="23" t="str">
        <f t="shared" si="5"/>
        <v/>
      </c>
      <c r="C1123" s="23"/>
      <c r="D1123" s="23"/>
      <c r="E1123" s="23"/>
      <c r="F1123" s="24"/>
      <c r="G1123" s="23"/>
      <c r="H1123" s="23"/>
      <c r="I1123" s="23"/>
      <c r="J1123" s="25"/>
      <c r="K1123" s="23"/>
      <c r="L1123" s="23"/>
      <c r="M1123" s="23"/>
      <c r="N1123" s="26"/>
      <c r="O1123" s="26"/>
      <c r="P1123" s="26"/>
      <c r="Q1123" s="26"/>
      <c r="R1123" s="26"/>
      <c r="S1123" s="26"/>
      <c r="T1123" s="26"/>
      <c r="U1123" s="26"/>
      <c r="V1123" s="26"/>
      <c r="W1123" s="27"/>
    </row>
    <row r="1124" spans="1:23" ht="15.75" customHeight="1" x14ac:dyDescent="0.25">
      <c r="A1124" s="23"/>
      <c r="B1124" s="23" t="str">
        <f t="shared" si="5"/>
        <v/>
      </c>
      <c r="C1124" s="23"/>
      <c r="D1124" s="23"/>
      <c r="E1124" s="23"/>
      <c r="F1124" s="24"/>
      <c r="G1124" s="23"/>
      <c r="H1124" s="23"/>
      <c r="I1124" s="23"/>
      <c r="J1124" s="25"/>
      <c r="K1124" s="23"/>
      <c r="L1124" s="23"/>
      <c r="M1124" s="23"/>
      <c r="N1124" s="26"/>
      <c r="O1124" s="26"/>
      <c r="P1124" s="26"/>
      <c r="Q1124" s="26"/>
      <c r="R1124" s="26"/>
      <c r="S1124" s="26"/>
      <c r="T1124" s="26"/>
      <c r="U1124" s="26"/>
      <c r="V1124" s="26"/>
      <c r="W1124" s="27"/>
    </row>
    <row r="1125" spans="1:23" ht="15.75" customHeight="1" x14ac:dyDescent="0.25">
      <c r="A1125" s="23"/>
      <c r="B1125" s="23" t="str">
        <f t="shared" si="5"/>
        <v/>
      </c>
      <c r="C1125" s="23"/>
      <c r="D1125" s="23"/>
      <c r="E1125" s="23"/>
      <c r="F1125" s="24"/>
      <c r="G1125" s="23"/>
      <c r="H1125" s="23"/>
      <c r="I1125" s="23"/>
      <c r="J1125" s="25"/>
      <c r="K1125" s="23"/>
      <c r="L1125" s="23"/>
      <c r="M1125" s="23"/>
      <c r="N1125" s="26"/>
      <c r="O1125" s="26"/>
      <c r="P1125" s="26"/>
      <c r="Q1125" s="26"/>
      <c r="R1125" s="26"/>
      <c r="S1125" s="26"/>
      <c r="T1125" s="26"/>
      <c r="U1125" s="26"/>
      <c r="V1125" s="26"/>
      <c r="W1125" s="27"/>
    </row>
    <row r="1126" spans="1:23" ht="15.75" customHeight="1" x14ac:dyDescent="0.25">
      <c r="A1126" s="23"/>
      <c r="B1126" s="23" t="str">
        <f t="shared" si="5"/>
        <v/>
      </c>
      <c r="C1126" s="23"/>
      <c r="D1126" s="23"/>
      <c r="E1126" s="23"/>
      <c r="F1126" s="24"/>
      <c r="G1126" s="23"/>
      <c r="H1126" s="23"/>
      <c r="I1126" s="23"/>
      <c r="J1126" s="25"/>
      <c r="K1126" s="23"/>
      <c r="L1126" s="23"/>
      <c r="M1126" s="23"/>
      <c r="N1126" s="26"/>
      <c r="O1126" s="26"/>
      <c r="P1126" s="26"/>
      <c r="Q1126" s="26"/>
      <c r="R1126" s="26"/>
      <c r="S1126" s="26"/>
      <c r="T1126" s="26"/>
      <c r="U1126" s="26"/>
      <c r="V1126" s="26"/>
      <c r="W1126" s="27"/>
    </row>
    <row r="1127" spans="1:23" ht="15.75" customHeight="1" x14ac:dyDescent="0.25">
      <c r="A1127" s="23"/>
      <c r="B1127" s="23" t="str">
        <f t="shared" si="5"/>
        <v/>
      </c>
      <c r="C1127" s="23"/>
      <c r="D1127" s="23"/>
      <c r="E1127" s="23"/>
      <c r="F1127" s="24"/>
      <c r="G1127" s="23"/>
      <c r="H1127" s="23"/>
      <c r="I1127" s="23"/>
      <c r="J1127" s="25"/>
      <c r="K1127" s="23"/>
      <c r="L1127" s="23"/>
      <c r="M1127" s="23"/>
      <c r="N1127" s="26"/>
      <c r="O1127" s="26"/>
      <c r="P1127" s="26"/>
      <c r="Q1127" s="26"/>
      <c r="R1127" s="26"/>
      <c r="S1127" s="26"/>
      <c r="T1127" s="26"/>
      <c r="U1127" s="26"/>
      <c r="V1127" s="26"/>
      <c r="W1127" s="27"/>
    </row>
    <row r="1128" spans="1:23" ht="15.75" customHeight="1" x14ac:dyDescent="0.25">
      <c r="A1128" s="23"/>
      <c r="B1128" s="23" t="str">
        <f t="shared" si="5"/>
        <v/>
      </c>
      <c r="C1128" s="23"/>
      <c r="D1128" s="23"/>
      <c r="E1128" s="23"/>
      <c r="F1128" s="24"/>
      <c r="G1128" s="23"/>
      <c r="H1128" s="23"/>
      <c r="I1128" s="23"/>
      <c r="J1128" s="25"/>
      <c r="K1128" s="23"/>
      <c r="L1128" s="23"/>
      <c r="M1128" s="23"/>
      <c r="N1128" s="26"/>
      <c r="O1128" s="26"/>
      <c r="P1128" s="26"/>
      <c r="Q1128" s="26"/>
      <c r="R1128" s="26"/>
      <c r="S1128" s="26"/>
      <c r="T1128" s="26"/>
      <c r="U1128" s="26"/>
      <c r="V1128" s="26"/>
      <c r="W1128" s="27"/>
    </row>
    <row r="1129" spans="1:23" ht="15.75" customHeight="1" x14ac:dyDescent="0.25">
      <c r="A1129" s="23"/>
      <c r="B1129" s="23" t="str">
        <f t="shared" si="5"/>
        <v/>
      </c>
      <c r="C1129" s="23"/>
      <c r="D1129" s="23"/>
      <c r="E1129" s="23"/>
      <c r="F1129" s="24"/>
      <c r="G1129" s="23"/>
      <c r="H1129" s="23"/>
      <c r="I1129" s="23"/>
      <c r="J1129" s="25"/>
      <c r="K1129" s="23"/>
      <c r="L1129" s="23"/>
      <c r="M1129" s="23"/>
      <c r="N1129" s="26"/>
      <c r="O1129" s="26"/>
      <c r="P1129" s="26"/>
      <c r="Q1129" s="26"/>
      <c r="R1129" s="26"/>
      <c r="S1129" s="26"/>
      <c r="T1129" s="26"/>
      <c r="U1129" s="26"/>
      <c r="V1129" s="26"/>
      <c r="W1129" s="27"/>
    </row>
    <row r="1130" spans="1:23" ht="15.75" customHeight="1" x14ac:dyDescent="0.25">
      <c r="A1130" s="23"/>
      <c r="B1130" s="23" t="str">
        <f t="shared" si="5"/>
        <v/>
      </c>
      <c r="C1130" s="23"/>
      <c r="D1130" s="23"/>
      <c r="E1130" s="23"/>
      <c r="F1130" s="24"/>
      <c r="G1130" s="23"/>
      <c r="H1130" s="23"/>
      <c r="I1130" s="23"/>
      <c r="J1130" s="25"/>
      <c r="K1130" s="23"/>
      <c r="L1130" s="23"/>
      <c r="M1130" s="23"/>
      <c r="N1130" s="26"/>
      <c r="O1130" s="26"/>
      <c r="P1130" s="26"/>
      <c r="Q1130" s="26"/>
      <c r="R1130" s="26"/>
      <c r="S1130" s="26"/>
      <c r="T1130" s="26"/>
      <c r="U1130" s="26"/>
      <c r="V1130" s="26"/>
      <c r="W1130" s="27"/>
    </row>
    <row r="1131" spans="1:23" ht="15.75" customHeight="1" x14ac:dyDescent="0.25">
      <c r="A1131" s="23"/>
      <c r="B1131" s="23" t="str">
        <f t="shared" si="5"/>
        <v/>
      </c>
      <c r="C1131" s="23"/>
      <c r="D1131" s="23"/>
      <c r="E1131" s="23"/>
      <c r="F1131" s="24"/>
      <c r="G1131" s="23"/>
      <c r="H1131" s="23"/>
      <c r="I1131" s="23"/>
      <c r="J1131" s="25"/>
      <c r="K1131" s="23"/>
      <c r="L1131" s="23"/>
      <c r="M1131" s="23"/>
      <c r="N1131" s="26"/>
      <c r="O1131" s="26"/>
      <c r="P1131" s="26"/>
      <c r="Q1131" s="26"/>
      <c r="R1131" s="26"/>
      <c r="S1131" s="26"/>
      <c r="T1131" s="26"/>
      <c r="U1131" s="26"/>
      <c r="V1131" s="26"/>
      <c r="W1131" s="27"/>
    </row>
    <row r="1132" spans="1:23" ht="15.75" customHeight="1" x14ac:dyDescent="0.25">
      <c r="A1132" s="23"/>
      <c r="B1132" s="23" t="str">
        <f t="shared" si="5"/>
        <v/>
      </c>
      <c r="C1132" s="23"/>
      <c r="D1132" s="23"/>
      <c r="E1132" s="23"/>
      <c r="F1132" s="24"/>
      <c r="G1132" s="23"/>
      <c r="H1132" s="23"/>
      <c r="I1132" s="23"/>
      <c r="J1132" s="25"/>
      <c r="K1132" s="23"/>
      <c r="L1132" s="23"/>
      <c r="M1132" s="23"/>
      <c r="N1132" s="26"/>
      <c r="O1132" s="26"/>
      <c r="P1132" s="26"/>
      <c r="Q1132" s="26"/>
      <c r="R1132" s="26"/>
      <c r="S1132" s="26"/>
      <c r="T1132" s="26"/>
      <c r="U1132" s="26"/>
      <c r="V1132" s="26"/>
      <c r="W1132" s="27"/>
    </row>
    <row r="1133" spans="1:23" ht="15.75" customHeight="1" x14ac:dyDescent="0.25">
      <c r="A1133" s="23"/>
      <c r="B1133" s="23" t="str">
        <f t="shared" si="5"/>
        <v/>
      </c>
      <c r="C1133" s="23"/>
      <c r="D1133" s="23"/>
      <c r="E1133" s="23"/>
      <c r="F1133" s="24"/>
      <c r="G1133" s="23"/>
      <c r="H1133" s="23"/>
      <c r="I1133" s="23"/>
      <c r="J1133" s="25"/>
      <c r="K1133" s="23"/>
      <c r="L1133" s="23"/>
      <c r="M1133" s="23"/>
      <c r="N1133" s="26"/>
      <c r="O1133" s="26"/>
      <c r="P1133" s="26"/>
      <c r="Q1133" s="26"/>
      <c r="R1133" s="26"/>
      <c r="S1133" s="26"/>
      <c r="T1133" s="26"/>
      <c r="U1133" s="26"/>
      <c r="V1133" s="26"/>
      <c r="W1133" s="27"/>
    </row>
    <row r="1134" spans="1:23" ht="15.75" customHeight="1" x14ac:dyDescent="0.25">
      <c r="A1134" s="23"/>
      <c r="B1134" s="23" t="str">
        <f t="shared" si="5"/>
        <v/>
      </c>
      <c r="C1134" s="23"/>
      <c r="D1134" s="23"/>
      <c r="E1134" s="23"/>
      <c r="F1134" s="24"/>
      <c r="G1134" s="23"/>
      <c r="H1134" s="23"/>
      <c r="I1134" s="23"/>
      <c r="J1134" s="25"/>
      <c r="K1134" s="23"/>
      <c r="L1134" s="23"/>
      <c r="M1134" s="23"/>
      <c r="N1134" s="26"/>
      <c r="O1134" s="26"/>
      <c r="P1134" s="26"/>
      <c r="Q1134" s="26"/>
      <c r="R1134" s="26"/>
      <c r="S1134" s="26"/>
      <c r="T1134" s="26"/>
      <c r="U1134" s="26"/>
      <c r="V1134" s="26"/>
      <c r="W1134" s="27"/>
    </row>
    <row r="1135" spans="1:23" ht="15.75" customHeight="1" x14ac:dyDescent="0.25">
      <c r="A1135" s="23"/>
      <c r="B1135" s="23" t="str">
        <f t="shared" si="5"/>
        <v/>
      </c>
      <c r="C1135" s="23"/>
      <c r="D1135" s="23"/>
      <c r="E1135" s="23"/>
      <c r="F1135" s="24"/>
      <c r="G1135" s="23"/>
      <c r="H1135" s="23"/>
      <c r="I1135" s="23"/>
      <c r="J1135" s="25"/>
      <c r="K1135" s="23"/>
      <c r="L1135" s="23"/>
      <c r="M1135" s="23"/>
      <c r="N1135" s="26"/>
      <c r="O1135" s="26"/>
      <c r="P1135" s="26"/>
      <c r="Q1135" s="26"/>
      <c r="R1135" s="26"/>
      <c r="S1135" s="26"/>
      <c r="T1135" s="26"/>
      <c r="U1135" s="26"/>
      <c r="V1135" s="26"/>
      <c r="W1135" s="27"/>
    </row>
    <row r="1136" spans="1:23" ht="15.75" customHeight="1" x14ac:dyDescent="0.25">
      <c r="A1136" s="23"/>
      <c r="B1136" s="23" t="str">
        <f t="shared" si="5"/>
        <v/>
      </c>
      <c r="C1136" s="23"/>
      <c r="D1136" s="23"/>
      <c r="E1136" s="23"/>
      <c r="F1136" s="24"/>
      <c r="G1136" s="23"/>
      <c r="H1136" s="23"/>
      <c r="I1136" s="23"/>
      <c r="J1136" s="25"/>
      <c r="K1136" s="23"/>
      <c r="L1136" s="23"/>
      <c r="M1136" s="23"/>
      <c r="N1136" s="26"/>
      <c r="O1136" s="26"/>
      <c r="P1136" s="26"/>
      <c r="Q1136" s="26"/>
      <c r="R1136" s="26"/>
      <c r="S1136" s="26"/>
      <c r="T1136" s="26"/>
      <c r="U1136" s="26"/>
      <c r="V1136" s="26"/>
      <c r="W1136" s="27"/>
    </row>
    <row r="1137" spans="1:23" ht="15.75" customHeight="1" x14ac:dyDescent="0.25">
      <c r="A1137" s="23"/>
      <c r="B1137" s="23" t="str">
        <f t="shared" si="5"/>
        <v/>
      </c>
      <c r="C1137" s="23"/>
      <c r="D1137" s="23"/>
      <c r="E1137" s="23"/>
      <c r="F1137" s="24"/>
      <c r="G1137" s="23"/>
      <c r="H1137" s="23"/>
      <c r="I1137" s="23"/>
      <c r="J1137" s="25"/>
      <c r="K1137" s="23"/>
      <c r="L1137" s="23"/>
      <c r="M1137" s="23"/>
      <c r="N1137" s="26"/>
      <c r="O1137" s="26"/>
      <c r="P1137" s="26"/>
      <c r="Q1137" s="26"/>
      <c r="R1137" s="26"/>
      <c r="S1137" s="26"/>
      <c r="T1137" s="26"/>
      <c r="U1137" s="26"/>
      <c r="V1137" s="26"/>
      <c r="W1137" s="27"/>
    </row>
    <row r="1138" spans="1:23" ht="15.75" customHeight="1" x14ac:dyDescent="0.25">
      <c r="A1138" s="23"/>
      <c r="B1138" s="23" t="str">
        <f t="shared" si="5"/>
        <v/>
      </c>
      <c r="C1138" s="23"/>
      <c r="D1138" s="23"/>
      <c r="E1138" s="23"/>
      <c r="F1138" s="24"/>
      <c r="G1138" s="23"/>
      <c r="H1138" s="23"/>
      <c r="I1138" s="23"/>
      <c r="J1138" s="25"/>
      <c r="K1138" s="23"/>
      <c r="L1138" s="23"/>
      <c r="M1138" s="23"/>
      <c r="N1138" s="26"/>
      <c r="O1138" s="26"/>
      <c r="P1138" s="26"/>
      <c r="Q1138" s="26"/>
      <c r="R1138" s="26"/>
      <c r="S1138" s="26"/>
      <c r="T1138" s="26"/>
      <c r="U1138" s="26"/>
      <c r="V1138" s="26"/>
      <c r="W1138" s="27"/>
    </row>
    <row r="1139" spans="1:23" ht="15.75" customHeight="1" x14ac:dyDescent="0.25">
      <c r="A1139" s="23"/>
      <c r="B1139" s="23" t="str">
        <f t="shared" si="5"/>
        <v/>
      </c>
      <c r="C1139" s="23"/>
      <c r="D1139" s="23"/>
      <c r="E1139" s="23"/>
      <c r="F1139" s="24"/>
      <c r="G1139" s="23"/>
      <c r="H1139" s="23"/>
      <c r="I1139" s="23"/>
      <c r="J1139" s="25"/>
      <c r="K1139" s="23"/>
      <c r="L1139" s="23"/>
      <c r="M1139" s="23"/>
      <c r="N1139" s="26"/>
      <c r="O1139" s="26"/>
      <c r="P1139" s="26"/>
      <c r="Q1139" s="26"/>
      <c r="R1139" s="26"/>
      <c r="S1139" s="26"/>
      <c r="T1139" s="26"/>
      <c r="U1139" s="26"/>
      <c r="V1139" s="26"/>
      <c r="W1139" s="27"/>
    </row>
    <row r="1140" spans="1:23" ht="15.75" customHeight="1" x14ac:dyDescent="0.25">
      <c r="A1140" s="23"/>
      <c r="B1140" s="23" t="str">
        <f t="shared" si="5"/>
        <v/>
      </c>
      <c r="C1140" s="23"/>
      <c r="D1140" s="23"/>
      <c r="E1140" s="23"/>
      <c r="F1140" s="24"/>
      <c r="G1140" s="23"/>
      <c r="H1140" s="23"/>
      <c r="I1140" s="23"/>
      <c r="J1140" s="25"/>
      <c r="K1140" s="23"/>
      <c r="L1140" s="23"/>
      <c r="M1140" s="23"/>
      <c r="N1140" s="26"/>
      <c r="O1140" s="26"/>
      <c r="P1140" s="26"/>
      <c r="Q1140" s="26"/>
      <c r="R1140" s="26"/>
      <c r="S1140" s="26"/>
      <c r="T1140" s="26"/>
      <c r="U1140" s="26"/>
      <c r="V1140" s="26"/>
      <c r="W1140" s="27"/>
    </row>
    <row r="1141" spans="1:23" ht="15.75" customHeight="1" x14ac:dyDescent="0.25">
      <c r="A1141" s="23"/>
      <c r="B1141" s="23" t="str">
        <f t="shared" si="5"/>
        <v/>
      </c>
      <c r="C1141" s="23"/>
      <c r="D1141" s="23"/>
      <c r="E1141" s="23"/>
      <c r="F1141" s="24"/>
      <c r="G1141" s="23"/>
      <c r="H1141" s="23"/>
      <c r="I1141" s="23"/>
      <c r="J1141" s="25"/>
      <c r="K1141" s="23"/>
      <c r="L1141" s="23"/>
      <c r="M1141" s="23"/>
      <c r="N1141" s="26"/>
      <c r="O1141" s="26"/>
      <c r="P1141" s="26"/>
      <c r="Q1141" s="26"/>
      <c r="R1141" s="26"/>
      <c r="S1141" s="26"/>
      <c r="T1141" s="26"/>
      <c r="U1141" s="26"/>
      <c r="V1141" s="26"/>
      <c r="W1141" s="27"/>
    </row>
    <row r="1142" spans="1:23" ht="15.75" customHeight="1" x14ac:dyDescent="0.25">
      <c r="A1142" s="23"/>
      <c r="B1142" s="23" t="str">
        <f t="shared" si="5"/>
        <v/>
      </c>
      <c r="C1142" s="23"/>
      <c r="D1142" s="23"/>
      <c r="E1142" s="23"/>
      <c r="F1142" s="24"/>
      <c r="G1142" s="23"/>
      <c r="H1142" s="23"/>
      <c r="I1142" s="23"/>
      <c r="J1142" s="25"/>
      <c r="K1142" s="23"/>
      <c r="L1142" s="23"/>
      <c r="M1142" s="23"/>
      <c r="N1142" s="26"/>
      <c r="O1142" s="26"/>
      <c r="P1142" s="26"/>
      <c r="Q1142" s="26"/>
      <c r="R1142" s="26"/>
      <c r="S1142" s="26"/>
      <c r="T1142" s="26"/>
      <c r="U1142" s="26"/>
      <c r="V1142" s="26"/>
      <c r="W1142" s="27"/>
    </row>
    <row r="1143" spans="1:23" ht="15.75" customHeight="1" x14ac:dyDescent="0.25">
      <c r="A1143" s="23"/>
      <c r="B1143" s="23" t="str">
        <f t="shared" si="5"/>
        <v/>
      </c>
      <c r="C1143" s="23"/>
      <c r="D1143" s="23"/>
      <c r="E1143" s="23"/>
      <c r="F1143" s="24"/>
      <c r="G1143" s="23"/>
      <c r="H1143" s="23"/>
      <c r="I1143" s="23"/>
      <c r="J1143" s="25"/>
      <c r="K1143" s="23"/>
      <c r="L1143" s="23"/>
      <c r="M1143" s="23"/>
      <c r="N1143" s="26"/>
      <c r="O1143" s="26"/>
      <c r="P1143" s="26"/>
      <c r="Q1143" s="26"/>
      <c r="R1143" s="26"/>
      <c r="S1143" s="26"/>
      <c r="T1143" s="26"/>
      <c r="U1143" s="26"/>
      <c r="V1143" s="26"/>
      <c r="W1143" s="27"/>
    </row>
    <row r="1144" spans="1:23" ht="15.75" customHeight="1" x14ac:dyDescent="0.25">
      <c r="A1144" s="23"/>
      <c r="B1144" s="23" t="str">
        <f t="shared" si="5"/>
        <v/>
      </c>
      <c r="C1144" s="23"/>
      <c r="D1144" s="23"/>
      <c r="E1144" s="23"/>
      <c r="F1144" s="24"/>
      <c r="G1144" s="23"/>
      <c r="H1144" s="23"/>
      <c r="I1144" s="23"/>
      <c r="J1144" s="25"/>
      <c r="K1144" s="23"/>
      <c r="L1144" s="23"/>
      <c r="M1144" s="23"/>
      <c r="N1144" s="26"/>
      <c r="O1144" s="26"/>
      <c r="P1144" s="26"/>
      <c r="Q1144" s="26"/>
      <c r="R1144" s="26"/>
      <c r="S1144" s="26"/>
      <c r="T1144" s="26"/>
      <c r="U1144" s="26"/>
      <c r="V1144" s="26"/>
      <c r="W1144" s="27"/>
    </row>
    <row r="1145" spans="1:23" ht="15.75" customHeight="1" x14ac:dyDescent="0.25">
      <c r="A1145" s="23"/>
      <c r="B1145" s="23" t="str">
        <f t="shared" si="5"/>
        <v/>
      </c>
      <c r="C1145" s="23"/>
      <c r="D1145" s="23"/>
      <c r="E1145" s="23"/>
      <c r="F1145" s="24"/>
      <c r="G1145" s="23"/>
      <c r="H1145" s="23"/>
      <c r="I1145" s="23"/>
      <c r="J1145" s="25"/>
      <c r="K1145" s="23"/>
      <c r="L1145" s="23"/>
      <c r="M1145" s="23"/>
      <c r="N1145" s="26"/>
      <c r="O1145" s="26"/>
      <c r="P1145" s="26"/>
      <c r="Q1145" s="26"/>
      <c r="R1145" s="26"/>
      <c r="S1145" s="26"/>
      <c r="T1145" s="26"/>
      <c r="U1145" s="26"/>
      <c r="V1145" s="26"/>
      <c r="W1145" s="27"/>
    </row>
    <row r="1146" spans="1:23" ht="15.75" customHeight="1" x14ac:dyDescent="0.25">
      <c r="A1146" s="23"/>
      <c r="B1146" s="23" t="str">
        <f t="shared" si="5"/>
        <v/>
      </c>
      <c r="C1146" s="23"/>
      <c r="D1146" s="23"/>
      <c r="E1146" s="23"/>
      <c r="F1146" s="24"/>
      <c r="G1146" s="23"/>
      <c r="H1146" s="23"/>
      <c r="I1146" s="23"/>
      <c r="J1146" s="25"/>
      <c r="K1146" s="23"/>
      <c r="L1146" s="23"/>
      <c r="M1146" s="23"/>
      <c r="N1146" s="26"/>
      <c r="O1146" s="26"/>
      <c r="P1146" s="26"/>
      <c r="Q1146" s="26"/>
      <c r="R1146" s="26"/>
      <c r="S1146" s="26"/>
      <c r="T1146" s="26"/>
      <c r="U1146" s="26"/>
      <c r="V1146" s="26"/>
      <c r="W1146" s="27"/>
    </row>
    <row r="1147" spans="1:23" ht="15.75" customHeight="1" x14ac:dyDescent="0.25">
      <c r="A1147" s="23"/>
      <c r="B1147" s="23" t="str">
        <f t="shared" si="5"/>
        <v/>
      </c>
      <c r="C1147" s="23"/>
      <c r="D1147" s="23"/>
      <c r="E1147" s="23"/>
      <c r="F1147" s="24"/>
      <c r="G1147" s="23"/>
      <c r="H1147" s="23"/>
      <c r="I1147" s="23"/>
      <c r="J1147" s="25"/>
      <c r="K1147" s="23"/>
      <c r="L1147" s="23"/>
      <c r="M1147" s="23"/>
      <c r="N1147" s="26"/>
      <c r="O1147" s="26"/>
      <c r="P1147" s="26"/>
      <c r="Q1147" s="26"/>
      <c r="R1147" s="26"/>
      <c r="S1147" s="26"/>
      <c r="T1147" s="26"/>
      <c r="U1147" s="26"/>
      <c r="V1147" s="26"/>
      <c r="W1147" s="27"/>
    </row>
    <row r="1148" spans="1:23" ht="15.75" customHeight="1" x14ac:dyDescent="0.25">
      <c r="A1148" s="23"/>
      <c r="B1148" s="23" t="str">
        <f t="shared" si="5"/>
        <v/>
      </c>
      <c r="C1148" s="23"/>
      <c r="D1148" s="23"/>
      <c r="E1148" s="23"/>
      <c r="F1148" s="24"/>
      <c r="G1148" s="23"/>
      <c r="H1148" s="23"/>
      <c r="I1148" s="23"/>
      <c r="J1148" s="25"/>
      <c r="K1148" s="23"/>
      <c r="L1148" s="23"/>
      <c r="M1148" s="23"/>
      <c r="N1148" s="26"/>
      <c r="O1148" s="26"/>
      <c r="P1148" s="26"/>
      <c r="Q1148" s="26"/>
      <c r="R1148" s="26"/>
      <c r="S1148" s="26"/>
      <c r="T1148" s="26"/>
      <c r="U1148" s="26"/>
      <c r="V1148" s="26"/>
      <c r="W1148" s="27"/>
    </row>
    <row r="1149" spans="1:23" ht="15.75" customHeight="1" x14ac:dyDescent="0.25">
      <c r="A1149" s="23"/>
      <c r="B1149" s="23" t="str">
        <f t="shared" si="5"/>
        <v/>
      </c>
      <c r="C1149" s="23"/>
      <c r="D1149" s="23"/>
      <c r="E1149" s="23"/>
      <c r="F1149" s="24"/>
      <c r="G1149" s="23"/>
      <c r="H1149" s="23"/>
      <c r="I1149" s="23"/>
      <c r="J1149" s="25"/>
      <c r="K1149" s="23"/>
      <c r="L1149" s="23"/>
      <c r="M1149" s="23"/>
      <c r="N1149" s="26"/>
      <c r="O1149" s="26"/>
      <c r="P1149" s="26"/>
      <c r="Q1149" s="26"/>
      <c r="R1149" s="26"/>
      <c r="S1149" s="26"/>
      <c r="T1149" s="26"/>
      <c r="U1149" s="26"/>
      <c r="V1149" s="26"/>
      <c r="W1149" s="27"/>
    </row>
    <row r="1150" spans="1:23" ht="15.75" customHeight="1" x14ac:dyDescent="0.25">
      <c r="A1150" s="23"/>
      <c r="B1150" s="23" t="str">
        <f t="shared" si="5"/>
        <v/>
      </c>
      <c r="C1150" s="23"/>
      <c r="D1150" s="23"/>
      <c r="E1150" s="23"/>
      <c r="F1150" s="24"/>
      <c r="G1150" s="23"/>
      <c r="H1150" s="23"/>
      <c r="I1150" s="23"/>
      <c r="J1150" s="25"/>
      <c r="K1150" s="23"/>
      <c r="L1150" s="23"/>
      <c r="M1150" s="23"/>
      <c r="N1150" s="26"/>
      <c r="O1150" s="26"/>
      <c r="P1150" s="26"/>
      <c r="Q1150" s="26"/>
      <c r="R1150" s="26"/>
      <c r="S1150" s="26"/>
      <c r="T1150" s="26"/>
      <c r="U1150" s="26"/>
      <c r="V1150" s="26"/>
      <c r="W1150" s="27"/>
    </row>
    <row r="1151" spans="1:23" ht="15.75" customHeight="1" x14ac:dyDescent="0.25">
      <c r="A1151" s="23"/>
      <c r="B1151" s="23" t="str">
        <f t="shared" si="5"/>
        <v/>
      </c>
      <c r="C1151" s="23"/>
      <c r="D1151" s="23"/>
      <c r="E1151" s="23"/>
      <c r="F1151" s="24"/>
      <c r="G1151" s="23"/>
      <c r="H1151" s="23"/>
      <c r="I1151" s="23"/>
      <c r="J1151" s="25"/>
      <c r="K1151" s="23"/>
      <c r="L1151" s="23"/>
      <c r="M1151" s="23"/>
      <c r="N1151" s="26"/>
      <c r="O1151" s="26"/>
      <c r="P1151" s="26"/>
      <c r="Q1151" s="26"/>
      <c r="R1151" s="26"/>
      <c r="S1151" s="26"/>
      <c r="T1151" s="26"/>
      <c r="U1151" s="26"/>
      <c r="V1151" s="26"/>
      <c r="W1151" s="27"/>
    </row>
    <row r="1152" spans="1:23" ht="15.75" customHeight="1" x14ac:dyDescent="0.25">
      <c r="A1152" s="23"/>
      <c r="B1152" s="23" t="str">
        <f t="shared" si="5"/>
        <v/>
      </c>
      <c r="C1152" s="23"/>
      <c r="D1152" s="23"/>
      <c r="E1152" s="23"/>
      <c r="F1152" s="24"/>
      <c r="G1152" s="23"/>
      <c r="H1152" s="23"/>
      <c r="I1152" s="23"/>
      <c r="J1152" s="25"/>
      <c r="K1152" s="23"/>
      <c r="L1152" s="23"/>
      <c r="M1152" s="23"/>
      <c r="N1152" s="26"/>
      <c r="O1152" s="26"/>
      <c r="P1152" s="26"/>
      <c r="Q1152" s="26"/>
      <c r="R1152" s="26"/>
      <c r="S1152" s="26"/>
      <c r="T1152" s="26"/>
      <c r="U1152" s="26"/>
      <c r="V1152" s="26"/>
      <c r="W1152" s="27"/>
    </row>
    <row r="1153" spans="1:23" ht="15.75" customHeight="1" x14ac:dyDescent="0.25">
      <c r="A1153" s="23"/>
      <c r="B1153" s="23" t="str">
        <f t="shared" si="5"/>
        <v/>
      </c>
      <c r="C1153" s="23"/>
      <c r="D1153" s="23"/>
      <c r="E1153" s="23"/>
      <c r="F1153" s="24"/>
      <c r="G1153" s="23"/>
      <c r="H1153" s="23"/>
      <c r="I1153" s="23"/>
      <c r="J1153" s="25"/>
      <c r="K1153" s="23"/>
      <c r="L1153" s="23"/>
      <c r="M1153" s="23"/>
      <c r="N1153" s="26"/>
      <c r="O1153" s="26"/>
      <c r="P1153" s="26"/>
      <c r="Q1153" s="26"/>
      <c r="R1153" s="26"/>
      <c r="S1153" s="26"/>
      <c r="T1153" s="26"/>
      <c r="U1153" s="26"/>
      <c r="V1153" s="26"/>
      <c r="W1153" s="27"/>
    </row>
    <row r="1154" spans="1:23" ht="15.75" customHeight="1" x14ac:dyDescent="0.25">
      <c r="A1154" s="23"/>
      <c r="B1154" s="23" t="str">
        <f t="shared" si="5"/>
        <v/>
      </c>
      <c r="C1154" s="23"/>
      <c r="D1154" s="23"/>
      <c r="E1154" s="23"/>
      <c r="F1154" s="24"/>
      <c r="G1154" s="23"/>
      <c r="H1154" s="23"/>
      <c r="I1154" s="23"/>
      <c r="J1154" s="25"/>
      <c r="K1154" s="23"/>
      <c r="L1154" s="23"/>
      <c r="M1154" s="23"/>
      <c r="N1154" s="26"/>
      <c r="O1154" s="26"/>
      <c r="P1154" s="26"/>
      <c r="Q1154" s="26"/>
      <c r="R1154" s="26"/>
      <c r="S1154" s="26"/>
      <c r="T1154" s="26"/>
      <c r="U1154" s="26"/>
      <c r="V1154" s="26"/>
      <c r="W1154" s="27"/>
    </row>
    <row r="1155" spans="1:23" ht="15.75" customHeight="1" x14ac:dyDescent="0.25">
      <c r="A1155" s="23"/>
      <c r="B1155" s="23" t="str">
        <f t="shared" si="5"/>
        <v/>
      </c>
      <c r="C1155" s="23"/>
      <c r="D1155" s="23"/>
      <c r="E1155" s="23"/>
      <c r="F1155" s="24"/>
      <c r="G1155" s="23"/>
      <c r="H1155" s="23"/>
      <c r="I1155" s="23"/>
      <c r="J1155" s="25"/>
      <c r="K1155" s="23"/>
      <c r="L1155" s="23"/>
      <c r="M1155" s="23"/>
      <c r="N1155" s="26"/>
      <c r="O1155" s="26"/>
      <c r="P1155" s="26"/>
      <c r="Q1155" s="26"/>
      <c r="R1155" s="26"/>
      <c r="S1155" s="26"/>
      <c r="T1155" s="26"/>
      <c r="U1155" s="26"/>
      <c r="V1155" s="26"/>
      <c r="W1155" s="27"/>
    </row>
    <row r="1156" spans="1:23" ht="15.75" customHeight="1" x14ac:dyDescent="0.25">
      <c r="A1156" s="23"/>
      <c r="B1156" s="23" t="str">
        <f t="shared" si="5"/>
        <v/>
      </c>
      <c r="C1156" s="23"/>
      <c r="D1156" s="23"/>
      <c r="E1156" s="23"/>
      <c r="F1156" s="24"/>
      <c r="G1156" s="23"/>
      <c r="H1156" s="23"/>
      <c r="I1156" s="23"/>
      <c r="J1156" s="25"/>
      <c r="K1156" s="23"/>
      <c r="L1156" s="23"/>
      <c r="M1156" s="23"/>
      <c r="N1156" s="26"/>
      <c r="O1156" s="26"/>
      <c r="P1156" s="26"/>
      <c r="Q1156" s="26"/>
      <c r="R1156" s="26"/>
      <c r="S1156" s="26"/>
      <c r="T1156" s="26"/>
      <c r="U1156" s="26"/>
      <c r="V1156" s="26"/>
      <c r="W1156" s="27"/>
    </row>
    <row r="1157" spans="1:23" ht="15.75" customHeight="1" x14ac:dyDescent="0.25">
      <c r="A1157" s="23"/>
      <c r="B1157" s="23" t="str">
        <f t="shared" si="5"/>
        <v/>
      </c>
      <c r="C1157" s="23"/>
      <c r="D1157" s="23"/>
      <c r="E1157" s="23"/>
      <c r="F1157" s="24"/>
      <c r="G1157" s="23"/>
      <c r="H1157" s="23"/>
      <c r="I1157" s="23"/>
      <c r="J1157" s="25"/>
      <c r="K1157" s="23"/>
      <c r="L1157" s="23"/>
      <c r="M1157" s="23"/>
      <c r="N1157" s="26"/>
      <c r="O1157" s="26"/>
      <c r="P1157" s="26"/>
      <c r="Q1157" s="26"/>
      <c r="R1157" s="26"/>
      <c r="S1157" s="26"/>
      <c r="T1157" s="26"/>
      <c r="U1157" s="26"/>
      <c r="V1157" s="26"/>
      <c r="W1157" s="27"/>
    </row>
    <row r="1158" spans="1:23" ht="15.75" customHeight="1" x14ac:dyDescent="0.25">
      <c r="A1158" s="23"/>
      <c r="B1158" s="23" t="str">
        <f t="shared" si="5"/>
        <v/>
      </c>
      <c r="C1158" s="23"/>
      <c r="D1158" s="23"/>
      <c r="E1158" s="23"/>
      <c r="F1158" s="24"/>
      <c r="G1158" s="23"/>
      <c r="H1158" s="23"/>
      <c r="I1158" s="23"/>
      <c r="J1158" s="25"/>
      <c r="K1158" s="23"/>
      <c r="L1158" s="23"/>
      <c r="M1158" s="23"/>
      <c r="N1158" s="26"/>
      <c r="O1158" s="26"/>
      <c r="P1158" s="26"/>
      <c r="Q1158" s="26"/>
      <c r="R1158" s="26"/>
      <c r="S1158" s="26"/>
      <c r="T1158" s="26"/>
      <c r="U1158" s="26"/>
      <c r="V1158" s="26"/>
      <c r="W1158" s="27"/>
    </row>
    <row r="1159" spans="1:23" ht="15.75" customHeight="1" x14ac:dyDescent="0.25">
      <c r="A1159" s="23"/>
      <c r="B1159" s="23" t="str">
        <f t="shared" si="5"/>
        <v/>
      </c>
      <c r="C1159" s="23"/>
      <c r="D1159" s="23"/>
      <c r="E1159" s="23"/>
      <c r="F1159" s="24"/>
      <c r="G1159" s="23"/>
      <c r="H1159" s="23"/>
      <c r="I1159" s="23"/>
      <c r="J1159" s="25"/>
      <c r="K1159" s="23"/>
      <c r="L1159" s="23"/>
      <c r="M1159" s="23"/>
      <c r="N1159" s="26"/>
      <c r="O1159" s="26"/>
      <c r="P1159" s="26"/>
      <c r="Q1159" s="26"/>
      <c r="R1159" s="26"/>
      <c r="S1159" s="26"/>
      <c r="T1159" s="26"/>
      <c r="U1159" s="26"/>
      <c r="V1159" s="26"/>
      <c r="W1159" s="27"/>
    </row>
    <row r="1160" spans="1:23" ht="15.75" customHeight="1" x14ac:dyDescent="0.25">
      <c r="A1160" s="23"/>
      <c r="B1160" s="23" t="str">
        <f t="shared" si="5"/>
        <v/>
      </c>
      <c r="C1160" s="23"/>
      <c r="D1160" s="23"/>
      <c r="E1160" s="23"/>
      <c r="F1160" s="24"/>
      <c r="G1160" s="23"/>
      <c r="H1160" s="23"/>
      <c r="I1160" s="23"/>
      <c r="J1160" s="25"/>
      <c r="K1160" s="23"/>
      <c r="L1160" s="23"/>
      <c r="M1160" s="23"/>
      <c r="N1160" s="26"/>
      <c r="O1160" s="26"/>
      <c r="P1160" s="26"/>
      <c r="Q1160" s="26"/>
      <c r="R1160" s="26"/>
      <c r="S1160" s="26"/>
      <c r="T1160" s="26"/>
      <c r="U1160" s="26"/>
      <c r="V1160" s="26"/>
      <c r="W1160" s="27"/>
    </row>
    <row r="1161" spans="1:23" ht="15.75" customHeight="1" x14ac:dyDescent="0.25">
      <c r="A1161" s="23"/>
      <c r="B1161" s="23" t="str">
        <f t="shared" si="5"/>
        <v/>
      </c>
      <c r="C1161" s="23"/>
      <c r="D1161" s="23"/>
      <c r="E1161" s="23"/>
      <c r="F1161" s="24"/>
      <c r="G1161" s="23"/>
      <c r="H1161" s="23"/>
      <c r="I1161" s="23"/>
      <c r="J1161" s="25"/>
      <c r="K1161" s="23"/>
      <c r="L1161" s="23"/>
      <c r="M1161" s="23"/>
      <c r="N1161" s="26"/>
      <c r="O1161" s="26"/>
      <c r="P1161" s="26"/>
      <c r="Q1161" s="26"/>
      <c r="R1161" s="26"/>
      <c r="S1161" s="26"/>
      <c r="T1161" s="26"/>
      <c r="U1161" s="26"/>
      <c r="V1161" s="26"/>
      <c r="W1161" s="27"/>
    </row>
    <row r="1162" spans="1:23" ht="15.75" customHeight="1" x14ac:dyDescent="0.25">
      <c r="A1162" s="23"/>
      <c r="B1162" s="23" t="str">
        <f t="shared" si="5"/>
        <v/>
      </c>
      <c r="C1162" s="23"/>
      <c r="D1162" s="23"/>
      <c r="E1162" s="23"/>
      <c r="F1162" s="24"/>
      <c r="G1162" s="23"/>
      <c r="H1162" s="23"/>
      <c r="I1162" s="23"/>
      <c r="J1162" s="25"/>
      <c r="K1162" s="23"/>
      <c r="L1162" s="23"/>
      <c r="M1162" s="23"/>
      <c r="N1162" s="26"/>
      <c r="O1162" s="26"/>
      <c r="P1162" s="26"/>
      <c r="Q1162" s="26"/>
      <c r="R1162" s="26"/>
      <c r="S1162" s="26"/>
      <c r="T1162" s="26"/>
      <c r="U1162" s="26"/>
      <c r="V1162" s="26"/>
      <c r="W1162" s="27"/>
    </row>
    <row r="1163" spans="1:23" ht="15.75" customHeight="1" x14ac:dyDescent="0.25">
      <c r="A1163" s="23"/>
      <c r="B1163" s="23" t="str">
        <f t="shared" si="5"/>
        <v/>
      </c>
      <c r="C1163" s="23"/>
      <c r="D1163" s="23"/>
      <c r="E1163" s="23"/>
      <c r="F1163" s="24"/>
      <c r="G1163" s="23"/>
      <c r="H1163" s="23"/>
      <c r="I1163" s="23"/>
      <c r="J1163" s="25"/>
      <c r="K1163" s="23"/>
      <c r="L1163" s="23"/>
      <c r="M1163" s="23"/>
      <c r="N1163" s="26"/>
      <c r="O1163" s="26"/>
      <c r="P1163" s="26"/>
      <c r="Q1163" s="26"/>
      <c r="R1163" s="26"/>
      <c r="S1163" s="26"/>
      <c r="T1163" s="26"/>
      <c r="U1163" s="26"/>
      <c r="V1163" s="26"/>
      <c r="W1163" s="27"/>
    </row>
    <row r="1164" spans="1:23" ht="15.75" customHeight="1" x14ac:dyDescent="0.25">
      <c r="A1164" s="23"/>
      <c r="B1164" s="23" t="str">
        <f t="shared" si="5"/>
        <v/>
      </c>
      <c r="C1164" s="23"/>
      <c r="D1164" s="23"/>
      <c r="E1164" s="23"/>
      <c r="F1164" s="24"/>
      <c r="G1164" s="23"/>
      <c r="H1164" s="23"/>
      <c r="I1164" s="23"/>
      <c r="J1164" s="25"/>
      <c r="K1164" s="23"/>
      <c r="L1164" s="23"/>
      <c r="M1164" s="23"/>
      <c r="N1164" s="26"/>
      <c r="O1164" s="26"/>
      <c r="P1164" s="26"/>
      <c r="Q1164" s="26"/>
      <c r="R1164" s="26"/>
      <c r="S1164" s="26"/>
      <c r="T1164" s="26"/>
      <c r="U1164" s="26"/>
      <c r="V1164" s="26"/>
      <c r="W1164" s="27"/>
    </row>
    <row r="1165" spans="1:23" ht="15.75" customHeight="1" x14ac:dyDescent="0.25">
      <c r="A1165" s="23"/>
      <c r="B1165" s="23" t="str">
        <f t="shared" si="5"/>
        <v/>
      </c>
      <c r="C1165" s="23"/>
      <c r="D1165" s="23"/>
      <c r="E1165" s="23"/>
      <c r="F1165" s="24"/>
      <c r="G1165" s="23"/>
      <c r="H1165" s="23"/>
      <c r="I1165" s="23"/>
      <c r="J1165" s="25"/>
      <c r="K1165" s="23"/>
      <c r="L1165" s="23"/>
      <c r="M1165" s="23"/>
      <c r="N1165" s="26"/>
      <c r="O1165" s="26"/>
      <c r="P1165" s="26"/>
      <c r="Q1165" s="26"/>
      <c r="R1165" s="26"/>
      <c r="S1165" s="26"/>
      <c r="T1165" s="26"/>
      <c r="U1165" s="26"/>
      <c r="V1165" s="26"/>
      <c r="W1165" s="27"/>
    </row>
    <row r="1166" spans="1:23" ht="15.75" customHeight="1" x14ac:dyDescent="0.25">
      <c r="A1166" s="23"/>
      <c r="B1166" s="23" t="str">
        <f t="shared" si="5"/>
        <v/>
      </c>
      <c r="C1166" s="23"/>
      <c r="D1166" s="23"/>
      <c r="E1166" s="23"/>
      <c r="F1166" s="24"/>
      <c r="G1166" s="23"/>
      <c r="H1166" s="23"/>
      <c r="I1166" s="23"/>
      <c r="J1166" s="25"/>
      <c r="K1166" s="23"/>
      <c r="L1166" s="23"/>
      <c r="M1166" s="23"/>
      <c r="N1166" s="26"/>
      <c r="O1166" s="26"/>
      <c r="P1166" s="26"/>
      <c r="Q1166" s="26"/>
      <c r="R1166" s="26"/>
      <c r="S1166" s="26"/>
      <c r="T1166" s="26"/>
      <c r="U1166" s="26"/>
      <c r="V1166" s="26"/>
      <c r="W1166" s="27"/>
    </row>
    <row r="1167" spans="1:23" ht="15.75" customHeight="1" x14ac:dyDescent="0.25">
      <c r="A1167" s="23"/>
      <c r="B1167" s="23" t="str">
        <f t="shared" si="5"/>
        <v/>
      </c>
      <c r="C1167" s="23"/>
      <c r="D1167" s="23"/>
      <c r="E1167" s="23"/>
      <c r="F1167" s="24"/>
      <c r="G1167" s="23"/>
      <c r="H1167" s="23"/>
      <c r="I1167" s="23"/>
      <c r="J1167" s="25"/>
      <c r="K1167" s="23"/>
      <c r="L1167" s="23"/>
      <c r="M1167" s="23"/>
      <c r="N1167" s="26"/>
      <c r="O1167" s="26"/>
      <c r="P1167" s="26"/>
      <c r="Q1167" s="26"/>
      <c r="R1167" s="26"/>
      <c r="S1167" s="26"/>
      <c r="T1167" s="26"/>
      <c r="U1167" s="26"/>
      <c r="V1167" s="26"/>
      <c r="W1167" s="27"/>
    </row>
    <row r="1168" spans="1:23" ht="15.75" customHeight="1" x14ac:dyDescent="0.25">
      <c r="A1168" s="23"/>
      <c r="B1168" s="23" t="str">
        <f t="shared" si="5"/>
        <v/>
      </c>
      <c r="C1168" s="23"/>
      <c r="D1168" s="23"/>
      <c r="E1168" s="23"/>
      <c r="F1168" s="24"/>
      <c r="G1168" s="23"/>
      <c r="H1168" s="23"/>
      <c r="I1168" s="23"/>
      <c r="J1168" s="25"/>
      <c r="K1168" s="23"/>
      <c r="L1168" s="23"/>
      <c r="M1168" s="23"/>
      <c r="N1168" s="26"/>
      <c r="O1168" s="26"/>
      <c r="P1168" s="26"/>
      <c r="Q1168" s="26"/>
      <c r="R1168" s="26"/>
      <c r="S1168" s="26"/>
      <c r="T1168" s="26"/>
      <c r="U1168" s="26"/>
      <c r="V1168" s="26"/>
      <c r="W1168" s="27"/>
    </row>
    <row r="1169" spans="1:23" ht="15.75" customHeight="1" x14ac:dyDescent="0.25">
      <c r="A1169" s="23"/>
      <c r="B1169" s="23" t="str">
        <f t="shared" si="5"/>
        <v/>
      </c>
      <c r="C1169" s="23"/>
      <c r="D1169" s="23"/>
      <c r="E1169" s="23"/>
      <c r="F1169" s="24"/>
      <c r="G1169" s="23"/>
      <c r="H1169" s="23"/>
      <c r="I1169" s="23"/>
      <c r="J1169" s="25"/>
      <c r="K1169" s="23"/>
      <c r="L1169" s="23"/>
      <c r="M1169" s="23"/>
      <c r="N1169" s="26"/>
      <c r="O1169" s="26"/>
      <c r="P1169" s="26"/>
      <c r="Q1169" s="26"/>
      <c r="R1169" s="26"/>
      <c r="S1169" s="26"/>
      <c r="T1169" s="26"/>
      <c r="U1169" s="26"/>
      <c r="V1169" s="26"/>
      <c r="W1169" s="27"/>
    </row>
    <row r="1170" spans="1:23" ht="15.75" customHeight="1" x14ac:dyDescent="0.25">
      <c r="A1170" s="23"/>
      <c r="B1170" s="23" t="str">
        <f t="shared" si="5"/>
        <v/>
      </c>
      <c r="C1170" s="23"/>
      <c r="D1170" s="23"/>
      <c r="E1170" s="23"/>
      <c r="F1170" s="24"/>
      <c r="G1170" s="23"/>
      <c r="H1170" s="23"/>
      <c r="I1170" s="23"/>
      <c r="J1170" s="25"/>
      <c r="K1170" s="23"/>
      <c r="L1170" s="23"/>
      <c r="M1170" s="23"/>
      <c r="N1170" s="26"/>
      <c r="O1170" s="26"/>
      <c r="P1170" s="26"/>
      <c r="Q1170" s="26"/>
      <c r="R1170" s="26"/>
      <c r="S1170" s="26"/>
      <c r="T1170" s="26"/>
      <c r="U1170" s="26"/>
      <c r="V1170" s="26"/>
      <c r="W1170" s="27"/>
    </row>
    <row r="1171" spans="1:23" ht="15.75" customHeight="1" x14ac:dyDescent="0.25">
      <c r="A1171" s="23"/>
      <c r="B1171" s="23" t="str">
        <f t="shared" si="5"/>
        <v/>
      </c>
      <c r="C1171" s="23"/>
      <c r="D1171" s="23"/>
      <c r="E1171" s="23"/>
      <c r="F1171" s="24"/>
      <c r="G1171" s="23"/>
      <c r="H1171" s="23"/>
      <c r="I1171" s="23"/>
      <c r="J1171" s="25"/>
      <c r="K1171" s="23"/>
      <c r="L1171" s="23"/>
      <c r="M1171" s="23"/>
      <c r="N1171" s="26"/>
      <c r="O1171" s="26"/>
      <c r="P1171" s="26"/>
      <c r="Q1171" s="26"/>
      <c r="R1171" s="26"/>
      <c r="S1171" s="26"/>
      <c r="T1171" s="26"/>
      <c r="U1171" s="26"/>
      <c r="V1171" s="26"/>
      <c r="W1171" s="27"/>
    </row>
    <row r="1172" spans="1:23" ht="15.75" customHeight="1" x14ac:dyDescent="0.25">
      <c r="A1172" s="23"/>
      <c r="B1172" s="23" t="str">
        <f t="shared" si="5"/>
        <v/>
      </c>
      <c r="C1172" s="23"/>
      <c r="D1172" s="23"/>
      <c r="E1172" s="23"/>
      <c r="F1172" s="24"/>
      <c r="G1172" s="23"/>
      <c r="H1172" s="23"/>
      <c r="I1172" s="23"/>
      <c r="J1172" s="25"/>
      <c r="K1172" s="23"/>
      <c r="L1172" s="23"/>
      <c r="M1172" s="23"/>
      <c r="N1172" s="26"/>
      <c r="O1172" s="26"/>
      <c r="P1172" s="26"/>
      <c r="Q1172" s="26"/>
      <c r="R1172" s="26"/>
      <c r="S1172" s="26"/>
      <c r="T1172" s="26"/>
      <c r="U1172" s="26"/>
      <c r="V1172" s="26"/>
      <c r="W1172" s="27"/>
    </row>
    <row r="1173" spans="1:23" ht="15.75" customHeight="1" x14ac:dyDescent="0.25">
      <c r="A1173" s="23"/>
      <c r="B1173" s="23" t="str">
        <f t="shared" si="5"/>
        <v/>
      </c>
      <c r="C1173" s="23"/>
      <c r="D1173" s="23"/>
      <c r="E1173" s="23"/>
      <c r="F1173" s="24"/>
      <c r="G1173" s="23"/>
      <c r="H1173" s="23"/>
      <c r="I1173" s="23"/>
      <c r="J1173" s="25"/>
      <c r="K1173" s="23"/>
      <c r="L1173" s="23"/>
      <c r="M1173" s="23"/>
      <c r="N1173" s="26"/>
      <c r="O1173" s="26"/>
      <c r="P1173" s="26"/>
      <c r="Q1173" s="26"/>
      <c r="R1173" s="26"/>
      <c r="S1173" s="26"/>
      <c r="T1173" s="26"/>
      <c r="U1173" s="26"/>
      <c r="V1173" s="26"/>
      <c r="W1173" s="27"/>
    </row>
    <row r="1174" spans="1:23" ht="15.75" customHeight="1" x14ac:dyDescent="0.25">
      <c r="A1174" s="23"/>
      <c r="B1174" s="23" t="str">
        <f t="shared" si="5"/>
        <v/>
      </c>
      <c r="C1174" s="23"/>
      <c r="D1174" s="23"/>
      <c r="E1174" s="23"/>
      <c r="F1174" s="24"/>
      <c r="G1174" s="23"/>
      <c r="H1174" s="23"/>
      <c r="I1174" s="23"/>
      <c r="J1174" s="25"/>
      <c r="K1174" s="23"/>
      <c r="L1174" s="23"/>
      <c r="M1174" s="23"/>
      <c r="N1174" s="26"/>
      <c r="O1174" s="26"/>
      <c r="P1174" s="26"/>
      <c r="Q1174" s="26"/>
      <c r="R1174" s="26"/>
      <c r="S1174" s="26"/>
      <c r="T1174" s="26"/>
      <c r="U1174" s="26"/>
      <c r="V1174" s="26"/>
      <c r="W1174" s="27"/>
    </row>
    <row r="1175" spans="1:23" ht="15.75" customHeight="1" x14ac:dyDescent="0.25">
      <c r="A1175" s="23"/>
      <c r="B1175" s="23" t="str">
        <f t="shared" si="5"/>
        <v/>
      </c>
      <c r="C1175" s="23"/>
      <c r="D1175" s="23"/>
      <c r="E1175" s="23"/>
      <c r="F1175" s="24"/>
      <c r="G1175" s="23"/>
      <c r="H1175" s="23"/>
      <c r="I1175" s="23"/>
      <c r="J1175" s="25"/>
      <c r="K1175" s="23"/>
      <c r="L1175" s="23"/>
      <c r="M1175" s="23"/>
      <c r="N1175" s="26"/>
      <c r="O1175" s="26"/>
      <c r="P1175" s="26"/>
      <c r="Q1175" s="26"/>
      <c r="R1175" s="26"/>
      <c r="S1175" s="26"/>
      <c r="T1175" s="26"/>
      <c r="U1175" s="26"/>
      <c r="V1175" s="26"/>
      <c r="W1175" s="27"/>
    </row>
    <row r="1176" spans="1:23" ht="15.75" customHeight="1" x14ac:dyDescent="0.25">
      <c r="A1176" s="23"/>
      <c r="B1176" s="23" t="str">
        <f t="shared" si="5"/>
        <v/>
      </c>
      <c r="C1176" s="23"/>
      <c r="D1176" s="23"/>
      <c r="E1176" s="23"/>
      <c r="F1176" s="24"/>
      <c r="G1176" s="23"/>
      <c r="H1176" s="23"/>
      <c r="I1176" s="23"/>
      <c r="J1176" s="25"/>
      <c r="K1176" s="23"/>
      <c r="L1176" s="23"/>
      <c r="M1176" s="23"/>
      <c r="N1176" s="26"/>
      <c r="O1176" s="26"/>
      <c r="P1176" s="26"/>
      <c r="Q1176" s="26"/>
      <c r="R1176" s="26"/>
      <c r="S1176" s="26"/>
      <c r="T1176" s="26"/>
      <c r="U1176" s="26"/>
      <c r="V1176" s="26"/>
      <c r="W1176" s="27"/>
    </row>
    <row r="1177" spans="1:23" ht="15.75" customHeight="1" x14ac:dyDescent="0.25">
      <c r="A1177" s="23"/>
      <c r="B1177" s="23" t="str">
        <f t="shared" si="5"/>
        <v/>
      </c>
      <c r="C1177" s="23"/>
      <c r="D1177" s="23"/>
      <c r="E1177" s="23"/>
      <c r="F1177" s="24"/>
      <c r="G1177" s="23"/>
      <c r="H1177" s="23"/>
      <c r="I1177" s="23"/>
      <c r="J1177" s="25"/>
      <c r="K1177" s="23"/>
      <c r="L1177" s="23"/>
      <c r="M1177" s="23"/>
      <c r="N1177" s="26"/>
      <c r="O1177" s="26"/>
      <c r="P1177" s="26"/>
      <c r="Q1177" s="26"/>
      <c r="R1177" s="26"/>
      <c r="S1177" s="26"/>
      <c r="T1177" s="26"/>
      <c r="U1177" s="26"/>
      <c r="V1177" s="26"/>
      <c r="W1177" s="27"/>
    </row>
    <row r="1178" spans="1:23" ht="15.75" customHeight="1" x14ac:dyDescent="0.25">
      <c r="A1178" s="23"/>
      <c r="B1178" s="23" t="str">
        <f t="shared" si="5"/>
        <v/>
      </c>
      <c r="C1178" s="23"/>
      <c r="D1178" s="23"/>
      <c r="E1178" s="23"/>
      <c r="F1178" s="24"/>
      <c r="G1178" s="23"/>
      <c r="H1178" s="23"/>
      <c r="I1178" s="23"/>
      <c r="J1178" s="25"/>
      <c r="K1178" s="23"/>
      <c r="L1178" s="23"/>
      <c r="M1178" s="23"/>
      <c r="N1178" s="26"/>
      <c r="O1178" s="26"/>
      <c r="P1178" s="26"/>
      <c r="Q1178" s="26"/>
      <c r="R1178" s="26"/>
      <c r="S1178" s="26"/>
      <c r="T1178" s="26"/>
      <c r="U1178" s="26"/>
      <c r="V1178" s="26"/>
      <c r="W1178" s="27"/>
    </row>
    <row r="1179" spans="1:23" ht="15.75" customHeight="1" x14ac:dyDescent="0.25">
      <c r="A1179" s="23"/>
      <c r="B1179" s="23" t="str">
        <f t="shared" si="5"/>
        <v/>
      </c>
      <c r="C1179" s="23"/>
      <c r="D1179" s="23"/>
      <c r="E1179" s="23"/>
      <c r="F1179" s="24"/>
      <c r="G1179" s="23"/>
      <c r="H1179" s="23"/>
      <c r="I1179" s="23"/>
      <c r="J1179" s="25"/>
      <c r="K1179" s="23"/>
      <c r="L1179" s="23"/>
      <c r="M1179" s="23"/>
      <c r="N1179" s="26"/>
      <c r="O1179" s="26"/>
      <c r="P1179" s="26"/>
      <c r="Q1179" s="26"/>
      <c r="R1179" s="26"/>
      <c r="S1179" s="26"/>
      <c r="T1179" s="26"/>
      <c r="U1179" s="26"/>
      <c r="V1179" s="26"/>
      <c r="W1179" s="27"/>
    </row>
    <row r="1180" spans="1:23" ht="15.75" customHeight="1" x14ac:dyDescent="0.25">
      <c r="A1180" s="23"/>
      <c r="B1180" s="23" t="str">
        <f t="shared" si="5"/>
        <v/>
      </c>
      <c r="C1180" s="23"/>
      <c r="D1180" s="23"/>
      <c r="E1180" s="23"/>
      <c r="F1180" s="24"/>
      <c r="G1180" s="23"/>
      <c r="H1180" s="23"/>
      <c r="I1180" s="23"/>
      <c r="J1180" s="25"/>
      <c r="K1180" s="23"/>
      <c r="L1180" s="23"/>
      <c r="M1180" s="23"/>
      <c r="N1180" s="26"/>
      <c r="O1180" s="26"/>
      <c r="P1180" s="26"/>
      <c r="Q1180" s="26"/>
      <c r="R1180" s="26"/>
      <c r="S1180" s="26"/>
      <c r="T1180" s="26"/>
      <c r="U1180" s="26"/>
      <c r="V1180" s="26"/>
      <c r="W1180" s="27"/>
    </row>
    <row r="1181" spans="1:23" ht="15.75" customHeight="1" x14ac:dyDescent="0.25">
      <c r="A1181" s="23"/>
      <c r="B1181" s="23" t="str">
        <f t="shared" si="5"/>
        <v/>
      </c>
      <c r="C1181" s="23"/>
      <c r="D1181" s="23"/>
      <c r="E1181" s="23"/>
      <c r="F1181" s="24"/>
      <c r="G1181" s="23"/>
      <c r="H1181" s="23"/>
      <c r="I1181" s="23"/>
      <c r="J1181" s="25"/>
      <c r="K1181" s="23"/>
      <c r="L1181" s="23"/>
      <c r="M1181" s="23"/>
      <c r="N1181" s="26"/>
      <c r="O1181" s="26"/>
      <c r="P1181" s="26"/>
      <c r="Q1181" s="26"/>
      <c r="R1181" s="26"/>
      <c r="S1181" s="26"/>
      <c r="T1181" s="26"/>
      <c r="U1181" s="26"/>
      <c r="V1181" s="26"/>
      <c r="W1181" s="27"/>
    </row>
    <row r="1182" spans="1:23" ht="15.75" customHeight="1" x14ac:dyDescent="0.25">
      <c r="A1182" s="23"/>
      <c r="B1182" s="23" t="str">
        <f t="shared" si="5"/>
        <v/>
      </c>
      <c r="C1182" s="23"/>
      <c r="D1182" s="23"/>
      <c r="E1182" s="23"/>
      <c r="F1182" s="24"/>
      <c r="G1182" s="23"/>
      <c r="H1182" s="23"/>
      <c r="I1182" s="23"/>
      <c r="J1182" s="25"/>
      <c r="K1182" s="23"/>
      <c r="L1182" s="23"/>
      <c r="M1182" s="23"/>
      <c r="N1182" s="26"/>
      <c r="O1182" s="26"/>
      <c r="P1182" s="26"/>
      <c r="Q1182" s="26"/>
      <c r="R1182" s="26"/>
      <c r="S1182" s="26"/>
      <c r="T1182" s="26"/>
      <c r="U1182" s="26"/>
      <c r="V1182" s="26"/>
      <c r="W1182" s="27"/>
    </row>
    <row r="1183" spans="1:23" ht="15.75" customHeight="1" x14ac:dyDescent="0.25">
      <c r="A1183" s="23"/>
      <c r="B1183" s="23" t="str">
        <f t="shared" si="5"/>
        <v/>
      </c>
      <c r="C1183" s="23"/>
      <c r="D1183" s="23"/>
      <c r="E1183" s="23"/>
      <c r="F1183" s="24"/>
      <c r="G1183" s="23"/>
      <c r="H1183" s="23"/>
      <c r="I1183" s="23"/>
      <c r="J1183" s="25"/>
      <c r="K1183" s="23"/>
      <c r="L1183" s="23"/>
      <c r="M1183" s="23"/>
      <c r="N1183" s="26"/>
      <c r="O1183" s="26"/>
      <c r="P1183" s="26"/>
      <c r="Q1183" s="26"/>
      <c r="R1183" s="26"/>
      <c r="S1183" s="26"/>
      <c r="T1183" s="26"/>
      <c r="U1183" s="26"/>
      <c r="V1183" s="26"/>
      <c r="W1183" s="27"/>
    </row>
    <row r="1184" spans="1:23" ht="15.75" customHeight="1" x14ac:dyDescent="0.25">
      <c r="A1184" s="23"/>
      <c r="B1184" s="23" t="str">
        <f t="shared" si="5"/>
        <v/>
      </c>
      <c r="C1184" s="23"/>
      <c r="D1184" s="23"/>
      <c r="E1184" s="23"/>
      <c r="F1184" s="24"/>
      <c r="G1184" s="23"/>
      <c r="H1184" s="23"/>
      <c r="I1184" s="23"/>
      <c r="J1184" s="25"/>
      <c r="K1184" s="23"/>
      <c r="L1184" s="23"/>
      <c r="M1184" s="23"/>
      <c r="N1184" s="26"/>
      <c r="O1184" s="26"/>
      <c r="P1184" s="26"/>
      <c r="Q1184" s="26"/>
      <c r="R1184" s="26"/>
      <c r="S1184" s="26"/>
      <c r="T1184" s="26"/>
      <c r="U1184" s="26"/>
      <c r="V1184" s="26"/>
      <c r="W1184" s="27"/>
    </row>
    <row r="1185" spans="1:23" ht="15.75" customHeight="1" x14ac:dyDescent="0.25">
      <c r="A1185" s="23"/>
      <c r="B1185" s="23" t="str">
        <f t="shared" si="5"/>
        <v/>
      </c>
      <c r="C1185" s="23"/>
      <c r="D1185" s="23"/>
      <c r="E1185" s="23"/>
      <c r="F1185" s="24"/>
      <c r="G1185" s="23"/>
      <c r="H1185" s="23"/>
      <c r="I1185" s="23"/>
      <c r="J1185" s="25"/>
      <c r="K1185" s="23"/>
      <c r="L1185" s="23"/>
      <c r="M1185" s="23"/>
      <c r="N1185" s="26"/>
      <c r="O1185" s="26"/>
      <c r="P1185" s="26"/>
      <c r="Q1185" s="26"/>
      <c r="R1185" s="26"/>
      <c r="S1185" s="26"/>
      <c r="T1185" s="26"/>
      <c r="U1185" s="26"/>
      <c r="V1185" s="26"/>
      <c r="W1185" s="27"/>
    </row>
    <row r="1186" spans="1:23" ht="15.75" customHeight="1" x14ac:dyDescent="0.25">
      <c r="A1186" s="23"/>
      <c r="B1186" s="23" t="str">
        <f t="shared" si="5"/>
        <v/>
      </c>
      <c r="C1186" s="23"/>
      <c r="D1186" s="23"/>
      <c r="E1186" s="23"/>
      <c r="F1186" s="24"/>
      <c r="G1186" s="23"/>
      <c r="H1186" s="23"/>
      <c r="I1186" s="23"/>
      <c r="J1186" s="25"/>
      <c r="K1186" s="23"/>
      <c r="L1186" s="23"/>
      <c r="M1186" s="23"/>
      <c r="N1186" s="26"/>
      <c r="O1186" s="26"/>
      <c r="P1186" s="26"/>
      <c r="Q1186" s="26"/>
      <c r="R1186" s="26"/>
      <c r="S1186" s="26"/>
      <c r="T1186" s="26"/>
      <c r="U1186" s="26"/>
      <c r="V1186" s="26"/>
      <c r="W1186" s="27"/>
    </row>
    <row r="1187" spans="1:23" ht="15.75" customHeight="1" x14ac:dyDescent="0.25">
      <c r="A1187" s="23"/>
      <c r="B1187" s="23" t="str">
        <f t="shared" si="5"/>
        <v/>
      </c>
      <c r="C1187" s="23"/>
      <c r="D1187" s="23"/>
      <c r="E1187" s="23"/>
      <c r="F1187" s="24"/>
      <c r="G1187" s="23"/>
      <c r="H1187" s="23"/>
      <c r="I1187" s="23"/>
      <c r="J1187" s="25"/>
      <c r="K1187" s="23"/>
      <c r="L1187" s="23"/>
      <c r="M1187" s="23"/>
      <c r="N1187" s="26"/>
      <c r="O1187" s="26"/>
      <c r="P1187" s="26"/>
      <c r="Q1187" s="26"/>
      <c r="R1187" s="26"/>
      <c r="S1187" s="26"/>
      <c r="T1187" s="26"/>
      <c r="U1187" s="26"/>
      <c r="V1187" s="26"/>
      <c r="W1187" s="27"/>
    </row>
    <row r="1188" spans="1:23" ht="15.75" customHeight="1" x14ac:dyDescent="0.25">
      <c r="A1188" s="23"/>
      <c r="B1188" s="23" t="str">
        <f t="shared" si="5"/>
        <v/>
      </c>
      <c r="C1188" s="23"/>
      <c r="D1188" s="23"/>
      <c r="E1188" s="23"/>
      <c r="F1188" s="24"/>
      <c r="G1188" s="23"/>
      <c r="H1188" s="23"/>
      <c r="I1188" s="23"/>
      <c r="J1188" s="25"/>
      <c r="K1188" s="23"/>
      <c r="L1188" s="23"/>
      <c r="M1188" s="23"/>
      <c r="N1188" s="26"/>
      <c r="O1188" s="26"/>
      <c r="P1188" s="26"/>
      <c r="Q1188" s="26"/>
      <c r="R1188" s="26"/>
      <c r="S1188" s="26"/>
      <c r="T1188" s="26"/>
      <c r="U1188" s="26"/>
      <c r="V1188" s="26"/>
      <c r="W1188" s="27"/>
    </row>
    <row r="1189" spans="1:23" ht="15.75" customHeight="1" x14ac:dyDescent="0.25">
      <c r="A1189" s="23"/>
      <c r="B1189" s="23" t="str">
        <f t="shared" si="5"/>
        <v/>
      </c>
      <c r="C1189" s="23"/>
      <c r="D1189" s="23"/>
      <c r="E1189" s="23"/>
      <c r="F1189" s="24"/>
      <c r="G1189" s="23"/>
      <c r="H1189" s="23"/>
      <c r="I1189" s="23"/>
      <c r="J1189" s="25"/>
      <c r="K1189" s="23"/>
      <c r="L1189" s="23"/>
      <c r="M1189" s="23"/>
      <c r="N1189" s="26"/>
      <c r="O1189" s="26"/>
      <c r="P1189" s="26"/>
      <c r="Q1189" s="26"/>
      <c r="R1189" s="26"/>
      <c r="S1189" s="26"/>
      <c r="T1189" s="26"/>
      <c r="U1189" s="26"/>
      <c r="V1189" s="26"/>
      <c r="W1189" s="27"/>
    </row>
    <row r="1190" spans="1:23" ht="15.75" customHeight="1" x14ac:dyDescent="0.25">
      <c r="A1190" s="23"/>
      <c r="B1190" s="23" t="str">
        <f t="shared" si="5"/>
        <v/>
      </c>
      <c r="C1190" s="23"/>
      <c r="D1190" s="23"/>
      <c r="E1190" s="23"/>
      <c r="F1190" s="24"/>
      <c r="G1190" s="23"/>
      <c r="H1190" s="23"/>
      <c r="I1190" s="23"/>
      <c r="J1190" s="25"/>
      <c r="K1190" s="23"/>
      <c r="L1190" s="23"/>
      <c r="M1190" s="23"/>
      <c r="N1190" s="26"/>
      <c r="O1190" s="26"/>
      <c r="P1190" s="26"/>
      <c r="Q1190" s="26"/>
      <c r="R1190" s="26"/>
      <c r="S1190" s="26"/>
      <c r="T1190" s="26"/>
      <c r="U1190" s="26"/>
      <c r="V1190" s="26"/>
      <c r="W1190" s="27"/>
    </row>
    <row r="1191" spans="1:23" ht="15.75" customHeight="1" x14ac:dyDescent="0.25">
      <c r="A1191" s="23"/>
      <c r="B1191" s="23" t="str">
        <f t="shared" si="5"/>
        <v/>
      </c>
      <c r="C1191" s="23"/>
      <c r="D1191" s="23"/>
      <c r="E1191" s="23"/>
      <c r="F1191" s="24"/>
      <c r="G1191" s="23"/>
      <c r="H1191" s="23"/>
      <c r="I1191" s="23"/>
      <c r="J1191" s="25"/>
      <c r="K1191" s="23"/>
      <c r="L1191" s="23"/>
      <c r="M1191" s="23"/>
      <c r="N1191" s="26"/>
      <c r="O1191" s="26"/>
      <c r="P1191" s="26"/>
      <c r="Q1191" s="26"/>
      <c r="R1191" s="26"/>
      <c r="S1191" s="26"/>
      <c r="T1191" s="26"/>
      <c r="U1191" s="26"/>
      <c r="V1191" s="26"/>
      <c r="W1191" s="27"/>
    </row>
    <row r="1192" spans="1:23" ht="15.75" customHeight="1" x14ac:dyDescent="0.25">
      <c r="A1192" s="23"/>
      <c r="B1192" s="23" t="str">
        <f t="shared" si="5"/>
        <v/>
      </c>
      <c r="C1192" s="23"/>
      <c r="D1192" s="23"/>
      <c r="E1192" s="23"/>
      <c r="F1192" s="24"/>
      <c r="G1192" s="23"/>
      <c r="H1192" s="23"/>
      <c r="I1192" s="23"/>
      <c r="J1192" s="25"/>
      <c r="K1192" s="23"/>
      <c r="L1192" s="23"/>
      <c r="M1192" s="23"/>
      <c r="N1192" s="26"/>
      <c r="O1192" s="26"/>
      <c r="P1192" s="26"/>
      <c r="Q1192" s="26"/>
      <c r="R1192" s="26"/>
      <c r="S1192" s="26"/>
      <c r="T1192" s="26"/>
      <c r="U1192" s="26"/>
      <c r="V1192" s="26"/>
      <c r="W1192" s="27"/>
    </row>
    <row r="1193" spans="1:23" ht="15.75" customHeight="1" x14ac:dyDescent="0.25">
      <c r="A1193" s="23"/>
      <c r="B1193" s="23" t="str">
        <f t="shared" si="5"/>
        <v/>
      </c>
      <c r="C1193" s="23"/>
      <c r="D1193" s="23"/>
      <c r="E1193" s="23"/>
      <c r="F1193" s="24"/>
      <c r="G1193" s="23"/>
      <c r="H1193" s="23"/>
      <c r="I1193" s="23"/>
      <c r="J1193" s="25"/>
      <c r="K1193" s="23"/>
      <c r="L1193" s="23"/>
      <c r="M1193" s="23"/>
      <c r="N1193" s="26"/>
      <c r="O1193" s="26"/>
      <c r="P1193" s="26"/>
      <c r="Q1193" s="26"/>
      <c r="R1193" s="26"/>
      <c r="S1193" s="26"/>
      <c r="T1193" s="26"/>
      <c r="U1193" s="26"/>
      <c r="V1193" s="26"/>
      <c r="W1193" s="27"/>
    </row>
    <row r="1194" spans="1:23" ht="15.75" customHeight="1" x14ac:dyDescent="0.25">
      <c r="A1194" s="23"/>
      <c r="B1194" s="23" t="str">
        <f t="shared" si="5"/>
        <v/>
      </c>
      <c r="C1194" s="23"/>
      <c r="D1194" s="23"/>
      <c r="E1194" s="23"/>
      <c r="F1194" s="24"/>
      <c r="G1194" s="23"/>
      <c r="H1194" s="23"/>
      <c r="I1194" s="23"/>
      <c r="J1194" s="25"/>
      <c r="K1194" s="23"/>
      <c r="L1194" s="23"/>
      <c r="M1194" s="23"/>
      <c r="N1194" s="26"/>
      <c r="O1194" s="26"/>
      <c r="P1194" s="26"/>
      <c r="Q1194" s="26"/>
      <c r="R1194" s="26"/>
      <c r="S1194" s="26"/>
      <c r="T1194" s="26"/>
      <c r="U1194" s="26"/>
      <c r="V1194" s="26"/>
      <c r="W1194" s="27"/>
    </row>
    <row r="1195" spans="1:23" ht="15.75" customHeight="1" x14ac:dyDescent="0.25">
      <c r="A1195" s="23"/>
      <c r="B1195" s="23" t="str">
        <f t="shared" si="5"/>
        <v/>
      </c>
      <c r="C1195" s="23"/>
      <c r="D1195" s="23"/>
      <c r="E1195" s="23"/>
      <c r="F1195" s="24"/>
      <c r="G1195" s="23"/>
      <c r="H1195" s="23"/>
      <c r="I1195" s="23"/>
      <c r="J1195" s="25"/>
      <c r="K1195" s="23"/>
      <c r="L1195" s="23"/>
      <c r="M1195" s="23"/>
      <c r="N1195" s="26"/>
      <c r="O1195" s="26"/>
      <c r="P1195" s="26"/>
      <c r="Q1195" s="26"/>
      <c r="R1195" s="26"/>
      <c r="S1195" s="26"/>
      <c r="T1195" s="26"/>
      <c r="U1195" s="26"/>
      <c r="V1195" s="26"/>
      <c r="W1195" s="27"/>
    </row>
    <row r="1196" spans="1:23" ht="15.75" customHeight="1" x14ac:dyDescent="0.25">
      <c r="A1196" s="23"/>
      <c r="B1196" s="23" t="str">
        <f t="shared" si="5"/>
        <v/>
      </c>
      <c r="C1196" s="23"/>
      <c r="D1196" s="23"/>
      <c r="E1196" s="23"/>
      <c r="F1196" s="24"/>
      <c r="G1196" s="23"/>
      <c r="H1196" s="23"/>
      <c r="I1196" s="23"/>
      <c r="J1196" s="25"/>
      <c r="K1196" s="23"/>
      <c r="L1196" s="23"/>
      <c r="M1196" s="23"/>
      <c r="N1196" s="26"/>
      <c r="O1196" s="26"/>
      <c r="P1196" s="26"/>
      <c r="Q1196" s="26"/>
      <c r="R1196" s="26"/>
      <c r="S1196" s="26"/>
      <c r="T1196" s="26"/>
      <c r="U1196" s="26"/>
      <c r="V1196" s="26"/>
      <c r="W1196" s="27"/>
    </row>
    <row r="1197" spans="1:23" ht="15.75" customHeight="1" x14ac:dyDescent="0.25">
      <c r="A1197" s="23"/>
      <c r="B1197" s="23" t="str">
        <f t="shared" si="5"/>
        <v/>
      </c>
      <c r="C1197" s="23"/>
      <c r="D1197" s="23"/>
      <c r="E1197" s="23"/>
      <c r="F1197" s="24"/>
      <c r="G1197" s="23"/>
      <c r="H1197" s="23"/>
      <c r="I1197" s="23"/>
      <c r="J1197" s="25"/>
      <c r="K1197" s="23"/>
      <c r="L1197" s="23"/>
      <c r="M1197" s="23"/>
      <c r="N1197" s="26"/>
      <c r="O1197" s="26"/>
      <c r="P1197" s="26"/>
      <c r="Q1197" s="26"/>
      <c r="R1197" s="26"/>
      <c r="S1197" s="26"/>
      <c r="T1197" s="26"/>
      <c r="U1197" s="26"/>
      <c r="V1197" s="26"/>
      <c r="W1197" s="27"/>
    </row>
    <row r="1198" spans="1:23" ht="15.75" customHeight="1" x14ac:dyDescent="0.25">
      <c r="A1198" s="23"/>
      <c r="B1198" s="23" t="str">
        <f t="shared" si="5"/>
        <v/>
      </c>
      <c r="C1198" s="23"/>
      <c r="D1198" s="23"/>
      <c r="E1198" s="23"/>
      <c r="F1198" s="24"/>
      <c r="G1198" s="23"/>
      <c r="H1198" s="23"/>
      <c r="I1198" s="23"/>
      <c r="J1198" s="25"/>
      <c r="K1198" s="23"/>
      <c r="L1198" s="23"/>
      <c r="M1198" s="23"/>
      <c r="N1198" s="26"/>
      <c r="O1198" s="26"/>
      <c r="P1198" s="26"/>
      <c r="Q1198" s="26"/>
      <c r="R1198" s="26"/>
      <c r="S1198" s="26"/>
      <c r="T1198" s="26"/>
      <c r="U1198" s="26"/>
      <c r="V1198" s="26"/>
      <c r="W1198" s="27"/>
    </row>
    <row r="1199" spans="1:23" ht="15.75" customHeight="1" x14ac:dyDescent="0.25">
      <c r="A1199" s="23"/>
      <c r="B1199" s="23" t="str">
        <f t="shared" si="5"/>
        <v/>
      </c>
      <c r="C1199" s="23"/>
      <c r="D1199" s="23"/>
      <c r="E1199" s="23"/>
      <c r="F1199" s="24"/>
      <c r="G1199" s="23"/>
      <c r="H1199" s="23"/>
      <c r="I1199" s="23"/>
      <c r="J1199" s="25"/>
      <c r="K1199" s="23"/>
      <c r="L1199" s="23"/>
      <c r="M1199" s="23"/>
      <c r="N1199" s="26"/>
      <c r="O1199" s="26"/>
      <c r="P1199" s="26"/>
      <c r="Q1199" s="26"/>
      <c r="R1199" s="26"/>
      <c r="S1199" s="26"/>
      <c r="T1199" s="26"/>
      <c r="U1199" s="26"/>
      <c r="V1199" s="26"/>
      <c r="W1199" s="27"/>
    </row>
    <row r="1200" spans="1:23" ht="15.75" customHeight="1" x14ac:dyDescent="0.25">
      <c r="A1200" s="23"/>
      <c r="B1200" s="23" t="str">
        <f t="shared" si="5"/>
        <v/>
      </c>
      <c r="C1200" s="23"/>
      <c r="D1200" s="23"/>
      <c r="E1200" s="23"/>
      <c r="F1200" s="24"/>
      <c r="G1200" s="23"/>
      <c r="H1200" s="23"/>
      <c r="I1200" s="23"/>
      <c r="J1200" s="25"/>
      <c r="K1200" s="23"/>
      <c r="L1200" s="23"/>
      <c r="M1200" s="23"/>
      <c r="N1200" s="26"/>
      <c r="O1200" s="26"/>
      <c r="P1200" s="26"/>
      <c r="Q1200" s="26"/>
      <c r="R1200" s="26"/>
      <c r="S1200" s="26"/>
      <c r="T1200" s="26"/>
      <c r="U1200" s="26"/>
      <c r="V1200" s="26"/>
      <c r="W1200" s="27"/>
    </row>
    <row r="1201" spans="1:23" ht="15.75" customHeight="1" x14ac:dyDescent="0.25">
      <c r="A1201" s="23"/>
      <c r="B1201" s="23" t="str">
        <f t="shared" si="5"/>
        <v/>
      </c>
      <c r="C1201" s="23"/>
      <c r="D1201" s="23"/>
      <c r="E1201" s="23"/>
      <c r="F1201" s="24"/>
      <c r="G1201" s="23"/>
      <c r="H1201" s="23"/>
      <c r="I1201" s="23"/>
      <c r="J1201" s="25"/>
      <c r="K1201" s="23"/>
      <c r="L1201" s="23"/>
      <c r="M1201" s="23"/>
      <c r="N1201" s="26"/>
      <c r="O1201" s="26"/>
      <c r="P1201" s="26"/>
      <c r="Q1201" s="26"/>
      <c r="R1201" s="26"/>
      <c r="S1201" s="26"/>
      <c r="T1201" s="26"/>
      <c r="U1201" s="26"/>
      <c r="V1201" s="26"/>
      <c r="W1201" s="27"/>
    </row>
    <row r="1202" spans="1:23" ht="15.75" customHeight="1" x14ac:dyDescent="0.25">
      <c r="A1202" s="23"/>
      <c r="B1202" s="23" t="str">
        <f t="shared" si="5"/>
        <v/>
      </c>
      <c r="C1202" s="23"/>
      <c r="D1202" s="23"/>
      <c r="E1202" s="23"/>
      <c r="F1202" s="24"/>
      <c r="G1202" s="23"/>
      <c r="H1202" s="23"/>
      <c r="I1202" s="23"/>
      <c r="J1202" s="25"/>
      <c r="K1202" s="23"/>
      <c r="L1202" s="23"/>
      <c r="M1202" s="23"/>
      <c r="N1202" s="26"/>
      <c r="O1202" s="26"/>
      <c r="P1202" s="26"/>
      <c r="Q1202" s="26"/>
      <c r="R1202" s="26"/>
      <c r="S1202" s="26"/>
      <c r="T1202" s="26"/>
      <c r="U1202" s="26"/>
      <c r="V1202" s="26"/>
      <c r="W1202" s="27"/>
    </row>
    <row r="1203" spans="1:23" ht="15.75" customHeight="1" x14ac:dyDescent="0.25">
      <c r="A1203" s="23"/>
      <c r="B1203" s="23" t="str">
        <f t="shared" si="5"/>
        <v/>
      </c>
      <c r="C1203" s="23"/>
      <c r="D1203" s="23"/>
      <c r="E1203" s="23"/>
      <c r="F1203" s="24"/>
      <c r="G1203" s="23"/>
      <c r="H1203" s="23"/>
      <c r="I1203" s="23"/>
      <c r="J1203" s="25"/>
      <c r="K1203" s="23"/>
      <c r="L1203" s="23"/>
      <c r="M1203" s="23"/>
      <c r="N1203" s="26"/>
      <c r="O1203" s="26"/>
      <c r="P1203" s="26"/>
      <c r="Q1203" s="26"/>
      <c r="R1203" s="26"/>
      <c r="S1203" s="26"/>
      <c r="T1203" s="26"/>
      <c r="U1203" s="26"/>
      <c r="V1203" s="26"/>
      <c r="W1203" s="27"/>
    </row>
    <row r="1204" spans="1:23" ht="15.75" customHeight="1" x14ac:dyDescent="0.25">
      <c r="A1204" s="23"/>
      <c r="B1204" s="23" t="str">
        <f t="shared" si="5"/>
        <v/>
      </c>
      <c r="C1204" s="23"/>
      <c r="D1204" s="23"/>
      <c r="E1204" s="23"/>
      <c r="F1204" s="24"/>
      <c r="G1204" s="23"/>
      <c r="H1204" s="23"/>
      <c r="I1204" s="23"/>
      <c r="J1204" s="25"/>
      <c r="K1204" s="23"/>
      <c r="L1204" s="23"/>
      <c r="M1204" s="23"/>
      <c r="N1204" s="26"/>
      <c r="O1204" s="26"/>
      <c r="P1204" s="26"/>
      <c r="Q1204" s="26"/>
      <c r="R1204" s="26"/>
      <c r="S1204" s="26"/>
      <c r="T1204" s="26"/>
      <c r="U1204" s="26"/>
      <c r="V1204" s="26"/>
      <c r="W1204" s="27"/>
    </row>
    <row r="1205" spans="1:23" ht="15.75" customHeight="1" x14ac:dyDescent="0.25">
      <c r="A1205" s="23"/>
      <c r="B1205" s="23" t="str">
        <f t="shared" si="5"/>
        <v/>
      </c>
      <c r="C1205" s="23"/>
      <c r="D1205" s="23"/>
      <c r="E1205" s="23"/>
      <c r="F1205" s="24"/>
      <c r="G1205" s="23"/>
      <c r="H1205" s="23"/>
      <c r="I1205" s="23"/>
      <c r="J1205" s="25"/>
      <c r="K1205" s="23"/>
      <c r="L1205" s="23"/>
      <c r="M1205" s="23"/>
      <c r="N1205" s="26"/>
      <c r="O1205" s="26"/>
      <c r="P1205" s="26"/>
      <c r="Q1205" s="26"/>
      <c r="R1205" s="26"/>
      <c r="S1205" s="26"/>
      <c r="T1205" s="26"/>
      <c r="U1205" s="26"/>
      <c r="V1205" s="26"/>
      <c r="W1205" s="27"/>
    </row>
    <row r="1206" spans="1:23" ht="15.75" customHeight="1" x14ac:dyDescent="0.25">
      <c r="A1206" s="23"/>
      <c r="B1206" s="23" t="str">
        <f t="shared" si="5"/>
        <v/>
      </c>
      <c r="C1206" s="23"/>
      <c r="D1206" s="23"/>
      <c r="E1206" s="23"/>
      <c r="F1206" s="24"/>
      <c r="G1206" s="23"/>
      <c r="H1206" s="23"/>
      <c r="I1206" s="23"/>
      <c r="J1206" s="25"/>
      <c r="K1206" s="23"/>
      <c r="L1206" s="23"/>
      <c r="M1206" s="23"/>
      <c r="N1206" s="26"/>
      <c r="O1206" s="26"/>
      <c r="P1206" s="26"/>
      <c r="Q1206" s="26"/>
      <c r="R1206" s="26"/>
      <c r="S1206" s="26"/>
      <c r="T1206" s="26"/>
      <c r="U1206" s="26"/>
      <c r="V1206" s="26"/>
      <c r="W1206" s="27"/>
    </row>
    <row r="1207" spans="1:23" ht="15.75" customHeight="1" x14ac:dyDescent="0.25">
      <c r="A1207" s="23"/>
      <c r="B1207" s="23" t="str">
        <f t="shared" si="5"/>
        <v/>
      </c>
      <c r="C1207" s="23"/>
      <c r="D1207" s="23"/>
      <c r="E1207" s="23"/>
      <c r="F1207" s="24"/>
      <c r="G1207" s="23"/>
      <c r="H1207" s="23"/>
      <c r="I1207" s="23"/>
      <c r="J1207" s="25"/>
      <c r="K1207" s="23"/>
      <c r="L1207" s="23"/>
      <c r="M1207" s="23"/>
      <c r="N1207" s="26"/>
      <c r="O1207" s="26"/>
      <c r="P1207" s="26"/>
      <c r="Q1207" s="26"/>
      <c r="R1207" s="26"/>
      <c r="S1207" s="26"/>
      <c r="T1207" s="26"/>
      <c r="U1207" s="26"/>
      <c r="V1207" s="26"/>
      <c r="W1207" s="27"/>
    </row>
    <row r="1208" spans="1:23" ht="15.75" customHeight="1" x14ac:dyDescent="0.25">
      <c r="A1208" s="23"/>
      <c r="B1208" s="23" t="str">
        <f t="shared" si="5"/>
        <v/>
      </c>
      <c r="C1208" s="23"/>
      <c r="D1208" s="23"/>
      <c r="E1208" s="23"/>
      <c r="F1208" s="24"/>
      <c r="G1208" s="23"/>
      <c r="H1208" s="23"/>
      <c r="I1208" s="23"/>
      <c r="J1208" s="25"/>
      <c r="K1208" s="23"/>
      <c r="L1208" s="23"/>
      <c r="M1208" s="23"/>
      <c r="N1208" s="26"/>
      <c r="O1208" s="26"/>
      <c r="P1208" s="26"/>
      <c r="Q1208" s="26"/>
      <c r="R1208" s="26"/>
      <c r="S1208" s="26"/>
      <c r="T1208" s="26"/>
      <c r="U1208" s="26"/>
      <c r="V1208" s="26"/>
      <c r="W1208" s="27"/>
    </row>
    <row r="1209" spans="1:23" ht="15.75" customHeight="1" x14ac:dyDescent="0.25">
      <c r="A1209" s="23"/>
      <c r="B1209" s="23" t="str">
        <f t="shared" si="5"/>
        <v/>
      </c>
      <c r="C1209" s="23"/>
      <c r="D1209" s="23"/>
      <c r="E1209" s="23"/>
      <c r="F1209" s="24"/>
      <c r="G1209" s="23"/>
      <c r="H1209" s="23"/>
      <c r="I1209" s="23"/>
      <c r="J1209" s="25"/>
      <c r="K1209" s="23"/>
      <c r="L1209" s="23"/>
      <c r="M1209" s="23"/>
      <c r="N1209" s="26"/>
      <c r="O1209" s="26"/>
      <c r="P1209" s="26"/>
      <c r="Q1209" s="26"/>
      <c r="R1209" s="26"/>
      <c r="S1209" s="26"/>
      <c r="T1209" s="26"/>
      <c r="U1209" s="26"/>
      <c r="V1209" s="26"/>
      <c r="W1209" s="27"/>
    </row>
    <row r="1210" spans="1:23" ht="15.75" customHeight="1" x14ac:dyDescent="0.25">
      <c r="A1210" s="23"/>
      <c r="B1210" s="23" t="str">
        <f t="shared" si="5"/>
        <v/>
      </c>
      <c r="C1210" s="23"/>
      <c r="D1210" s="23"/>
      <c r="E1210" s="23"/>
      <c r="F1210" s="24"/>
      <c r="G1210" s="23"/>
      <c r="H1210" s="23"/>
      <c r="I1210" s="23"/>
      <c r="J1210" s="25"/>
      <c r="K1210" s="23"/>
      <c r="L1210" s="23"/>
      <c r="M1210" s="23"/>
      <c r="N1210" s="26"/>
      <c r="O1210" s="26"/>
      <c r="P1210" s="26"/>
      <c r="Q1210" s="26"/>
      <c r="R1210" s="26"/>
      <c r="S1210" s="26"/>
      <c r="T1210" s="26"/>
      <c r="U1210" s="26"/>
      <c r="V1210" s="26"/>
      <c r="W1210" s="27"/>
    </row>
    <row r="1211" spans="1:23" ht="15.75" customHeight="1" x14ac:dyDescent="0.25">
      <c r="A1211" s="23"/>
      <c r="B1211" s="23" t="str">
        <f t="shared" si="5"/>
        <v/>
      </c>
      <c r="C1211" s="23"/>
      <c r="D1211" s="23"/>
      <c r="E1211" s="23"/>
      <c r="F1211" s="24"/>
      <c r="G1211" s="23"/>
      <c r="H1211" s="23"/>
      <c r="I1211" s="23"/>
      <c r="J1211" s="25"/>
      <c r="K1211" s="23"/>
      <c r="L1211" s="23"/>
      <c r="M1211" s="23"/>
      <c r="N1211" s="26"/>
      <c r="O1211" s="26"/>
      <c r="P1211" s="26"/>
      <c r="Q1211" s="26"/>
      <c r="R1211" s="26"/>
      <c r="S1211" s="26"/>
      <c r="T1211" s="26"/>
      <c r="U1211" s="26"/>
      <c r="V1211" s="26"/>
      <c r="W1211" s="27"/>
    </row>
    <row r="1212" spans="1:23" ht="15.75" customHeight="1" x14ac:dyDescent="0.25">
      <c r="A1212" s="23"/>
      <c r="B1212" s="23" t="str">
        <f t="shared" si="5"/>
        <v/>
      </c>
      <c r="C1212" s="23"/>
      <c r="D1212" s="23"/>
      <c r="E1212" s="23"/>
      <c r="F1212" s="24"/>
      <c r="G1212" s="23"/>
      <c r="H1212" s="23"/>
      <c r="I1212" s="23"/>
      <c r="J1212" s="25"/>
      <c r="K1212" s="23"/>
      <c r="L1212" s="23"/>
      <c r="M1212" s="23"/>
      <c r="N1212" s="26"/>
      <c r="O1212" s="26"/>
      <c r="P1212" s="26"/>
      <c r="Q1212" s="26"/>
      <c r="R1212" s="26"/>
      <c r="S1212" s="26"/>
      <c r="T1212" s="26"/>
      <c r="U1212" s="26"/>
      <c r="V1212" s="26"/>
      <c r="W1212" s="27"/>
    </row>
    <row r="1213" spans="1:23" ht="15.75" customHeight="1" x14ac:dyDescent="0.25">
      <c r="A1213" s="23"/>
      <c r="B1213" s="23" t="str">
        <f t="shared" si="5"/>
        <v/>
      </c>
      <c r="C1213" s="23"/>
      <c r="D1213" s="23"/>
      <c r="E1213" s="23"/>
      <c r="F1213" s="24"/>
      <c r="G1213" s="23"/>
      <c r="H1213" s="23"/>
      <c r="I1213" s="23"/>
      <c r="J1213" s="25"/>
      <c r="K1213" s="23"/>
      <c r="L1213" s="23"/>
      <c r="M1213" s="23"/>
      <c r="N1213" s="26"/>
      <c r="O1213" s="26"/>
      <c r="P1213" s="26"/>
      <c r="Q1213" s="26"/>
      <c r="R1213" s="26"/>
      <c r="S1213" s="26"/>
      <c r="T1213" s="26"/>
      <c r="U1213" s="26"/>
      <c r="V1213" s="26"/>
      <c r="W1213" s="27"/>
    </row>
    <row r="1214" spans="1:23" ht="15.75" customHeight="1" x14ac:dyDescent="0.25">
      <c r="A1214" s="23"/>
      <c r="B1214" s="23" t="str">
        <f t="shared" si="5"/>
        <v/>
      </c>
      <c r="C1214" s="23"/>
      <c r="D1214" s="23"/>
      <c r="E1214" s="23"/>
      <c r="F1214" s="24"/>
      <c r="G1214" s="23"/>
      <c r="H1214" s="23"/>
      <c r="I1214" s="23"/>
      <c r="J1214" s="25"/>
      <c r="K1214" s="23"/>
      <c r="L1214" s="23"/>
      <c r="M1214" s="23"/>
      <c r="N1214" s="26"/>
      <c r="O1214" s="26"/>
      <c r="P1214" s="26"/>
      <c r="Q1214" s="26"/>
      <c r="R1214" s="26"/>
      <c r="S1214" s="26"/>
      <c r="T1214" s="26"/>
      <c r="U1214" s="26"/>
      <c r="V1214" s="26"/>
      <c r="W1214" s="27"/>
    </row>
    <row r="1215" spans="1:23" ht="15.75" customHeight="1" x14ac:dyDescent="0.25">
      <c r="A1215" s="23"/>
      <c r="B1215" s="23" t="str">
        <f t="shared" si="5"/>
        <v/>
      </c>
      <c r="C1215" s="23"/>
      <c r="D1215" s="23"/>
      <c r="E1215" s="23"/>
      <c r="F1215" s="24"/>
      <c r="G1215" s="23"/>
      <c r="H1215" s="23"/>
      <c r="I1215" s="23"/>
      <c r="J1215" s="25"/>
      <c r="K1215" s="23"/>
      <c r="L1215" s="23"/>
      <c r="M1215" s="23"/>
      <c r="N1215" s="26"/>
      <c r="O1215" s="26"/>
      <c r="P1215" s="26"/>
      <c r="Q1215" s="26"/>
      <c r="R1215" s="26"/>
      <c r="S1215" s="26"/>
      <c r="T1215" s="26"/>
      <c r="U1215" s="26"/>
      <c r="V1215" s="26"/>
      <c r="W1215" s="27"/>
    </row>
    <row r="1216" spans="1:23" ht="15.75" customHeight="1" x14ac:dyDescent="0.25">
      <c r="A1216" s="23"/>
      <c r="B1216" s="23" t="str">
        <f t="shared" si="5"/>
        <v/>
      </c>
      <c r="C1216" s="23"/>
      <c r="D1216" s="23"/>
      <c r="E1216" s="23"/>
      <c r="F1216" s="24"/>
      <c r="G1216" s="23"/>
      <c r="H1216" s="23"/>
      <c r="I1216" s="23"/>
      <c r="J1216" s="25"/>
      <c r="K1216" s="23"/>
      <c r="L1216" s="23"/>
      <c r="M1216" s="23"/>
      <c r="N1216" s="26"/>
      <c r="O1216" s="26"/>
      <c r="P1216" s="26"/>
      <c r="Q1216" s="26"/>
      <c r="R1216" s="26"/>
      <c r="S1216" s="26"/>
      <c r="T1216" s="26"/>
      <c r="U1216" s="26"/>
      <c r="V1216" s="26"/>
      <c r="W1216" s="27"/>
    </row>
    <row r="1217" spans="1:23" ht="15.75" customHeight="1" x14ac:dyDescent="0.25">
      <c r="A1217" s="23"/>
      <c r="B1217" s="23" t="str">
        <f t="shared" si="5"/>
        <v/>
      </c>
      <c r="C1217" s="23"/>
      <c r="D1217" s="23"/>
      <c r="E1217" s="23"/>
      <c r="F1217" s="24"/>
      <c r="G1217" s="23"/>
      <c r="H1217" s="23"/>
      <c r="I1217" s="23"/>
      <c r="J1217" s="25"/>
      <c r="K1217" s="23"/>
      <c r="L1217" s="23"/>
      <c r="M1217" s="23"/>
      <c r="N1217" s="26"/>
      <c r="O1217" s="26"/>
      <c r="P1217" s="26"/>
      <c r="Q1217" s="26"/>
      <c r="R1217" s="26"/>
      <c r="S1217" s="26"/>
      <c r="T1217" s="26"/>
      <c r="U1217" s="26"/>
      <c r="V1217" s="26"/>
      <c r="W1217" s="27"/>
    </row>
    <row r="1218" spans="1:23" ht="15.75" customHeight="1" x14ac:dyDescent="0.25">
      <c r="A1218" s="23"/>
      <c r="B1218" s="23" t="str">
        <f t="shared" si="5"/>
        <v/>
      </c>
      <c r="C1218" s="23"/>
      <c r="D1218" s="23"/>
      <c r="E1218" s="23"/>
      <c r="F1218" s="24"/>
      <c r="G1218" s="23"/>
      <c r="H1218" s="23"/>
      <c r="I1218" s="23"/>
      <c r="J1218" s="25"/>
      <c r="K1218" s="23"/>
      <c r="L1218" s="23"/>
      <c r="M1218" s="23"/>
      <c r="N1218" s="26"/>
      <c r="O1218" s="26"/>
      <c r="P1218" s="26"/>
      <c r="Q1218" s="26"/>
      <c r="R1218" s="26"/>
      <c r="S1218" s="26"/>
      <c r="T1218" s="26"/>
      <c r="U1218" s="26"/>
      <c r="V1218" s="26"/>
      <c r="W1218" s="27"/>
    </row>
    <row r="1219" spans="1:23" ht="15.75" customHeight="1" x14ac:dyDescent="0.25">
      <c r="A1219" s="23"/>
      <c r="B1219" s="23" t="str">
        <f t="shared" si="5"/>
        <v/>
      </c>
      <c r="C1219" s="23"/>
      <c r="D1219" s="23"/>
      <c r="E1219" s="23"/>
      <c r="F1219" s="24"/>
      <c r="G1219" s="23"/>
      <c r="H1219" s="23"/>
      <c r="I1219" s="23"/>
      <c r="J1219" s="25"/>
      <c r="K1219" s="23"/>
      <c r="L1219" s="23"/>
      <c r="M1219" s="23"/>
      <c r="N1219" s="26"/>
      <c r="O1219" s="26"/>
      <c r="P1219" s="26"/>
      <c r="Q1219" s="26"/>
      <c r="R1219" s="26"/>
      <c r="S1219" s="26"/>
      <c r="T1219" s="26"/>
      <c r="U1219" s="26"/>
      <c r="V1219" s="26"/>
      <c r="W1219" s="27"/>
    </row>
    <row r="1220" spans="1:23" ht="15.75" customHeight="1" x14ac:dyDescent="0.25">
      <c r="A1220" s="23"/>
      <c r="B1220" s="23" t="str">
        <f t="shared" si="5"/>
        <v/>
      </c>
      <c r="C1220" s="23"/>
      <c r="D1220" s="23"/>
      <c r="E1220" s="23"/>
      <c r="F1220" s="24"/>
      <c r="G1220" s="23"/>
      <c r="H1220" s="23"/>
      <c r="I1220" s="23"/>
      <c r="J1220" s="25"/>
      <c r="K1220" s="23"/>
      <c r="L1220" s="23"/>
      <c r="M1220" s="23"/>
      <c r="N1220" s="26"/>
      <c r="O1220" s="26"/>
      <c r="P1220" s="26"/>
      <c r="Q1220" s="26"/>
      <c r="R1220" s="26"/>
      <c r="S1220" s="26"/>
      <c r="T1220" s="26"/>
      <c r="U1220" s="26"/>
      <c r="V1220" s="26"/>
      <c r="W1220" s="27"/>
    </row>
    <row r="1221" spans="1:23" ht="15.75" customHeight="1" x14ac:dyDescent="0.25">
      <c r="A1221" s="23"/>
      <c r="B1221" s="23" t="str">
        <f t="shared" si="5"/>
        <v/>
      </c>
      <c r="C1221" s="23"/>
      <c r="D1221" s="23"/>
      <c r="E1221" s="23"/>
      <c r="F1221" s="24"/>
      <c r="G1221" s="23"/>
      <c r="H1221" s="23"/>
      <c r="I1221" s="23"/>
      <c r="J1221" s="25"/>
      <c r="K1221" s="23"/>
      <c r="L1221" s="23"/>
      <c r="M1221" s="23"/>
      <c r="N1221" s="26"/>
      <c r="O1221" s="26"/>
      <c r="P1221" s="26"/>
      <c r="Q1221" s="26"/>
      <c r="R1221" s="26"/>
      <c r="S1221" s="26"/>
      <c r="T1221" s="26"/>
      <c r="U1221" s="26"/>
      <c r="V1221" s="26"/>
      <c r="W1221" s="27"/>
    </row>
    <row r="1222" spans="1:23" ht="15.75" customHeight="1" x14ac:dyDescent="0.25">
      <c r="A1222" s="23"/>
      <c r="B1222" s="23" t="str">
        <f t="shared" si="5"/>
        <v/>
      </c>
      <c r="C1222" s="23"/>
      <c r="D1222" s="23"/>
      <c r="E1222" s="23"/>
      <c r="F1222" s="24"/>
      <c r="G1222" s="23"/>
      <c r="H1222" s="23"/>
      <c r="I1222" s="23"/>
      <c r="J1222" s="25"/>
      <c r="K1222" s="23"/>
      <c r="L1222" s="23"/>
      <c r="M1222" s="23"/>
      <c r="N1222" s="26"/>
      <c r="O1222" s="26"/>
      <c r="P1222" s="26"/>
      <c r="Q1222" s="26"/>
      <c r="R1222" s="26"/>
      <c r="S1222" s="26"/>
      <c r="T1222" s="26"/>
      <c r="U1222" s="26"/>
      <c r="V1222" s="26"/>
      <c r="W1222" s="27"/>
    </row>
    <row r="1223" spans="1:23" ht="15.75" customHeight="1" x14ac:dyDescent="0.25">
      <c r="A1223" s="23"/>
      <c r="B1223" s="23" t="str">
        <f t="shared" si="5"/>
        <v/>
      </c>
      <c r="C1223" s="23"/>
      <c r="D1223" s="23"/>
      <c r="E1223" s="23"/>
      <c r="F1223" s="24"/>
      <c r="G1223" s="23"/>
      <c r="H1223" s="23"/>
      <c r="I1223" s="23"/>
      <c r="J1223" s="25"/>
      <c r="K1223" s="23"/>
      <c r="L1223" s="23"/>
      <c r="M1223" s="23"/>
      <c r="N1223" s="26"/>
      <c r="O1223" s="26"/>
      <c r="P1223" s="26"/>
      <c r="Q1223" s="26"/>
      <c r="R1223" s="26"/>
      <c r="S1223" s="26"/>
      <c r="T1223" s="26"/>
      <c r="U1223" s="26"/>
      <c r="V1223" s="26"/>
      <c r="W1223" s="27"/>
    </row>
    <row r="1224" spans="1:23" ht="15.75" customHeight="1" x14ac:dyDescent="0.25">
      <c r="A1224" s="23"/>
      <c r="B1224" s="23" t="str">
        <f t="shared" si="5"/>
        <v/>
      </c>
      <c r="C1224" s="23"/>
      <c r="D1224" s="23"/>
      <c r="E1224" s="23"/>
      <c r="F1224" s="24"/>
      <c r="G1224" s="23"/>
      <c r="H1224" s="23"/>
      <c r="I1224" s="23"/>
      <c r="J1224" s="25"/>
      <c r="K1224" s="23"/>
      <c r="L1224" s="23"/>
      <c r="M1224" s="23"/>
      <c r="N1224" s="26"/>
      <c r="O1224" s="26"/>
      <c r="P1224" s="26"/>
      <c r="Q1224" s="26"/>
      <c r="R1224" s="26"/>
      <c r="S1224" s="26"/>
      <c r="T1224" s="26"/>
      <c r="U1224" s="26"/>
      <c r="V1224" s="26"/>
      <c r="W1224" s="27"/>
    </row>
    <row r="1225" spans="1:23" ht="15.75" customHeight="1" x14ac:dyDescent="0.25">
      <c r="A1225" s="23"/>
      <c r="B1225" s="23" t="str">
        <f t="shared" si="5"/>
        <v/>
      </c>
      <c r="C1225" s="23"/>
      <c r="D1225" s="23"/>
      <c r="E1225" s="23"/>
      <c r="F1225" s="24"/>
      <c r="G1225" s="23"/>
      <c r="H1225" s="23"/>
      <c r="I1225" s="23"/>
      <c r="J1225" s="25"/>
      <c r="K1225" s="23"/>
      <c r="L1225" s="23"/>
      <c r="M1225" s="23"/>
      <c r="N1225" s="26"/>
      <c r="O1225" s="26"/>
      <c r="P1225" s="26"/>
      <c r="Q1225" s="26"/>
      <c r="R1225" s="26"/>
      <c r="S1225" s="26"/>
      <c r="T1225" s="26"/>
      <c r="U1225" s="26"/>
      <c r="V1225" s="26"/>
      <c r="W1225" s="27"/>
    </row>
    <row r="1226" spans="1:23" ht="15.75" customHeight="1" x14ac:dyDescent="0.25">
      <c r="A1226" s="23"/>
      <c r="B1226" s="23" t="str">
        <f t="shared" si="5"/>
        <v/>
      </c>
      <c r="C1226" s="23"/>
      <c r="D1226" s="23"/>
      <c r="E1226" s="23"/>
      <c r="F1226" s="24"/>
      <c r="G1226" s="23"/>
      <c r="H1226" s="23"/>
      <c r="I1226" s="23"/>
      <c r="J1226" s="25"/>
      <c r="K1226" s="23"/>
      <c r="L1226" s="23"/>
      <c r="M1226" s="23"/>
      <c r="N1226" s="26"/>
      <c r="O1226" s="26"/>
      <c r="P1226" s="26"/>
      <c r="Q1226" s="26"/>
      <c r="R1226" s="26"/>
      <c r="S1226" s="26"/>
      <c r="T1226" s="26"/>
      <c r="U1226" s="26"/>
      <c r="V1226" s="26"/>
      <c r="W1226" s="27"/>
    </row>
    <row r="1227" spans="1:23" ht="15.75" customHeight="1" x14ac:dyDescent="0.25">
      <c r="A1227" s="23"/>
      <c r="B1227" s="23" t="str">
        <f t="shared" si="5"/>
        <v/>
      </c>
      <c r="C1227" s="23"/>
      <c r="D1227" s="23"/>
      <c r="E1227" s="23"/>
      <c r="F1227" s="24"/>
      <c r="G1227" s="23"/>
      <c r="H1227" s="23"/>
      <c r="I1227" s="23"/>
      <c r="J1227" s="25"/>
      <c r="K1227" s="23"/>
      <c r="L1227" s="23"/>
      <c r="M1227" s="23"/>
      <c r="N1227" s="26"/>
      <c r="O1227" s="26"/>
      <c r="P1227" s="26"/>
      <c r="Q1227" s="26"/>
      <c r="R1227" s="26"/>
      <c r="S1227" s="26"/>
      <c r="T1227" s="26"/>
      <c r="U1227" s="26"/>
      <c r="V1227" s="26"/>
      <c r="W1227" s="27"/>
    </row>
    <row r="1228" spans="1:23" ht="15.75" customHeight="1" x14ac:dyDescent="0.25">
      <c r="A1228" s="23"/>
      <c r="B1228" s="23" t="str">
        <f t="shared" si="5"/>
        <v/>
      </c>
      <c r="C1228" s="23"/>
      <c r="D1228" s="23"/>
      <c r="E1228" s="23"/>
      <c r="F1228" s="24"/>
      <c r="G1228" s="23"/>
      <c r="H1228" s="23"/>
      <c r="I1228" s="23"/>
      <c r="J1228" s="25"/>
      <c r="K1228" s="23"/>
      <c r="L1228" s="23"/>
      <c r="M1228" s="23"/>
      <c r="N1228" s="26"/>
      <c r="O1228" s="26"/>
      <c r="P1228" s="26"/>
      <c r="Q1228" s="26"/>
      <c r="R1228" s="26"/>
      <c r="S1228" s="26"/>
      <c r="T1228" s="26"/>
      <c r="U1228" s="26"/>
      <c r="V1228" s="26"/>
      <c r="W1228" s="27"/>
    </row>
    <row r="1229" spans="1:23" ht="15.75" customHeight="1" x14ac:dyDescent="0.25">
      <c r="A1229" s="23"/>
      <c r="B1229" s="23" t="str">
        <f t="shared" si="5"/>
        <v/>
      </c>
      <c r="C1229" s="23"/>
      <c r="D1229" s="23"/>
      <c r="E1229" s="23"/>
      <c r="F1229" s="24"/>
      <c r="G1229" s="23"/>
      <c r="H1229" s="23"/>
      <c r="I1229" s="23"/>
      <c r="J1229" s="25"/>
      <c r="K1229" s="23"/>
      <c r="L1229" s="23"/>
      <c r="M1229" s="23"/>
      <c r="N1229" s="26"/>
      <c r="O1229" s="26"/>
      <c r="P1229" s="26"/>
      <c r="Q1229" s="26"/>
      <c r="R1229" s="26"/>
      <c r="S1229" s="26"/>
      <c r="T1229" s="26"/>
      <c r="U1229" s="26"/>
      <c r="V1229" s="26"/>
      <c r="W1229" s="27"/>
    </row>
    <row r="1230" spans="1:23" ht="15.75" customHeight="1" x14ac:dyDescent="0.25">
      <c r="A1230" s="23"/>
      <c r="B1230" s="23" t="str">
        <f t="shared" si="5"/>
        <v/>
      </c>
      <c r="C1230" s="23"/>
      <c r="D1230" s="23"/>
      <c r="E1230" s="23"/>
      <c r="F1230" s="24"/>
      <c r="G1230" s="23"/>
      <c r="H1230" s="23"/>
      <c r="I1230" s="23"/>
      <c r="J1230" s="25"/>
      <c r="K1230" s="23"/>
      <c r="L1230" s="23"/>
      <c r="M1230" s="23"/>
      <c r="N1230" s="26"/>
      <c r="O1230" s="26"/>
      <c r="P1230" s="26"/>
      <c r="Q1230" s="26"/>
      <c r="R1230" s="26"/>
      <c r="S1230" s="26"/>
      <c r="T1230" s="26"/>
      <c r="U1230" s="26"/>
      <c r="V1230" s="26"/>
      <c r="W1230" s="27"/>
    </row>
    <row r="1231" spans="1:23" ht="15.75" customHeight="1" x14ac:dyDescent="0.25">
      <c r="A1231" s="23"/>
      <c r="B1231" s="23" t="str">
        <f t="shared" si="5"/>
        <v/>
      </c>
      <c r="C1231" s="23"/>
      <c r="D1231" s="23"/>
      <c r="E1231" s="23"/>
      <c r="F1231" s="24"/>
      <c r="G1231" s="23"/>
      <c r="H1231" s="23"/>
      <c r="I1231" s="23"/>
      <c r="J1231" s="25"/>
      <c r="K1231" s="23"/>
      <c r="L1231" s="23"/>
      <c r="M1231" s="23"/>
      <c r="N1231" s="26"/>
      <c r="O1231" s="26"/>
      <c r="P1231" s="26"/>
      <c r="Q1231" s="26"/>
      <c r="R1231" s="26"/>
      <c r="S1231" s="26"/>
      <c r="T1231" s="26"/>
      <c r="U1231" s="26"/>
      <c r="V1231" s="26"/>
      <c r="W1231" s="27"/>
    </row>
    <row r="1232" spans="1:23" ht="15.75" customHeight="1" x14ac:dyDescent="0.25">
      <c r="A1232" s="23"/>
      <c r="B1232" s="23" t="str">
        <f t="shared" si="5"/>
        <v/>
      </c>
      <c r="C1232" s="23"/>
      <c r="D1232" s="23"/>
      <c r="E1232" s="23"/>
      <c r="F1232" s="24"/>
      <c r="G1232" s="23"/>
      <c r="H1232" s="23"/>
      <c r="I1232" s="23"/>
      <c r="J1232" s="25"/>
      <c r="K1232" s="23"/>
      <c r="L1232" s="23"/>
      <c r="M1232" s="23"/>
      <c r="N1232" s="26"/>
      <c r="O1232" s="26"/>
      <c r="P1232" s="26"/>
      <c r="Q1232" s="26"/>
      <c r="R1232" s="26"/>
      <c r="S1232" s="26"/>
      <c r="T1232" s="26"/>
      <c r="U1232" s="26"/>
      <c r="V1232" s="26"/>
      <c r="W1232" s="27"/>
    </row>
    <row r="1233" spans="1:23" ht="15.75" customHeight="1" x14ac:dyDescent="0.25">
      <c r="A1233" s="23"/>
      <c r="B1233" s="23" t="str">
        <f t="shared" si="5"/>
        <v/>
      </c>
      <c r="C1233" s="23"/>
      <c r="D1233" s="23"/>
      <c r="E1233" s="23"/>
      <c r="F1233" s="24"/>
      <c r="G1233" s="23"/>
      <c r="H1233" s="23"/>
      <c r="I1233" s="23"/>
      <c r="J1233" s="25"/>
      <c r="K1233" s="23"/>
      <c r="L1233" s="23"/>
      <c r="M1233" s="23"/>
      <c r="N1233" s="26"/>
      <c r="O1233" s="26"/>
      <c r="P1233" s="26"/>
      <c r="Q1233" s="26"/>
      <c r="R1233" s="26"/>
      <c r="S1233" s="26"/>
      <c r="T1233" s="26"/>
      <c r="U1233" s="26"/>
      <c r="V1233" s="26"/>
      <c r="W1233" s="27"/>
    </row>
    <row r="1234" spans="1:23" ht="15.75" customHeight="1" x14ac:dyDescent="0.25">
      <c r="A1234" s="23"/>
      <c r="B1234" s="23" t="str">
        <f t="shared" si="5"/>
        <v/>
      </c>
      <c r="C1234" s="23"/>
      <c r="D1234" s="23"/>
      <c r="E1234" s="23"/>
      <c r="F1234" s="24"/>
      <c r="G1234" s="23"/>
      <c r="H1234" s="23"/>
      <c r="I1234" s="23"/>
      <c r="J1234" s="25"/>
      <c r="K1234" s="23"/>
      <c r="L1234" s="23"/>
      <c r="M1234" s="23"/>
      <c r="N1234" s="26"/>
      <c r="O1234" s="26"/>
      <c r="P1234" s="26"/>
      <c r="Q1234" s="26"/>
      <c r="R1234" s="26"/>
      <c r="S1234" s="26"/>
      <c r="T1234" s="26"/>
      <c r="U1234" s="26"/>
      <c r="V1234" s="26"/>
      <c r="W1234" s="27"/>
    </row>
    <row r="1235" spans="1:23" ht="15.75" customHeight="1" x14ac:dyDescent="0.25">
      <c r="A1235" s="23"/>
      <c r="B1235" s="23" t="str">
        <f t="shared" si="5"/>
        <v/>
      </c>
      <c r="C1235" s="23"/>
      <c r="D1235" s="23"/>
      <c r="E1235" s="23"/>
      <c r="F1235" s="24"/>
      <c r="G1235" s="23"/>
      <c r="H1235" s="23"/>
      <c r="I1235" s="23"/>
      <c r="J1235" s="25"/>
      <c r="K1235" s="23"/>
      <c r="L1235" s="23"/>
      <c r="M1235" s="23"/>
      <c r="N1235" s="26"/>
      <c r="O1235" s="26"/>
      <c r="P1235" s="26"/>
      <c r="Q1235" s="26"/>
      <c r="R1235" s="26"/>
      <c r="S1235" s="26"/>
      <c r="T1235" s="26"/>
      <c r="U1235" s="26"/>
      <c r="V1235" s="26"/>
      <c r="W1235" s="27"/>
    </row>
    <row r="1236" spans="1:23" ht="15.75" customHeight="1" x14ac:dyDescent="0.25">
      <c r="A1236" s="23"/>
      <c r="B1236" s="23" t="str">
        <f t="shared" si="5"/>
        <v/>
      </c>
      <c r="C1236" s="23"/>
      <c r="D1236" s="23"/>
      <c r="E1236" s="23"/>
      <c r="F1236" s="24"/>
      <c r="G1236" s="23"/>
      <c r="H1236" s="23"/>
      <c r="I1236" s="23"/>
      <c r="J1236" s="25"/>
      <c r="K1236" s="23"/>
      <c r="L1236" s="23"/>
      <c r="M1236" s="23"/>
      <c r="N1236" s="26"/>
      <c r="O1236" s="26"/>
      <c r="P1236" s="26"/>
      <c r="Q1236" s="26"/>
      <c r="R1236" s="26"/>
      <c r="S1236" s="26"/>
      <c r="T1236" s="26"/>
      <c r="U1236" s="26"/>
      <c r="V1236" s="26"/>
      <c r="W1236" s="27"/>
    </row>
    <row r="1237" spans="1:23" ht="15.75" customHeight="1" x14ac:dyDescent="0.25">
      <c r="A1237" s="23"/>
      <c r="B1237" s="23" t="str">
        <f t="shared" si="5"/>
        <v/>
      </c>
      <c r="C1237" s="23"/>
      <c r="D1237" s="23"/>
      <c r="E1237" s="23"/>
      <c r="F1237" s="24"/>
      <c r="G1237" s="23"/>
      <c r="H1237" s="23"/>
      <c r="I1237" s="23"/>
      <c r="J1237" s="25"/>
      <c r="K1237" s="23"/>
      <c r="L1237" s="23"/>
      <c r="M1237" s="23"/>
      <c r="N1237" s="26"/>
      <c r="O1237" s="26"/>
      <c r="P1237" s="26"/>
      <c r="Q1237" s="26"/>
      <c r="R1237" s="26"/>
      <c r="S1237" s="26"/>
      <c r="T1237" s="26"/>
      <c r="U1237" s="26"/>
      <c r="V1237" s="26"/>
      <c r="W1237" s="27"/>
    </row>
    <row r="1238" spans="1:23" ht="15.75" customHeight="1" x14ac:dyDescent="0.25">
      <c r="A1238" s="23"/>
      <c r="B1238" s="23" t="str">
        <f t="shared" si="5"/>
        <v/>
      </c>
      <c r="C1238" s="23"/>
      <c r="D1238" s="23"/>
      <c r="E1238" s="23"/>
      <c r="F1238" s="24"/>
      <c r="G1238" s="23"/>
      <c r="H1238" s="23"/>
      <c r="I1238" s="23"/>
      <c r="J1238" s="25"/>
      <c r="K1238" s="23"/>
      <c r="L1238" s="23"/>
      <c r="M1238" s="23"/>
      <c r="N1238" s="26"/>
      <c r="O1238" s="26"/>
      <c r="P1238" s="26"/>
      <c r="Q1238" s="26"/>
      <c r="R1238" s="26"/>
      <c r="S1238" s="26"/>
      <c r="T1238" s="26"/>
      <c r="U1238" s="26"/>
      <c r="V1238" s="26"/>
      <c r="W1238" s="27"/>
    </row>
    <row r="1239" spans="1:23" ht="15.75" customHeight="1" x14ac:dyDescent="0.25">
      <c r="A1239" s="23"/>
      <c r="B1239" s="23" t="str">
        <f t="shared" si="5"/>
        <v/>
      </c>
      <c r="C1239" s="23"/>
      <c r="D1239" s="23"/>
      <c r="E1239" s="23"/>
      <c r="F1239" s="24"/>
      <c r="G1239" s="23"/>
      <c r="H1239" s="23"/>
      <c r="I1239" s="23"/>
      <c r="J1239" s="25"/>
      <c r="K1239" s="23"/>
      <c r="L1239" s="23"/>
      <c r="M1239" s="23"/>
      <c r="N1239" s="26"/>
      <c r="O1239" s="26"/>
      <c r="P1239" s="26"/>
      <c r="Q1239" s="26"/>
      <c r="R1239" s="26"/>
      <c r="S1239" s="26"/>
      <c r="T1239" s="26"/>
      <c r="U1239" s="26"/>
      <c r="V1239" s="26"/>
      <c r="W1239" s="27"/>
    </row>
    <row r="1240" spans="1:23" ht="15.75" customHeight="1" x14ac:dyDescent="0.25">
      <c r="A1240" s="23"/>
      <c r="B1240" s="23" t="str">
        <f t="shared" si="5"/>
        <v/>
      </c>
      <c r="C1240" s="23"/>
      <c r="D1240" s="23"/>
      <c r="E1240" s="23"/>
      <c r="F1240" s="24"/>
      <c r="G1240" s="23"/>
      <c r="H1240" s="23"/>
      <c r="I1240" s="23"/>
      <c r="J1240" s="25"/>
      <c r="K1240" s="23"/>
      <c r="L1240" s="23"/>
      <c r="M1240" s="23"/>
      <c r="N1240" s="26"/>
      <c r="O1240" s="26"/>
      <c r="P1240" s="26"/>
      <c r="Q1240" s="26"/>
      <c r="R1240" s="26"/>
      <c r="S1240" s="26"/>
      <c r="T1240" s="26"/>
      <c r="U1240" s="26"/>
      <c r="V1240" s="26"/>
      <c r="W1240" s="27"/>
    </row>
    <row r="1241" spans="1:23" ht="15.75" customHeight="1" x14ac:dyDescent="0.25">
      <c r="A1241" s="23"/>
      <c r="B1241" s="23" t="str">
        <f t="shared" si="5"/>
        <v/>
      </c>
      <c r="C1241" s="23"/>
      <c r="D1241" s="23"/>
      <c r="E1241" s="23"/>
      <c r="F1241" s="24"/>
      <c r="G1241" s="23"/>
      <c r="H1241" s="23"/>
      <c r="I1241" s="23"/>
      <c r="J1241" s="25"/>
      <c r="K1241" s="23"/>
      <c r="L1241" s="23"/>
      <c r="M1241" s="23"/>
      <c r="N1241" s="26"/>
      <c r="O1241" s="26"/>
      <c r="P1241" s="26"/>
      <c r="Q1241" s="26"/>
      <c r="R1241" s="26"/>
      <c r="S1241" s="26"/>
      <c r="T1241" s="26"/>
      <c r="U1241" s="26"/>
      <c r="V1241" s="26"/>
      <c r="W1241" s="27"/>
    </row>
    <row r="1242" spans="1:23" ht="15.75" customHeight="1" x14ac:dyDescent="0.25">
      <c r="A1242" s="23"/>
      <c r="B1242" s="23" t="str">
        <f t="shared" si="5"/>
        <v/>
      </c>
      <c r="C1242" s="23"/>
      <c r="D1242" s="23"/>
      <c r="E1242" s="23"/>
      <c r="F1242" s="24"/>
      <c r="G1242" s="23"/>
      <c r="H1242" s="23"/>
      <c r="I1242" s="23"/>
      <c r="J1242" s="25"/>
      <c r="K1242" s="23"/>
      <c r="L1242" s="23"/>
      <c r="M1242" s="23"/>
      <c r="N1242" s="26"/>
      <c r="O1242" s="26"/>
      <c r="P1242" s="26"/>
      <c r="Q1242" s="26"/>
      <c r="R1242" s="26"/>
      <c r="S1242" s="26"/>
      <c r="T1242" s="26"/>
      <c r="U1242" s="26"/>
      <c r="V1242" s="26"/>
      <c r="W1242" s="27"/>
    </row>
    <row r="1243" spans="1:23" ht="15.75" customHeight="1" x14ac:dyDescent="0.25">
      <c r="A1243" s="23"/>
      <c r="B1243" s="23" t="str">
        <f t="shared" si="5"/>
        <v/>
      </c>
      <c r="C1243" s="23"/>
      <c r="D1243" s="23"/>
      <c r="E1243" s="23"/>
      <c r="F1243" s="24"/>
      <c r="G1243" s="23"/>
      <c r="H1243" s="23"/>
      <c r="I1243" s="23"/>
      <c r="J1243" s="25"/>
      <c r="K1243" s="23"/>
      <c r="L1243" s="23"/>
      <c r="M1243" s="23"/>
      <c r="N1243" s="26"/>
      <c r="O1243" s="26"/>
      <c r="P1243" s="26"/>
      <c r="Q1243" s="26"/>
      <c r="R1243" s="26"/>
      <c r="S1243" s="26"/>
      <c r="T1243" s="26"/>
      <c r="U1243" s="26"/>
      <c r="V1243" s="26"/>
      <c r="W1243" s="27"/>
    </row>
    <row r="1244" spans="1:23" ht="15.75" customHeight="1" x14ac:dyDescent="0.25">
      <c r="A1244" s="23"/>
      <c r="B1244" s="23" t="str">
        <f t="shared" si="5"/>
        <v/>
      </c>
      <c r="C1244" s="23"/>
      <c r="D1244" s="23"/>
      <c r="E1244" s="23"/>
      <c r="F1244" s="24"/>
      <c r="G1244" s="23"/>
      <c r="H1244" s="23"/>
      <c r="I1244" s="23"/>
      <c r="J1244" s="25"/>
      <c r="K1244" s="23"/>
      <c r="L1244" s="23"/>
      <c r="M1244" s="23"/>
      <c r="N1244" s="26"/>
      <c r="O1244" s="26"/>
      <c r="P1244" s="26"/>
      <c r="Q1244" s="26"/>
      <c r="R1244" s="26"/>
      <c r="S1244" s="26"/>
      <c r="T1244" s="26"/>
      <c r="U1244" s="26"/>
      <c r="V1244" s="26"/>
      <c r="W1244" s="27"/>
    </row>
    <row r="1245" spans="1:23" ht="15.75" customHeight="1" x14ac:dyDescent="0.25">
      <c r="A1245" s="23"/>
      <c r="B1245" s="23" t="str">
        <f t="shared" si="5"/>
        <v/>
      </c>
      <c r="C1245" s="23"/>
      <c r="D1245" s="23"/>
      <c r="E1245" s="23"/>
      <c r="F1245" s="24"/>
      <c r="G1245" s="23"/>
      <c r="H1245" s="23"/>
      <c r="I1245" s="23"/>
      <c r="J1245" s="25"/>
      <c r="K1245" s="23"/>
      <c r="L1245" s="23"/>
      <c r="M1245" s="23"/>
      <c r="N1245" s="26"/>
      <c r="O1245" s="26"/>
      <c r="P1245" s="26"/>
      <c r="Q1245" s="26"/>
      <c r="R1245" s="26"/>
      <c r="S1245" s="26"/>
      <c r="T1245" s="26"/>
      <c r="U1245" s="26"/>
      <c r="V1245" s="26"/>
      <c r="W1245" s="27"/>
    </row>
    <row r="1246" spans="1:23" ht="15.75" customHeight="1" x14ac:dyDescent="0.25">
      <c r="A1246" s="23"/>
      <c r="B1246" s="23" t="str">
        <f t="shared" si="5"/>
        <v/>
      </c>
      <c r="C1246" s="23"/>
      <c r="D1246" s="23"/>
      <c r="E1246" s="23"/>
      <c r="F1246" s="24"/>
      <c r="G1246" s="23"/>
      <c r="H1246" s="23"/>
      <c r="I1246" s="23"/>
      <c r="J1246" s="25"/>
      <c r="K1246" s="23"/>
      <c r="L1246" s="23"/>
      <c r="M1246" s="23"/>
      <c r="N1246" s="26"/>
      <c r="O1246" s="26"/>
      <c r="P1246" s="26"/>
      <c r="Q1246" s="26"/>
      <c r="R1246" s="26"/>
      <c r="S1246" s="26"/>
      <c r="T1246" s="26"/>
      <c r="U1246" s="26"/>
      <c r="V1246" s="26"/>
      <c r="W1246" s="27"/>
    </row>
    <row r="1247" spans="1:23" ht="15.75" customHeight="1" x14ac:dyDescent="0.25">
      <c r="A1247" s="23"/>
      <c r="B1247" s="23" t="str">
        <f t="shared" si="5"/>
        <v/>
      </c>
      <c r="C1247" s="23"/>
      <c r="D1247" s="23"/>
      <c r="E1247" s="23"/>
      <c r="F1247" s="24"/>
      <c r="G1247" s="23"/>
      <c r="H1247" s="23"/>
      <c r="I1247" s="23"/>
      <c r="J1247" s="25"/>
      <c r="K1247" s="23"/>
      <c r="L1247" s="23"/>
      <c r="M1247" s="23"/>
      <c r="N1247" s="26"/>
      <c r="O1247" s="26"/>
      <c r="P1247" s="26"/>
      <c r="Q1247" s="26"/>
      <c r="R1247" s="26"/>
      <c r="S1247" s="26"/>
      <c r="T1247" s="26"/>
      <c r="U1247" s="26"/>
      <c r="V1247" s="26"/>
      <c r="W1247" s="27"/>
    </row>
    <row r="1248" spans="1:23" ht="15.75" customHeight="1" x14ac:dyDescent="0.25">
      <c r="A1248" s="23"/>
      <c r="B1248" s="23" t="str">
        <f t="shared" si="5"/>
        <v/>
      </c>
      <c r="C1248" s="23"/>
      <c r="D1248" s="23"/>
      <c r="E1248" s="23"/>
      <c r="F1248" s="24"/>
      <c r="G1248" s="23"/>
      <c r="H1248" s="23"/>
      <c r="I1248" s="23"/>
      <c r="J1248" s="25"/>
      <c r="K1248" s="23"/>
      <c r="L1248" s="23"/>
      <c r="M1248" s="23"/>
      <c r="N1248" s="26"/>
      <c r="O1248" s="26"/>
      <c r="P1248" s="26"/>
      <c r="Q1248" s="26"/>
      <c r="R1248" s="26"/>
      <c r="S1248" s="26"/>
      <c r="T1248" s="26"/>
      <c r="U1248" s="26"/>
      <c r="V1248" s="26"/>
      <c r="W1248" s="27"/>
    </row>
    <row r="1249" spans="1:23" ht="15.75" customHeight="1" x14ac:dyDescent="0.25">
      <c r="A1249" s="23"/>
      <c r="B1249" s="23" t="str">
        <f t="shared" si="5"/>
        <v/>
      </c>
      <c r="C1249" s="23"/>
      <c r="D1249" s="23"/>
      <c r="E1249" s="23"/>
      <c r="F1249" s="24"/>
      <c r="G1249" s="23"/>
      <c r="H1249" s="23"/>
      <c r="I1249" s="23"/>
      <c r="J1249" s="25"/>
      <c r="K1249" s="23"/>
      <c r="L1249" s="23"/>
      <c r="M1249" s="23"/>
      <c r="N1249" s="26"/>
      <c r="O1249" s="26"/>
      <c r="P1249" s="26"/>
      <c r="Q1249" s="26"/>
      <c r="R1249" s="26"/>
      <c r="S1249" s="26"/>
      <c r="T1249" s="26"/>
      <c r="U1249" s="26"/>
      <c r="V1249" s="26"/>
      <c r="W1249" s="27"/>
    </row>
    <row r="1250" spans="1:23" ht="15.75" customHeight="1" x14ac:dyDescent="0.25">
      <c r="A1250" s="23"/>
      <c r="B1250" s="23" t="str">
        <f t="shared" si="5"/>
        <v/>
      </c>
      <c r="C1250" s="23"/>
      <c r="D1250" s="23"/>
      <c r="E1250" s="23"/>
      <c r="F1250" s="24"/>
      <c r="G1250" s="23"/>
      <c r="H1250" s="23"/>
      <c r="I1250" s="23"/>
      <c r="J1250" s="25"/>
      <c r="K1250" s="23"/>
      <c r="L1250" s="23"/>
      <c r="M1250" s="23"/>
      <c r="N1250" s="26"/>
      <c r="O1250" s="26"/>
      <c r="P1250" s="26"/>
      <c r="Q1250" s="26"/>
      <c r="R1250" s="26"/>
      <c r="S1250" s="26"/>
      <c r="T1250" s="26"/>
      <c r="U1250" s="26"/>
      <c r="V1250" s="26"/>
      <c r="W1250" s="27"/>
    </row>
    <row r="1251" spans="1:23" ht="15.75" customHeight="1" x14ac:dyDescent="0.25">
      <c r="A1251" s="23"/>
      <c r="B1251" s="23" t="str">
        <f t="shared" si="5"/>
        <v/>
      </c>
      <c r="C1251" s="23"/>
      <c r="D1251" s="23"/>
      <c r="E1251" s="23"/>
      <c r="F1251" s="24"/>
      <c r="G1251" s="23"/>
      <c r="H1251" s="23"/>
      <c r="I1251" s="23"/>
      <c r="J1251" s="25"/>
      <c r="K1251" s="23"/>
      <c r="L1251" s="23"/>
      <c r="M1251" s="23"/>
      <c r="N1251" s="26"/>
      <c r="O1251" s="26"/>
      <c r="P1251" s="26"/>
      <c r="Q1251" s="26"/>
      <c r="R1251" s="26"/>
      <c r="S1251" s="26"/>
      <c r="T1251" s="26"/>
      <c r="U1251" s="26"/>
      <c r="V1251" s="26"/>
      <c r="W1251" s="27"/>
    </row>
    <row r="1252" spans="1:23" ht="15.75" customHeight="1" x14ac:dyDescent="0.25">
      <c r="A1252" s="23"/>
      <c r="B1252" s="23" t="str">
        <f t="shared" si="5"/>
        <v/>
      </c>
      <c r="C1252" s="23"/>
      <c r="D1252" s="23"/>
      <c r="E1252" s="23"/>
      <c r="F1252" s="24"/>
      <c r="G1252" s="23"/>
      <c r="H1252" s="23"/>
      <c r="I1252" s="23"/>
      <c r="J1252" s="25"/>
      <c r="K1252" s="23"/>
      <c r="L1252" s="23"/>
      <c r="M1252" s="23"/>
      <c r="N1252" s="26"/>
      <c r="O1252" s="26"/>
      <c r="P1252" s="26"/>
      <c r="Q1252" s="26"/>
      <c r="R1252" s="26"/>
      <c r="S1252" s="26"/>
      <c r="T1252" s="26"/>
      <c r="U1252" s="26"/>
      <c r="V1252" s="26"/>
      <c r="W1252" s="27"/>
    </row>
    <row r="1253" spans="1:23" ht="15.75" customHeight="1" x14ac:dyDescent="0.25">
      <c r="A1253" s="23"/>
      <c r="B1253" s="23" t="str">
        <f t="shared" si="5"/>
        <v/>
      </c>
      <c r="C1253" s="23"/>
      <c r="D1253" s="23"/>
      <c r="E1253" s="23"/>
      <c r="F1253" s="24"/>
      <c r="G1253" s="23"/>
      <c r="H1253" s="23"/>
      <c r="I1253" s="23"/>
      <c r="J1253" s="25"/>
      <c r="K1253" s="23"/>
      <c r="L1253" s="23"/>
      <c r="M1253" s="23"/>
      <c r="N1253" s="26"/>
      <c r="O1253" s="26"/>
      <c r="P1253" s="26"/>
      <c r="Q1253" s="26"/>
      <c r="R1253" s="26"/>
      <c r="S1253" s="26"/>
      <c r="T1253" s="26"/>
      <c r="U1253" s="26"/>
      <c r="V1253" s="26"/>
      <c r="W1253" s="27"/>
    </row>
    <row r="1254" spans="1:23" ht="15.75" customHeight="1" x14ac:dyDescent="0.25">
      <c r="A1254" s="23"/>
      <c r="B1254" s="23" t="str">
        <f t="shared" si="5"/>
        <v/>
      </c>
      <c r="C1254" s="23"/>
      <c r="D1254" s="23"/>
      <c r="E1254" s="23"/>
      <c r="F1254" s="24"/>
      <c r="G1254" s="23"/>
      <c r="H1254" s="23"/>
      <c r="I1254" s="23"/>
      <c r="J1254" s="25"/>
      <c r="K1254" s="23"/>
      <c r="L1254" s="23"/>
      <c r="M1254" s="23"/>
      <c r="N1254" s="26"/>
      <c r="O1254" s="26"/>
      <c r="P1254" s="26"/>
      <c r="Q1254" s="26"/>
      <c r="R1254" s="26"/>
      <c r="S1254" s="26"/>
      <c r="T1254" s="26"/>
      <c r="U1254" s="26"/>
      <c r="V1254" s="26"/>
      <c r="W1254" s="27"/>
    </row>
    <row r="1255" spans="1:23" ht="15.75" customHeight="1" x14ac:dyDescent="0.25">
      <c r="A1255" s="23"/>
      <c r="B1255" s="23" t="str">
        <f t="shared" si="5"/>
        <v/>
      </c>
      <c r="C1255" s="23"/>
      <c r="D1255" s="23"/>
      <c r="E1255" s="23"/>
      <c r="F1255" s="24"/>
      <c r="G1255" s="23"/>
      <c r="H1255" s="23"/>
      <c r="I1255" s="23"/>
      <c r="J1255" s="25"/>
      <c r="K1255" s="23"/>
      <c r="L1255" s="23"/>
      <c r="M1255" s="23"/>
      <c r="N1255" s="26"/>
      <c r="O1255" s="26"/>
      <c r="P1255" s="26"/>
      <c r="Q1255" s="26"/>
      <c r="R1255" s="26"/>
      <c r="S1255" s="26"/>
      <c r="T1255" s="26"/>
      <c r="U1255" s="26"/>
      <c r="V1255" s="26"/>
      <c r="W1255" s="27"/>
    </row>
    <row r="1256" spans="1:23" ht="15.75" customHeight="1" x14ac:dyDescent="0.25">
      <c r="A1256" s="23"/>
      <c r="B1256" s="23" t="str">
        <f t="shared" si="5"/>
        <v/>
      </c>
      <c r="C1256" s="23"/>
      <c r="D1256" s="23"/>
      <c r="E1256" s="23"/>
      <c r="F1256" s="24"/>
      <c r="G1256" s="23"/>
      <c r="H1256" s="23"/>
      <c r="I1256" s="23"/>
      <c r="J1256" s="25"/>
      <c r="K1256" s="23"/>
      <c r="L1256" s="23"/>
      <c r="M1256" s="23"/>
      <c r="N1256" s="26"/>
      <c r="O1256" s="26"/>
      <c r="P1256" s="26"/>
      <c r="Q1256" s="26"/>
      <c r="R1256" s="26"/>
      <c r="S1256" s="26"/>
      <c r="T1256" s="26"/>
      <c r="U1256" s="26"/>
      <c r="V1256" s="26"/>
      <c r="W1256" s="27"/>
    </row>
    <row r="1257" spans="1:23" ht="15.75" customHeight="1" x14ac:dyDescent="0.25">
      <c r="A1257" s="23"/>
      <c r="B1257" s="23" t="str">
        <f t="shared" si="5"/>
        <v/>
      </c>
      <c r="C1257" s="23"/>
      <c r="D1257" s="23"/>
      <c r="E1257" s="23"/>
      <c r="F1257" s="24"/>
      <c r="G1257" s="23"/>
      <c r="H1257" s="23"/>
      <c r="I1257" s="23"/>
      <c r="J1257" s="25"/>
      <c r="K1257" s="23"/>
      <c r="L1257" s="23"/>
      <c r="M1257" s="23"/>
      <c r="N1257" s="26"/>
      <c r="O1257" s="26"/>
      <c r="P1257" s="26"/>
      <c r="Q1257" s="26"/>
      <c r="R1257" s="26"/>
      <c r="S1257" s="26"/>
      <c r="T1257" s="26"/>
      <c r="U1257" s="26"/>
      <c r="V1257" s="26"/>
      <c r="W1257" s="27"/>
    </row>
    <row r="1258" spans="1:23" ht="15.75" customHeight="1" x14ac:dyDescent="0.25">
      <c r="A1258" s="23"/>
      <c r="B1258" s="23" t="str">
        <f t="shared" si="5"/>
        <v/>
      </c>
      <c r="C1258" s="23"/>
      <c r="D1258" s="23"/>
      <c r="E1258" s="23"/>
      <c r="F1258" s="24"/>
      <c r="G1258" s="23"/>
      <c r="H1258" s="23"/>
      <c r="I1258" s="23"/>
      <c r="J1258" s="25"/>
      <c r="K1258" s="23"/>
      <c r="L1258" s="23"/>
      <c r="M1258" s="23"/>
      <c r="N1258" s="26"/>
      <c r="O1258" s="26"/>
      <c r="P1258" s="26"/>
      <c r="Q1258" s="26"/>
      <c r="R1258" s="26"/>
      <c r="S1258" s="26"/>
      <c r="T1258" s="26"/>
      <c r="U1258" s="26"/>
      <c r="V1258" s="26"/>
      <c r="W1258" s="27"/>
    </row>
    <row r="1259" spans="1:23" ht="15.75" customHeight="1" x14ac:dyDescent="0.25">
      <c r="A1259" s="23"/>
      <c r="B1259" s="23" t="str">
        <f t="shared" si="5"/>
        <v/>
      </c>
      <c r="C1259" s="23"/>
      <c r="D1259" s="23"/>
      <c r="E1259" s="23"/>
      <c r="F1259" s="24"/>
      <c r="G1259" s="23"/>
      <c r="H1259" s="23"/>
      <c r="I1259" s="23"/>
      <c r="J1259" s="25"/>
      <c r="K1259" s="23"/>
      <c r="L1259" s="23"/>
      <c r="M1259" s="23"/>
      <c r="N1259" s="26"/>
      <c r="O1259" s="26"/>
      <c r="P1259" s="26"/>
      <c r="Q1259" s="26"/>
      <c r="R1259" s="26"/>
      <c r="S1259" s="26"/>
      <c r="T1259" s="26"/>
      <c r="U1259" s="26"/>
      <c r="V1259" s="26"/>
      <c r="W1259" s="27"/>
    </row>
    <row r="1260" spans="1:23" ht="15.75" customHeight="1" x14ac:dyDescent="0.25">
      <c r="A1260" s="23"/>
      <c r="B1260" s="23" t="str">
        <f t="shared" si="5"/>
        <v/>
      </c>
      <c r="C1260" s="23"/>
      <c r="D1260" s="23"/>
      <c r="E1260" s="23"/>
      <c r="F1260" s="24"/>
      <c r="G1260" s="23"/>
      <c r="H1260" s="23"/>
      <c r="I1260" s="23"/>
      <c r="J1260" s="25"/>
      <c r="K1260" s="23"/>
      <c r="L1260" s="23"/>
      <c r="M1260" s="23"/>
      <c r="N1260" s="26"/>
      <c r="O1260" s="26"/>
      <c r="P1260" s="26"/>
      <c r="Q1260" s="26"/>
      <c r="R1260" s="26"/>
      <c r="S1260" s="26"/>
      <c r="T1260" s="26"/>
      <c r="U1260" s="26"/>
      <c r="V1260" s="26"/>
      <c r="W1260" s="27"/>
    </row>
    <row r="1261" spans="1:23" ht="15.75" customHeight="1" x14ac:dyDescent="0.25">
      <c r="A1261" s="23"/>
      <c r="B1261" s="23" t="str">
        <f t="shared" si="5"/>
        <v/>
      </c>
      <c r="C1261" s="23"/>
      <c r="D1261" s="23"/>
      <c r="E1261" s="23"/>
      <c r="F1261" s="24"/>
      <c r="G1261" s="23"/>
      <c r="H1261" s="23"/>
      <c r="I1261" s="23"/>
      <c r="J1261" s="25"/>
      <c r="K1261" s="23"/>
      <c r="L1261" s="23"/>
      <c r="M1261" s="23"/>
      <c r="N1261" s="26"/>
      <c r="O1261" s="26"/>
      <c r="P1261" s="26"/>
      <c r="Q1261" s="26"/>
      <c r="R1261" s="26"/>
      <c r="S1261" s="26"/>
      <c r="T1261" s="26"/>
      <c r="U1261" s="26"/>
      <c r="V1261" s="26"/>
      <c r="W1261" s="27"/>
    </row>
    <row r="1262" spans="1:23" ht="15.75" customHeight="1" x14ac:dyDescent="0.25">
      <c r="A1262" s="23"/>
      <c r="B1262" s="23" t="str">
        <f t="shared" si="5"/>
        <v/>
      </c>
      <c r="C1262" s="23"/>
      <c r="D1262" s="23"/>
      <c r="E1262" s="23"/>
      <c r="F1262" s="24"/>
      <c r="G1262" s="23"/>
      <c r="H1262" s="23"/>
      <c r="I1262" s="23"/>
      <c r="J1262" s="25"/>
      <c r="K1262" s="23"/>
      <c r="L1262" s="23"/>
      <c r="M1262" s="23"/>
      <c r="N1262" s="26"/>
      <c r="O1262" s="26"/>
      <c r="P1262" s="26"/>
      <c r="Q1262" s="26"/>
      <c r="R1262" s="26"/>
      <c r="S1262" s="26"/>
      <c r="T1262" s="26"/>
      <c r="U1262" s="26"/>
      <c r="V1262" s="26"/>
      <c r="W1262" s="27"/>
    </row>
    <row r="1263" spans="1:23" ht="15.75" customHeight="1" x14ac:dyDescent="0.25">
      <c r="A1263" s="23"/>
      <c r="B1263" s="23" t="str">
        <f t="shared" si="5"/>
        <v/>
      </c>
      <c r="C1263" s="23"/>
      <c r="D1263" s="23"/>
      <c r="E1263" s="23"/>
      <c r="F1263" s="24"/>
      <c r="G1263" s="23"/>
      <c r="H1263" s="23"/>
      <c r="I1263" s="23"/>
      <c r="J1263" s="25"/>
      <c r="K1263" s="23"/>
      <c r="L1263" s="23"/>
      <c r="M1263" s="23"/>
      <c r="N1263" s="26"/>
      <c r="O1263" s="26"/>
      <c r="P1263" s="26"/>
      <c r="Q1263" s="26"/>
      <c r="R1263" s="26"/>
      <c r="S1263" s="26"/>
      <c r="T1263" s="26"/>
      <c r="U1263" s="26"/>
      <c r="V1263" s="26"/>
      <c r="W1263" s="27"/>
    </row>
    <row r="1264" spans="1:23" ht="15.75" customHeight="1" x14ac:dyDescent="0.25">
      <c r="A1264" s="23"/>
      <c r="B1264" s="23" t="str">
        <f t="shared" si="5"/>
        <v/>
      </c>
      <c r="C1264" s="23"/>
      <c r="D1264" s="23"/>
      <c r="E1264" s="23"/>
      <c r="F1264" s="24"/>
      <c r="G1264" s="23"/>
      <c r="H1264" s="23"/>
      <c r="I1264" s="23"/>
      <c r="J1264" s="25"/>
      <c r="K1264" s="23"/>
      <c r="L1264" s="23"/>
      <c r="M1264" s="23"/>
      <c r="N1264" s="26"/>
      <c r="O1264" s="26"/>
      <c r="P1264" s="26"/>
      <c r="Q1264" s="26"/>
      <c r="R1264" s="26"/>
      <c r="S1264" s="26"/>
      <c r="T1264" s="26"/>
      <c r="U1264" s="26"/>
      <c r="V1264" s="26"/>
      <c r="W1264" s="27"/>
    </row>
    <row r="1265" spans="1:23" ht="15.75" customHeight="1" x14ac:dyDescent="0.25">
      <c r="A1265" s="23"/>
      <c r="B1265" s="23" t="str">
        <f t="shared" si="5"/>
        <v/>
      </c>
      <c r="C1265" s="23"/>
      <c r="D1265" s="23"/>
      <c r="E1265" s="23"/>
      <c r="F1265" s="24"/>
      <c r="G1265" s="23"/>
      <c r="H1265" s="23"/>
      <c r="I1265" s="23"/>
      <c r="J1265" s="25"/>
      <c r="K1265" s="23"/>
      <c r="L1265" s="23"/>
      <c r="M1265" s="23"/>
      <c r="N1265" s="26"/>
      <c r="O1265" s="26"/>
      <c r="P1265" s="26"/>
      <c r="Q1265" s="26"/>
      <c r="R1265" s="26"/>
      <c r="S1265" s="26"/>
      <c r="T1265" s="26"/>
      <c r="U1265" s="26"/>
      <c r="V1265" s="26"/>
      <c r="W1265" s="27"/>
    </row>
    <row r="1266" spans="1:23" ht="15.75" customHeight="1" x14ac:dyDescent="0.25">
      <c r="A1266" s="23"/>
      <c r="B1266" s="23" t="str">
        <f t="shared" si="5"/>
        <v/>
      </c>
      <c r="C1266" s="23"/>
      <c r="D1266" s="23"/>
      <c r="E1266" s="23"/>
      <c r="F1266" s="24"/>
      <c r="G1266" s="23"/>
      <c r="H1266" s="23"/>
      <c r="I1266" s="23"/>
      <c r="J1266" s="25"/>
      <c r="K1266" s="23"/>
      <c r="L1266" s="23"/>
      <c r="M1266" s="23"/>
      <c r="N1266" s="26"/>
      <c r="O1266" s="26"/>
      <c r="P1266" s="26"/>
      <c r="Q1266" s="26"/>
      <c r="R1266" s="26"/>
      <c r="S1266" s="26"/>
      <c r="T1266" s="26"/>
      <c r="U1266" s="26"/>
      <c r="V1266" s="26"/>
      <c r="W1266" s="27"/>
    </row>
    <row r="1267" spans="1:23" ht="15.75" customHeight="1" x14ac:dyDescent="0.25">
      <c r="A1267" s="23"/>
      <c r="B1267" s="23" t="str">
        <f t="shared" si="5"/>
        <v/>
      </c>
      <c r="C1267" s="23"/>
      <c r="D1267" s="23"/>
      <c r="E1267" s="23"/>
      <c r="F1267" s="24"/>
      <c r="G1267" s="23"/>
      <c r="H1267" s="23"/>
      <c r="I1267" s="23"/>
      <c r="J1267" s="25"/>
      <c r="K1267" s="23"/>
      <c r="L1267" s="23"/>
      <c r="M1267" s="23"/>
      <c r="N1267" s="26"/>
      <c r="O1267" s="26"/>
      <c r="P1267" s="26"/>
      <c r="Q1267" s="26"/>
      <c r="R1267" s="26"/>
      <c r="S1267" s="26"/>
      <c r="T1267" s="26"/>
      <c r="U1267" s="26"/>
      <c r="V1267" s="26"/>
      <c r="W1267" s="27"/>
    </row>
    <row r="1268" spans="1:23" ht="15.75" customHeight="1" x14ac:dyDescent="0.25">
      <c r="A1268" s="23"/>
      <c r="B1268" s="23" t="str">
        <f t="shared" si="5"/>
        <v/>
      </c>
      <c r="C1268" s="23"/>
      <c r="D1268" s="23"/>
      <c r="E1268" s="23"/>
      <c r="F1268" s="24"/>
      <c r="G1268" s="23"/>
      <c r="H1268" s="23"/>
      <c r="I1268" s="23"/>
      <c r="J1268" s="25"/>
      <c r="K1268" s="23"/>
      <c r="L1268" s="23"/>
      <c r="M1268" s="23"/>
      <c r="N1268" s="26"/>
      <c r="O1268" s="26"/>
      <c r="P1268" s="26"/>
      <c r="Q1268" s="26"/>
      <c r="R1268" s="26"/>
      <c r="S1268" s="26"/>
      <c r="T1268" s="26"/>
      <c r="U1268" s="26"/>
      <c r="V1268" s="26"/>
      <c r="W1268" s="27"/>
    </row>
    <row r="1269" spans="1:23" ht="15.75" customHeight="1" x14ac:dyDescent="0.25">
      <c r="A1269" s="23"/>
      <c r="B1269" s="23" t="str">
        <f t="shared" si="5"/>
        <v/>
      </c>
      <c r="C1269" s="23"/>
      <c r="D1269" s="23"/>
      <c r="E1269" s="23"/>
      <c r="F1269" s="24"/>
      <c r="G1269" s="23"/>
      <c r="H1269" s="23"/>
      <c r="I1269" s="23"/>
      <c r="J1269" s="25"/>
      <c r="K1269" s="23"/>
      <c r="L1269" s="23"/>
      <c r="M1269" s="23"/>
      <c r="N1269" s="26"/>
      <c r="O1269" s="26"/>
      <c r="P1269" s="26"/>
      <c r="Q1269" s="26"/>
      <c r="R1269" s="26"/>
      <c r="S1269" s="26"/>
      <c r="T1269" s="26"/>
      <c r="U1269" s="26"/>
      <c r="V1269" s="26"/>
      <c r="W1269" s="27"/>
    </row>
    <row r="1270" spans="1:23" ht="15.75" customHeight="1" x14ac:dyDescent="0.25">
      <c r="A1270" s="23"/>
      <c r="B1270" s="23" t="str">
        <f t="shared" si="5"/>
        <v/>
      </c>
      <c r="C1270" s="23"/>
      <c r="D1270" s="23"/>
      <c r="E1270" s="23"/>
      <c r="F1270" s="24"/>
      <c r="G1270" s="23"/>
      <c r="H1270" s="23"/>
      <c r="I1270" s="23"/>
      <c r="J1270" s="25"/>
      <c r="K1270" s="23"/>
      <c r="L1270" s="23"/>
      <c r="M1270" s="23"/>
      <c r="N1270" s="26"/>
      <c r="O1270" s="26"/>
      <c r="P1270" s="26"/>
      <c r="Q1270" s="26"/>
      <c r="R1270" s="26"/>
      <c r="S1270" s="26"/>
      <c r="T1270" s="26"/>
      <c r="U1270" s="26"/>
      <c r="V1270" s="26"/>
      <c r="W1270" s="27"/>
    </row>
    <row r="1271" spans="1:23" ht="15.75" customHeight="1" x14ac:dyDescent="0.25">
      <c r="A1271" s="23"/>
      <c r="B1271" s="23" t="str">
        <f t="shared" si="5"/>
        <v/>
      </c>
      <c r="C1271" s="23"/>
      <c r="D1271" s="23"/>
      <c r="E1271" s="23"/>
      <c r="F1271" s="24"/>
      <c r="G1271" s="23"/>
      <c r="H1271" s="23"/>
      <c r="I1271" s="23"/>
      <c r="J1271" s="25"/>
      <c r="K1271" s="23"/>
      <c r="L1271" s="23"/>
      <c r="M1271" s="23"/>
      <c r="N1271" s="26"/>
      <c r="O1271" s="26"/>
      <c r="P1271" s="26"/>
      <c r="Q1271" s="26"/>
      <c r="R1271" s="26"/>
      <c r="S1271" s="26"/>
      <c r="T1271" s="26"/>
      <c r="U1271" s="26"/>
      <c r="V1271" s="26"/>
      <c r="W1271" s="27"/>
    </row>
    <row r="1272" spans="1:23" ht="15.75" customHeight="1" x14ac:dyDescent="0.25">
      <c r="A1272" s="23"/>
      <c r="B1272" s="23" t="str">
        <f t="shared" si="5"/>
        <v/>
      </c>
      <c r="C1272" s="23"/>
      <c r="D1272" s="23"/>
      <c r="E1272" s="23"/>
      <c r="F1272" s="24"/>
      <c r="G1272" s="23"/>
      <c r="H1272" s="23"/>
      <c r="I1272" s="23"/>
      <c r="J1272" s="25"/>
      <c r="K1272" s="23"/>
      <c r="L1272" s="23"/>
      <c r="M1272" s="23"/>
      <c r="N1272" s="26"/>
      <c r="O1272" s="26"/>
      <c r="P1272" s="26"/>
      <c r="Q1272" s="26"/>
      <c r="R1272" s="26"/>
      <c r="S1272" s="26"/>
      <c r="T1272" s="26"/>
      <c r="U1272" s="26"/>
      <c r="V1272" s="26"/>
      <c r="W1272" s="27"/>
    </row>
    <row r="1273" spans="1:23" ht="15.75" customHeight="1" x14ac:dyDescent="0.25">
      <c r="A1273" s="23"/>
      <c r="B1273" s="23" t="str">
        <f t="shared" si="5"/>
        <v/>
      </c>
      <c r="C1273" s="23"/>
      <c r="D1273" s="23"/>
      <c r="E1273" s="23"/>
      <c r="F1273" s="24"/>
      <c r="G1273" s="23"/>
      <c r="H1273" s="23"/>
      <c r="I1273" s="23"/>
      <c r="J1273" s="25"/>
      <c r="K1273" s="23"/>
      <c r="L1273" s="23"/>
      <c r="M1273" s="23"/>
      <c r="N1273" s="26"/>
      <c r="O1273" s="26"/>
      <c r="P1273" s="26"/>
      <c r="Q1273" s="26"/>
      <c r="R1273" s="26"/>
      <c r="S1273" s="26"/>
      <c r="T1273" s="26"/>
      <c r="U1273" s="26"/>
      <c r="V1273" s="26"/>
      <c r="W1273" s="27"/>
    </row>
    <row r="1274" spans="1:23" ht="15.75" customHeight="1" x14ac:dyDescent="0.25">
      <c r="A1274" s="23"/>
      <c r="B1274" s="23" t="str">
        <f t="shared" si="5"/>
        <v/>
      </c>
      <c r="C1274" s="23"/>
      <c r="D1274" s="23"/>
      <c r="E1274" s="23"/>
      <c r="F1274" s="24"/>
      <c r="G1274" s="23"/>
      <c r="H1274" s="23"/>
      <c r="I1274" s="23"/>
      <c r="J1274" s="25"/>
      <c r="K1274" s="23"/>
      <c r="L1274" s="23"/>
      <c r="M1274" s="23"/>
      <c r="N1274" s="26"/>
      <c r="O1274" s="26"/>
      <c r="P1274" s="26"/>
      <c r="Q1274" s="26"/>
      <c r="R1274" s="26"/>
      <c r="S1274" s="26"/>
      <c r="T1274" s="26"/>
      <c r="U1274" s="26"/>
      <c r="V1274" s="26"/>
      <c r="W1274" s="27"/>
    </row>
    <row r="1275" spans="1:23" ht="15.75" customHeight="1" x14ac:dyDescent="0.25">
      <c r="A1275" s="23"/>
      <c r="B1275" s="23" t="str">
        <f t="shared" si="5"/>
        <v/>
      </c>
      <c r="C1275" s="23"/>
      <c r="D1275" s="23"/>
      <c r="E1275" s="23"/>
      <c r="F1275" s="24"/>
      <c r="G1275" s="23"/>
      <c r="H1275" s="23"/>
      <c r="I1275" s="23"/>
      <c r="J1275" s="25"/>
      <c r="K1275" s="23"/>
      <c r="L1275" s="23"/>
      <c r="M1275" s="23"/>
      <c r="N1275" s="26"/>
      <c r="O1275" s="26"/>
      <c r="P1275" s="26"/>
      <c r="Q1275" s="26"/>
      <c r="R1275" s="26"/>
      <c r="S1275" s="26"/>
      <c r="T1275" s="26"/>
      <c r="U1275" s="26"/>
      <c r="V1275" s="26"/>
      <c r="W1275" s="27"/>
    </row>
    <row r="1276" spans="1:23" ht="15.75" customHeight="1" x14ac:dyDescent="0.25">
      <c r="A1276" s="23"/>
      <c r="B1276" s="23" t="str">
        <f t="shared" si="5"/>
        <v/>
      </c>
      <c r="C1276" s="23"/>
      <c r="D1276" s="23"/>
      <c r="E1276" s="23"/>
      <c r="F1276" s="24"/>
      <c r="G1276" s="23"/>
      <c r="H1276" s="23"/>
      <c r="I1276" s="23"/>
      <c r="J1276" s="25"/>
      <c r="K1276" s="23"/>
      <c r="L1276" s="23"/>
      <c r="M1276" s="23"/>
      <c r="N1276" s="26"/>
      <c r="O1276" s="26"/>
      <c r="P1276" s="26"/>
      <c r="Q1276" s="26"/>
      <c r="R1276" s="26"/>
      <c r="S1276" s="26"/>
      <c r="T1276" s="26"/>
      <c r="U1276" s="26"/>
      <c r="V1276" s="26"/>
      <c r="W1276" s="27"/>
    </row>
    <row r="1277" spans="1:23" ht="15.75" customHeight="1" x14ac:dyDescent="0.25">
      <c r="A1277" s="23"/>
      <c r="B1277" s="23" t="str">
        <f t="shared" si="5"/>
        <v/>
      </c>
      <c r="C1277" s="23"/>
      <c r="D1277" s="23"/>
      <c r="E1277" s="23"/>
      <c r="F1277" s="24"/>
      <c r="G1277" s="23"/>
      <c r="H1277" s="23"/>
      <c r="I1277" s="23"/>
      <c r="J1277" s="25"/>
      <c r="K1277" s="23"/>
      <c r="L1277" s="23"/>
      <c r="M1277" s="23"/>
      <c r="N1277" s="26"/>
      <c r="O1277" s="26"/>
      <c r="P1277" s="26"/>
      <c r="Q1277" s="26"/>
      <c r="R1277" s="26"/>
      <c r="S1277" s="26"/>
      <c r="T1277" s="26"/>
      <c r="U1277" s="26"/>
      <c r="V1277" s="26"/>
      <c r="W1277" s="27"/>
    </row>
    <row r="1278" spans="1:23" ht="15.75" customHeight="1" x14ac:dyDescent="0.25">
      <c r="A1278" s="23"/>
      <c r="B1278" s="23" t="str">
        <f t="shared" si="5"/>
        <v/>
      </c>
      <c r="C1278" s="23"/>
      <c r="D1278" s="23"/>
      <c r="E1278" s="23"/>
      <c r="F1278" s="24"/>
      <c r="G1278" s="23"/>
      <c r="H1278" s="23"/>
      <c r="I1278" s="23"/>
      <c r="J1278" s="25"/>
      <c r="K1278" s="23"/>
      <c r="L1278" s="23"/>
      <c r="M1278" s="23"/>
      <c r="N1278" s="26"/>
      <c r="O1278" s="26"/>
      <c r="P1278" s="26"/>
      <c r="Q1278" s="26"/>
      <c r="R1278" s="26"/>
      <c r="S1278" s="26"/>
      <c r="T1278" s="26"/>
      <c r="U1278" s="26"/>
      <c r="V1278" s="26"/>
      <c r="W1278" s="27"/>
    </row>
    <row r="1279" spans="1:23" ht="15.75" customHeight="1" x14ac:dyDescent="0.25">
      <c r="A1279" s="23"/>
      <c r="B1279" s="23" t="str">
        <f t="shared" si="5"/>
        <v/>
      </c>
      <c r="C1279" s="23"/>
      <c r="D1279" s="23"/>
      <c r="E1279" s="23"/>
      <c r="F1279" s="24"/>
      <c r="G1279" s="23"/>
      <c r="H1279" s="23"/>
      <c r="I1279" s="23"/>
      <c r="J1279" s="25"/>
      <c r="K1279" s="23"/>
      <c r="L1279" s="23"/>
      <c r="M1279" s="23"/>
      <c r="N1279" s="26"/>
      <c r="O1279" s="26"/>
      <c r="P1279" s="26"/>
      <c r="Q1279" s="26"/>
      <c r="R1279" s="26"/>
      <c r="S1279" s="26"/>
      <c r="T1279" s="26"/>
      <c r="U1279" s="26"/>
      <c r="V1279" s="26"/>
      <c r="W1279" s="27"/>
    </row>
    <row r="1280" spans="1:23" ht="15.75" customHeight="1" x14ac:dyDescent="0.25">
      <c r="A1280" s="23"/>
      <c r="B1280" s="23" t="str">
        <f t="shared" si="5"/>
        <v/>
      </c>
      <c r="C1280" s="23"/>
      <c r="D1280" s="23"/>
      <c r="E1280" s="23"/>
      <c r="F1280" s="24"/>
      <c r="G1280" s="23"/>
      <c r="H1280" s="23"/>
      <c r="I1280" s="23"/>
      <c r="J1280" s="25"/>
      <c r="K1280" s="23"/>
      <c r="L1280" s="23"/>
      <c r="M1280" s="23"/>
      <c r="N1280" s="26"/>
      <c r="O1280" s="26"/>
      <c r="P1280" s="26"/>
      <c r="Q1280" s="26"/>
      <c r="R1280" s="26"/>
      <c r="S1280" s="26"/>
      <c r="T1280" s="26"/>
      <c r="U1280" s="26"/>
      <c r="V1280" s="26"/>
      <c r="W1280" s="27"/>
    </row>
    <row r="1281" spans="1:23" ht="15.75" customHeight="1" x14ac:dyDescent="0.25">
      <c r="A1281" s="23"/>
      <c r="B1281" s="23" t="str">
        <f t="shared" si="5"/>
        <v/>
      </c>
      <c r="C1281" s="23"/>
      <c r="D1281" s="23"/>
      <c r="E1281" s="23"/>
      <c r="F1281" s="24"/>
      <c r="G1281" s="23"/>
      <c r="H1281" s="23"/>
      <c r="I1281" s="23"/>
      <c r="J1281" s="25"/>
      <c r="K1281" s="23"/>
      <c r="L1281" s="23"/>
      <c r="M1281" s="23"/>
      <c r="N1281" s="26"/>
      <c r="O1281" s="26"/>
      <c r="P1281" s="26"/>
      <c r="Q1281" s="26"/>
      <c r="R1281" s="26"/>
      <c r="S1281" s="26"/>
      <c r="T1281" s="26"/>
      <c r="U1281" s="26"/>
      <c r="V1281" s="26"/>
      <c r="W1281" s="27"/>
    </row>
    <row r="1282" spans="1:23" ht="15.75" customHeight="1" x14ac:dyDescent="0.25">
      <c r="A1282" s="23"/>
      <c r="B1282" s="23" t="str">
        <f t="shared" si="5"/>
        <v/>
      </c>
      <c r="C1282" s="23"/>
      <c r="D1282" s="23"/>
      <c r="E1282" s="23"/>
      <c r="F1282" s="24"/>
      <c r="G1282" s="23"/>
      <c r="H1282" s="23"/>
      <c r="I1282" s="23"/>
      <c r="J1282" s="25"/>
      <c r="K1282" s="23"/>
      <c r="L1282" s="23"/>
      <c r="M1282" s="23"/>
      <c r="N1282" s="26"/>
      <c r="O1282" s="26"/>
      <c r="P1282" s="26"/>
      <c r="Q1282" s="26"/>
      <c r="R1282" s="26"/>
      <c r="S1282" s="26"/>
      <c r="T1282" s="26"/>
      <c r="U1282" s="26"/>
      <c r="V1282" s="26"/>
      <c r="W1282" s="27"/>
    </row>
    <row r="1283" spans="1:23" ht="15.75" customHeight="1" x14ac:dyDescent="0.25">
      <c r="A1283" s="23"/>
      <c r="B1283" s="23" t="str">
        <f t="shared" si="5"/>
        <v/>
      </c>
      <c r="C1283" s="23"/>
      <c r="D1283" s="23"/>
      <c r="E1283" s="23"/>
      <c r="F1283" s="24"/>
      <c r="G1283" s="23"/>
      <c r="H1283" s="23"/>
      <c r="I1283" s="23"/>
      <c r="J1283" s="25"/>
      <c r="K1283" s="23"/>
      <c r="L1283" s="23"/>
      <c r="M1283" s="23"/>
      <c r="N1283" s="26"/>
      <c r="O1283" s="26"/>
      <c r="P1283" s="26"/>
      <c r="Q1283" s="26"/>
      <c r="R1283" s="26"/>
      <c r="S1283" s="26"/>
      <c r="T1283" s="26"/>
      <c r="U1283" s="26"/>
      <c r="V1283" s="26"/>
      <c r="W1283" s="27"/>
    </row>
    <row r="1284" spans="1:23" ht="15.75" customHeight="1" x14ac:dyDescent="0.25">
      <c r="A1284" s="23"/>
      <c r="B1284" s="23" t="str">
        <f t="shared" si="5"/>
        <v/>
      </c>
      <c r="C1284" s="23"/>
      <c r="D1284" s="23"/>
      <c r="E1284" s="23"/>
      <c r="F1284" s="24"/>
      <c r="G1284" s="23"/>
      <c r="H1284" s="23"/>
      <c r="I1284" s="23"/>
      <c r="J1284" s="25"/>
      <c r="K1284" s="23"/>
      <c r="L1284" s="23"/>
      <c r="M1284" s="23"/>
      <c r="N1284" s="26"/>
      <c r="O1284" s="26"/>
      <c r="P1284" s="26"/>
      <c r="Q1284" s="26"/>
      <c r="R1284" s="26"/>
      <c r="S1284" s="26"/>
      <c r="T1284" s="26"/>
      <c r="U1284" s="26"/>
      <c r="V1284" s="26"/>
      <c r="W1284" s="27"/>
    </row>
    <row r="1285" spans="1:23" ht="15.75" customHeight="1" x14ac:dyDescent="0.25">
      <c r="A1285" s="23"/>
      <c r="B1285" s="23" t="str">
        <f t="shared" si="5"/>
        <v/>
      </c>
      <c r="C1285" s="23"/>
      <c r="D1285" s="23"/>
      <c r="E1285" s="23"/>
      <c r="F1285" s="24"/>
      <c r="G1285" s="23"/>
      <c r="H1285" s="23"/>
      <c r="I1285" s="23"/>
      <c r="J1285" s="25"/>
      <c r="K1285" s="23"/>
      <c r="L1285" s="23"/>
      <c r="M1285" s="23"/>
      <c r="N1285" s="26"/>
      <c r="O1285" s="26"/>
      <c r="P1285" s="26"/>
      <c r="Q1285" s="26"/>
      <c r="R1285" s="26"/>
      <c r="S1285" s="26"/>
      <c r="T1285" s="26"/>
      <c r="U1285" s="26"/>
      <c r="V1285" s="26"/>
      <c r="W1285" s="27"/>
    </row>
    <row r="1286" spans="1:23" ht="15.75" customHeight="1" x14ac:dyDescent="0.25">
      <c r="A1286" s="23"/>
      <c r="B1286" s="23" t="str">
        <f t="shared" si="5"/>
        <v/>
      </c>
      <c r="C1286" s="23"/>
      <c r="D1286" s="23"/>
      <c r="E1286" s="23"/>
      <c r="F1286" s="24"/>
      <c r="G1286" s="23"/>
      <c r="H1286" s="23"/>
      <c r="I1286" s="23"/>
      <c r="J1286" s="25"/>
      <c r="K1286" s="23"/>
      <c r="L1286" s="23"/>
      <c r="M1286" s="23"/>
      <c r="N1286" s="26"/>
      <c r="O1286" s="26"/>
      <c r="P1286" s="26"/>
      <c r="Q1286" s="26"/>
      <c r="R1286" s="26"/>
      <c r="S1286" s="26"/>
      <c r="T1286" s="26"/>
      <c r="U1286" s="26"/>
      <c r="V1286" s="26"/>
      <c r="W1286" s="27"/>
    </row>
    <row r="1287" spans="1:23" ht="15.75" customHeight="1" x14ac:dyDescent="0.25">
      <c r="A1287" s="23"/>
      <c r="B1287" s="23" t="str">
        <f t="shared" si="5"/>
        <v/>
      </c>
      <c r="C1287" s="23"/>
      <c r="D1287" s="23"/>
      <c r="E1287" s="23"/>
      <c r="F1287" s="24"/>
      <c r="G1287" s="23"/>
      <c r="H1287" s="23"/>
      <c r="I1287" s="23"/>
      <c r="J1287" s="25"/>
      <c r="K1287" s="23"/>
      <c r="L1287" s="23"/>
      <c r="M1287" s="23"/>
      <c r="N1287" s="26"/>
      <c r="O1287" s="26"/>
      <c r="P1287" s="26"/>
      <c r="Q1287" s="26"/>
      <c r="R1287" s="26"/>
      <c r="S1287" s="26"/>
      <c r="T1287" s="26"/>
      <c r="U1287" s="26"/>
      <c r="V1287" s="26"/>
      <c r="W1287" s="27"/>
    </row>
    <row r="1288" spans="1:23" ht="15.75" customHeight="1" x14ac:dyDescent="0.25">
      <c r="A1288" s="23"/>
      <c r="B1288" s="23" t="str">
        <f t="shared" si="5"/>
        <v/>
      </c>
      <c r="C1288" s="23"/>
      <c r="D1288" s="23"/>
      <c r="E1288" s="23"/>
      <c r="F1288" s="24"/>
      <c r="G1288" s="23"/>
      <c r="H1288" s="23"/>
      <c r="I1288" s="23"/>
      <c r="J1288" s="25"/>
      <c r="K1288" s="23"/>
      <c r="L1288" s="23"/>
      <c r="M1288" s="23"/>
      <c r="N1288" s="26"/>
      <c r="O1288" s="26"/>
      <c r="P1288" s="26"/>
      <c r="Q1288" s="26"/>
      <c r="R1288" s="26"/>
      <c r="S1288" s="26"/>
      <c r="T1288" s="26"/>
      <c r="U1288" s="26"/>
      <c r="V1288" s="26"/>
      <c r="W1288" s="27"/>
    </row>
    <row r="1289" spans="1:23" ht="15.75" customHeight="1" x14ac:dyDescent="0.25">
      <c r="A1289" s="23"/>
      <c r="B1289" s="23" t="str">
        <f t="shared" si="5"/>
        <v/>
      </c>
      <c r="C1289" s="23"/>
      <c r="D1289" s="23"/>
      <c r="E1289" s="23"/>
      <c r="F1289" s="24"/>
      <c r="G1289" s="23"/>
      <c r="H1289" s="23"/>
      <c r="I1289" s="23"/>
      <c r="J1289" s="25"/>
      <c r="K1289" s="23"/>
      <c r="L1289" s="23"/>
      <c r="M1289" s="23"/>
      <c r="N1289" s="26"/>
      <c r="O1289" s="26"/>
      <c r="P1289" s="26"/>
      <c r="Q1289" s="26"/>
      <c r="R1289" s="26"/>
      <c r="S1289" s="26"/>
      <c r="T1289" s="26"/>
      <c r="U1289" s="26"/>
      <c r="V1289" s="26"/>
      <c r="W1289" s="27"/>
    </row>
    <row r="1290" spans="1:23" ht="15.75" customHeight="1" x14ac:dyDescent="0.25">
      <c r="A1290" s="23"/>
      <c r="B1290" s="23" t="str">
        <f t="shared" si="5"/>
        <v/>
      </c>
      <c r="C1290" s="23"/>
      <c r="D1290" s="23"/>
      <c r="E1290" s="23"/>
      <c r="F1290" s="24"/>
      <c r="G1290" s="23"/>
      <c r="H1290" s="23"/>
      <c r="I1290" s="23"/>
      <c r="J1290" s="25"/>
      <c r="K1290" s="23"/>
      <c r="L1290" s="23"/>
      <c r="M1290" s="23"/>
      <c r="N1290" s="26"/>
      <c r="O1290" s="26"/>
      <c r="P1290" s="26"/>
      <c r="Q1290" s="26"/>
      <c r="R1290" s="26"/>
      <c r="S1290" s="26"/>
      <c r="T1290" s="26"/>
      <c r="U1290" s="26"/>
      <c r="V1290" s="26"/>
      <c r="W1290" s="27"/>
    </row>
    <row r="1291" spans="1:23" ht="15.75" customHeight="1" x14ac:dyDescent="0.25">
      <c r="A1291" s="23"/>
      <c r="B1291" s="23" t="str">
        <f t="shared" si="5"/>
        <v/>
      </c>
      <c r="C1291" s="23"/>
      <c r="D1291" s="23"/>
      <c r="E1291" s="23"/>
      <c r="F1291" s="24"/>
      <c r="G1291" s="23"/>
      <c r="H1291" s="23"/>
      <c r="I1291" s="23"/>
      <c r="J1291" s="25"/>
      <c r="K1291" s="23"/>
      <c r="L1291" s="23"/>
      <c r="M1291" s="23"/>
      <c r="N1291" s="26"/>
      <c r="O1291" s="26"/>
      <c r="P1291" s="26"/>
      <c r="Q1291" s="26"/>
      <c r="R1291" s="26"/>
      <c r="S1291" s="26"/>
      <c r="T1291" s="26"/>
      <c r="U1291" s="26"/>
      <c r="V1291" s="26"/>
      <c r="W1291" s="27"/>
    </row>
    <row r="1292" spans="1:23" ht="15.75" customHeight="1" x14ac:dyDescent="0.25">
      <c r="A1292" s="23"/>
      <c r="B1292" s="23" t="str">
        <f t="shared" si="5"/>
        <v/>
      </c>
      <c r="C1292" s="23"/>
      <c r="D1292" s="23"/>
      <c r="E1292" s="23"/>
      <c r="F1292" s="24"/>
      <c r="G1292" s="23"/>
      <c r="H1292" s="23"/>
      <c r="I1292" s="23"/>
      <c r="J1292" s="25"/>
      <c r="K1292" s="23"/>
      <c r="L1292" s="23"/>
      <c r="M1292" s="23"/>
      <c r="N1292" s="26"/>
      <c r="O1292" s="26"/>
      <c r="P1292" s="26"/>
      <c r="Q1292" s="26"/>
      <c r="R1292" s="26"/>
      <c r="S1292" s="26"/>
      <c r="T1292" s="26"/>
      <c r="U1292" s="26"/>
      <c r="V1292" s="26"/>
      <c r="W1292" s="27"/>
    </row>
    <row r="1293" spans="1:23" ht="15.75" customHeight="1" x14ac:dyDescent="0.25">
      <c r="A1293" s="23"/>
      <c r="B1293" s="23" t="str">
        <f t="shared" si="5"/>
        <v/>
      </c>
      <c r="C1293" s="23"/>
      <c r="D1293" s="23"/>
      <c r="E1293" s="23"/>
      <c r="F1293" s="24"/>
      <c r="G1293" s="23"/>
      <c r="H1293" s="23"/>
      <c r="I1293" s="23"/>
      <c r="J1293" s="25"/>
      <c r="K1293" s="23"/>
      <c r="L1293" s="23"/>
      <c r="M1293" s="23"/>
      <c r="N1293" s="26"/>
      <c r="O1293" s="26"/>
      <c r="P1293" s="26"/>
      <c r="Q1293" s="26"/>
      <c r="R1293" s="26"/>
      <c r="S1293" s="26"/>
      <c r="T1293" s="26"/>
      <c r="U1293" s="26"/>
      <c r="V1293" s="26"/>
      <c r="W1293" s="27"/>
    </row>
    <row r="1294" spans="1:23" ht="15.75" customHeight="1" x14ac:dyDescent="0.25">
      <c r="A1294" s="23"/>
      <c r="B1294" s="23" t="str">
        <f t="shared" si="5"/>
        <v/>
      </c>
      <c r="C1294" s="23"/>
      <c r="D1294" s="23"/>
      <c r="E1294" s="23"/>
      <c r="F1294" s="24"/>
      <c r="G1294" s="23"/>
      <c r="H1294" s="23"/>
      <c r="I1294" s="23"/>
      <c r="J1294" s="25"/>
      <c r="K1294" s="23"/>
      <c r="L1294" s="23"/>
      <c r="M1294" s="23"/>
      <c r="N1294" s="26"/>
      <c r="O1294" s="26"/>
      <c r="P1294" s="26"/>
      <c r="Q1294" s="26"/>
      <c r="R1294" s="26"/>
      <c r="S1294" s="26"/>
      <c r="T1294" s="26"/>
      <c r="U1294" s="26"/>
      <c r="V1294" s="26"/>
      <c r="W1294" s="27"/>
    </row>
    <row r="1295" spans="1:23" ht="15.75" customHeight="1" x14ac:dyDescent="0.25">
      <c r="A1295" s="23"/>
      <c r="B1295" s="23" t="str">
        <f t="shared" ref="B1295:B1549" si="6">MID(X1295,18,30)</f>
        <v/>
      </c>
      <c r="C1295" s="23"/>
      <c r="D1295" s="23"/>
      <c r="E1295" s="23"/>
      <c r="F1295" s="24"/>
      <c r="G1295" s="23"/>
      <c r="H1295" s="23"/>
      <c r="I1295" s="23"/>
      <c r="J1295" s="25"/>
      <c r="K1295" s="23"/>
      <c r="L1295" s="23"/>
      <c r="M1295" s="23"/>
      <c r="N1295" s="26"/>
      <c r="O1295" s="26"/>
      <c r="P1295" s="26"/>
      <c r="Q1295" s="26"/>
      <c r="R1295" s="26"/>
      <c r="S1295" s="26"/>
      <c r="T1295" s="26"/>
      <c r="U1295" s="26"/>
      <c r="V1295" s="26"/>
      <c r="W1295" s="27"/>
    </row>
    <row r="1296" spans="1:23" ht="15.75" customHeight="1" x14ac:dyDescent="0.25">
      <c r="A1296" s="23"/>
      <c r="B1296" s="23" t="str">
        <f t="shared" si="6"/>
        <v/>
      </c>
      <c r="C1296" s="23"/>
      <c r="D1296" s="23"/>
      <c r="E1296" s="23"/>
      <c r="F1296" s="24"/>
      <c r="G1296" s="23"/>
      <c r="H1296" s="23"/>
      <c r="I1296" s="23"/>
      <c r="J1296" s="25"/>
      <c r="K1296" s="23"/>
      <c r="L1296" s="23"/>
      <c r="M1296" s="23"/>
      <c r="N1296" s="26"/>
      <c r="O1296" s="26"/>
      <c r="P1296" s="26"/>
      <c r="Q1296" s="26"/>
      <c r="R1296" s="26"/>
      <c r="S1296" s="26"/>
      <c r="T1296" s="26"/>
      <c r="U1296" s="26"/>
      <c r="V1296" s="26"/>
      <c r="W1296" s="27"/>
    </row>
    <row r="1297" spans="1:23" ht="15.75" customHeight="1" x14ac:dyDescent="0.25">
      <c r="A1297" s="23"/>
      <c r="B1297" s="23" t="str">
        <f t="shared" si="6"/>
        <v/>
      </c>
      <c r="C1297" s="23"/>
      <c r="D1297" s="23"/>
      <c r="E1297" s="23"/>
      <c r="F1297" s="24"/>
      <c r="G1297" s="23"/>
      <c r="H1297" s="23"/>
      <c r="I1297" s="23"/>
      <c r="J1297" s="25"/>
      <c r="K1297" s="23"/>
      <c r="L1297" s="23"/>
      <c r="M1297" s="23"/>
      <c r="N1297" s="26"/>
      <c r="O1297" s="26"/>
      <c r="P1297" s="26"/>
      <c r="Q1297" s="26"/>
      <c r="R1297" s="26"/>
      <c r="S1297" s="26"/>
      <c r="T1297" s="26"/>
      <c r="U1297" s="26"/>
      <c r="V1297" s="26"/>
      <c r="W1297" s="27"/>
    </row>
    <row r="1298" spans="1:23" ht="15.75" customHeight="1" x14ac:dyDescent="0.25">
      <c r="A1298" s="23"/>
      <c r="B1298" s="23" t="str">
        <f t="shared" si="6"/>
        <v/>
      </c>
      <c r="C1298" s="23"/>
      <c r="D1298" s="23"/>
      <c r="E1298" s="23"/>
      <c r="F1298" s="24"/>
      <c r="G1298" s="23"/>
      <c r="H1298" s="23"/>
      <c r="I1298" s="23"/>
      <c r="J1298" s="25"/>
      <c r="K1298" s="23"/>
      <c r="L1298" s="23"/>
      <c r="M1298" s="23"/>
      <c r="N1298" s="26"/>
      <c r="O1298" s="26"/>
      <c r="P1298" s="26"/>
      <c r="Q1298" s="26"/>
      <c r="R1298" s="26"/>
      <c r="S1298" s="26"/>
      <c r="T1298" s="26"/>
      <c r="U1298" s="26"/>
      <c r="V1298" s="26"/>
      <c r="W1298" s="27"/>
    </row>
    <row r="1299" spans="1:23" ht="15.75" customHeight="1" x14ac:dyDescent="0.25">
      <c r="A1299" s="23"/>
      <c r="B1299" s="23" t="str">
        <f t="shared" si="6"/>
        <v/>
      </c>
      <c r="C1299" s="23"/>
      <c r="D1299" s="23"/>
      <c r="E1299" s="23"/>
      <c r="F1299" s="24"/>
      <c r="G1299" s="23"/>
      <c r="H1299" s="23"/>
      <c r="I1299" s="23"/>
      <c r="J1299" s="25"/>
      <c r="K1299" s="23"/>
      <c r="L1299" s="23"/>
      <c r="M1299" s="23"/>
      <c r="N1299" s="26"/>
      <c r="O1299" s="26"/>
      <c r="P1299" s="26"/>
      <c r="Q1299" s="26"/>
      <c r="R1299" s="26"/>
      <c r="S1299" s="26"/>
      <c r="T1299" s="26"/>
      <c r="U1299" s="26"/>
      <c r="V1299" s="26"/>
      <c r="W1299" s="27"/>
    </row>
    <row r="1300" spans="1:23" ht="15.75" customHeight="1" x14ac:dyDescent="0.25">
      <c r="A1300" s="23"/>
      <c r="B1300" s="23" t="str">
        <f t="shared" si="6"/>
        <v/>
      </c>
      <c r="C1300" s="23"/>
      <c r="D1300" s="23"/>
      <c r="E1300" s="23"/>
      <c r="F1300" s="24"/>
      <c r="G1300" s="23"/>
      <c r="H1300" s="23"/>
      <c r="I1300" s="23"/>
      <c r="J1300" s="25"/>
      <c r="K1300" s="23"/>
      <c r="L1300" s="23"/>
      <c r="M1300" s="23"/>
      <c r="N1300" s="26"/>
      <c r="O1300" s="26"/>
      <c r="P1300" s="26"/>
      <c r="Q1300" s="26"/>
      <c r="R1300" s="26"/>
      <c r="S1300" s="26"/>
      <c r="T1300" s="26"/>
      <c r="U1300" s="26"/>
      <c r="V1300" s="26"/>
      <c r="W1300" s="27"/>
    </row>
    <row r="1301" spans="1:23" ht="15.75" customHeight="1" x14ac:dyDescent="0.25">
      <c r="A1301" s="23"/>
      <c r="B1301" s="23" t="str">
        <f t="shared" si="6"/>
        <v/>
      </c>
      <c r="C1301" s="23"/>
      <c r="D1301" s="23"/>
      <c r="E1301" s="23"/>
      <c r="F1301" s="24"/>
      <c r="G1301" s="23"/>
      <c r="H1301" s="23"/>
      <c r="I1301" s="23"/>
      <c r="J1301" s="25"/>
      <c r="K1301" s="23"/>
      <c r="L1301" s="23"/>
      <c r="M1301" s="23"/>
      <c r="N1301" s="26"/>
      <c r="O1301" s="26"/>
      <c r="P1301" s="26"/>
      <c r="Q1301" s="26"/>
      <c r="R1301" s="26"/>
      <c r="S1301" s="26"/>
      <c r="T1301" s="26"/>
      <c r="U1301" s="26"/>
      <c r="V1301" s="26"/>
      <c r="W1301" s="27"/>
    </row>
    <row r="1302" spans="1:23" ht="15.75" customHeight="1" x14ac:dyDescent="0.25">
      <c r="A1302" s="23"/>
      <c r="B1302" s="23" t="str">
        <f t="shared" si="6"/>
        <v/>
      </c>
      <c r="C1302" s="23"/>
      <c r="D1302" s="23"/>
      <c r="E1302" s="23"/>
      <c r="F1302" s="24"/>
      <c r="G1302" s="23"/>
      <c r="H1302" s="23"/>
      <c r="I1302" s="23"/>
      <c r="J1302" s="25"/>
      <c r="K1302" s="23"/>
      <c r="L1302" s="23"/>
      <c r="M1302" s="23"/>
      <c r="N1302" s="26"/>
      <c r="O1302" s="26"/>
      <c r="P1302" s="26"/>
      <c r="Q1302" s="26"/>
      <c r="R1302" s="26"/>
      <c r="S1302" s="26"/>
      <c r="T1302" s="26"/>
      <c r="U1302" s="26"/>
      <c r="V1302" s="26"/>
      <c r="W1302" s="27"/>
    </row>
    <row r="1303" spans="1:23" ht="15.75" customHeight="1" x14ac:dyDescent="0.25">
      <c r="A1303" s="23"/>
      <c r="B1303" s="23" t="str">
        <f t="shared" si="6"/>
        <v/>
      </c>
      <c r="C1303" s="23"/>
      <c r="D1303" s="23"/>
      <c r="E1303" s="23"/>
      <c r="F1303" s="24"/>
      <c r="G1303" s="23"/>
      <c r="H1303" s="23"/>
      <c r="I1303" s="23"/>
      <c r="J1303" s="25"/>
      <c r="K1303" s="23"/>
      <c r="L1303" s="23"/>
      <c r="M1303" s="23"/>
      <c r="N1303" s="26"/>
      <c r="O1303" s="26"/>
      <c r="P1303" s="26"/>
      <c r="Q1303" s="26"/>
      <c r="R1303" s="26"/>
      <c r="S1303" s="26"/>
      <c r="T1303" s="26"/>
      <c r="U1303" s="26"/>
      <c r="V1303" s="26"/>
      <c r="W1303" s="27"/>
    </row>
    <row r="1304" spans="1:23" ht="15.75" customHeight="1" x14ac:dyDescent="0.25">
      <c r="A1304" s="23"/>
      <c r="B1304" s="23" t="str">
        <f t="shared" si="6"/>
        <v/>
      </c>
      <c r="C1304" s="23"/>
      <c r="D1304" s="23"/>
      <c r="E1304" s="23"/>
      <c r="F1304" s="24"/>
      <c r="G1304" s="23"/>
      <c r="H1304" s="23"/>
      <c r="I1304" s="23"/>
      <c r="J1304" s="25"/>
      <c r="K1304" s="23"/>
      <c r="L1304" s="23"/>
      <c r="M1304" s="23"/>
      <c r="N1304" s="26"/>
      <c r="O1304" s="26"/>
      <c r="P1304" s="26"/>
      <c r="Q1304" s="26"/>
      <c r="R1304" s="26"/>
      <c r="S1304" s="26"/>
      <c r="T1304" s="26"/>
      <c r="U1304" s="26"/>
      <c r="V1304" s="26"/>
      <c r="W1304" s="27"/>
    </row>
    <row r="1305" spans="1:23" ht="15.75" customHeight="1" x14ac:dyDescent="0.25">
      <c r="A1305" s="23"/>
      <c r="B1305" s="23" t="str">
        <f t="shared" si="6"/>
        <v/>
      </c>
      <c r="C1305" s="23"/>
      <c r="D1305" s="23"/>
      <c r="E1305" s="23"/>
      <c r="F1305" s="24"/>
      <c r="G1305" s="23"/>
      <c r="H1305" s="23"/>
      <c r="I1305" s="23"/>
      <c r="J1305" s="25"/>
      <c r="K1305" s="23"/>
      <c r="L1305" s="23"/>
      <c r="M1305" s="23"/>
      <c r="N1305" s="26"/>
      <c r="O1305" s="26"/>
      <c r="P1305" s="26"/>
      <c r="Q1305" s="26"/>
      <c r="R1305" s="26"/>
      <c r="S1305" s="26"/>
      <c r="T1305" s="26"/>
      <c r="U1305" s="26"/>
      <c r="V1305" s="26"/>
      <c r="W1305" s="27"/>
    </row>
    <row r="1306" spans="1:23" ht="15.75" customHeight="1" x14ac:dyDescent="0.25">
      <c r="A1306" s="23"/>
      <c r="B1306" s="23" t="str">
        <f t="shared" si="6"/>
        <v/>
      </c>
      <c r="C1306" s="23"/>
      <c r="D1306" s="23"/>
      <c r="E1306" s="23"/>
      <c r="F1306" s="24"/>
      <c r="G1306" s="23"/>
      <c r="H1306" s="23"/>
      <c r="I1306" s="23"/>
      <c r="J1306" s="25"/>
      <c r="K1306" s="23"/>
      <c r="L1306" s="23"/>
      <c r="M1306" s="23"/>
      <c r="N1306" s="26"/>
      <c r="O1306" s="26"/>
      <c r="P1306" s="26"/>
      <c r="Q1306" s="26"/>
      <c r="R1306" s="26"/>
      <c r="S1306" s="26"/>
      <c r="T1306" s="26"/>
      <c r="U1306" s="26"/>
      <c r="V1306" s="26"/>
      <c r="W1306" s="27"/>
    </row>
    <row r="1307" spans="1:23" ht="15.75" customHeight="1" x14ac:dyDescent="0.25">
      <c r="A1307" s="23"/>
      <c r="B1307" s="23" t="str">
        <f t="shared" si="6"/>
        <v/>
      </c>
      <c r="C1307" s="23"/>
      <c r="D1307" s="23"/>
      <c r="E1307" s="23"/>
      <c r="F1307" s="24"/>
      <c r="G1307" s="23"/>
      <c r="H1307" s="23"/>
      <c r="I1307" s="23"/>
      <c r="J1307" s="25"/>
      <c r="K1307" s="23"/>
      <c r="L1307" s="23"/>
      <c r="M1307" s="23"/>
      <c r="N1307" s="26"/>
      <c r="O1307" s="26"/>
      <c r="P1307" s="26"/>
      <c r="Q1307" s="26"/>
      <c r="R1307" s="26"/>
      <c r="S1307" s="26"/>
      <c r="T1307" s="26"/>
      <c r="U1307" s="26"/>
      <c r="V1307" s="26"/>
      <c r="W1307" s="27"/>
    </row>
    <row r="1308" spans="1:23" ht="15.75" customHeight="1" x14ac:dyDescent="0.25">
      <c r="A1308" s="23"/>
      <c r="B1308" s="23" t="str">
        <f t="shared" si="6"/>
        <v/>
      </c>
      <c r="C1308" s="23"/>
      <c r="D1308" s="23"/>
      <c r="E1308" s="23"/>
      <c r="F1308" s="24"/>
      <c r="G1308" s="23"/>
      <c r="H1308" s="23"/>
      <c r="I1308" s="23"/>
      <c r="J1308" s="25"/>
      <c r="K1308" s="23"/>
      <c r="L1308" s="23"/>
      <c r="M1308" s="23"/>
      <c r="N1308" s="26"/>
      <c r="O1308" s="26"/>
      <c r="P1308" s="26"/>
      <c r="Q1308" s="26"/>
      <c r="R1308" s="26"/>
      <c r="S1308" s="26"/>
      <c r="T1308" s="26"/>
      <c r="U1308" s="26"/>
      <c r="V1308" s="26"/>
      <c r="W1308" s="27"/>
    </row>
    <row r="1309" spans="1:23" ht="15.75" customHeight="1" x14ac:dyDescent="0.25">
      <c r="A1309" s="23"/>
      <c r="B1309" s="23" t="str">
        <f t="shared" si="6"/>
        <v/>
      </c>
      <c r="C1309" s="23"/>
      <c r="D1309" s="23"/>
      <c r="E1309" s="23"/>
      <c r="F1309" s="24"/>
      <c r="G1309" s="23"/>
      <c r="H1309" s="23"/>
      <c r="I1309" s="23"/>
      <c r="J1309" s="25"/>
      <c r="K1309" s="23"/>
      <c r="L1309" s="23"/>
      <c r="M1309" s="23"/>
      <c r="N1309" s="26"/>
      <c r="O1309" s="26"/>
      <c r="P1309" s="26"/>
      <c r="Q1309" s="26"/>
      <c r="R1309" s="26"/>
      <c r="S1309" s="26"/>
      <c r="T1309" s="26"/>
      <c r="U1309" s="26"/>
      <c r="V1309" s="26"/>
      <c r="W1309" s="27"/>
    </row>
    <row r="1310" spans="1:23" ht="15.75" customHeight="1" x14ac:dyDescent="0.25">
      <c r="A1310" s="23"/>
      <c r="B1310" s="23" t="str">
        <f t="shared" si="6"/>
        <v/>
      </c>
      <c r="C1310" s="23"/>
      <c r="D1310" s="23"/>
      <c r="E1310" s="23"/>
      <c r="F1310" s="24"/>
      <c r="G1310" s="23"/>
      <c r="H1310" s="23"/>
      <c r="I1310" s="23"/>
      <c r="J1310" s="25"/>
      <c r="K1310" s="23"/>
      <c r="L1310" s="23"/>
      <c r="M1310" s="23"/>
      <c r="N1310" s="26"/>
      <c r="O1310" s="26"/>
      <c r="P1310" s="26"/>
      <c r="Q1310" s="26"/>
      <c r="R1310" s="26"/>
      <c r="S1310" s="26"/>
      <c r="T1310" s="26"/>
      <c r="U1310" s="26"/>
      <c r="V1310" s="26"/>
      <c r="W1310" s="27"/>
    </row>
    <row r="1311" spans="1:23" ht="15.75" customHeight="1" x14ac:dyDescent="0.25">
      <c r="A1311" s="23"/>
      <c r="B1311" s="23" t="str">
        <f t="shared" si="6"/>
        <v/>
      </c>
      <c r="C1311" s="23"/>
      <c r="D1311" s="23"/>
      <c r="E1311" s="23"/>
      <c r="F1311" s="24"/>
      <c r="G1311" s="23"/>
      <c r="H1311" s="23"/>
      <c r="I1311" s="23"/>
      <c r="J1311" s="25"/>
      <c r="K1311" s="23"/>
      <c r="L1311" s="23"/>
      <c r="M1311" s="23"/>
      <c r="N1311" s="26"/>
      <c r="O1311" s="26"/>
      <c r="P1311" s="26"/>
      <c r="Q1311" s="26"/>
      <c r="R1311" s="26"/>
      <c r="S1311" s="26"/>
      <c r="T1311" s="26"/>
      <c r="U1311" s="26"/>
      <c r="V1311" s="26"/>
      <c r="W1311" s="27"/>
    </row>
    <row r="1312" spans="1:23" ht="15.75" customHeight="1" x14ac:dyDescent="0.25">
      <c r="A1312" s="23"/>
      <c r="B1312" s="23" t="str">
        <f t="shared" si="6"/>
        <v/>
      </c>
      <c r="C1312" s="23"/>
      <c r="D1312" s="23"/>
      <c r="E1312" s="23"/>
      <c r="F1312" s="24"/>
      <c r="G1312" s="23"/>
      <c r="H1312" s="23"/>
      <c r="I1312" s="23"/>
      <c r="J1312" s="25"/>
      <c r="K1312" s="23"/>
      <c r="L1312" s="23"/>
      <c r="M1312" s="23"/>
      <c r="N1312" s="26"/>
      <c r="O1312" s="26"/>
      <c r="P1312" s="26"/>
      <c r="Q1312" s="26"/>
      <c r="R1312" s="26"/>
      <c r="S1312" s="26"/>
      <c r="T1312" s="26"/>
      <c r="U1312" s="26"/>
      <c r="V1312" s="26"/>
      <c r="W1312" s="27"/>
    </row>
    <row r="1313" spans="1:23" ht="15.75" customHeight="1" x14ac:dyDescent="0.25">
      <c r="A1313" s="23"/>
      <c r="B1313" s="23" t="str">
        <f t="shared" si="6"/>
        <v/>
      </c>
      <c r="C1313" s="23"/>
      <c r="D1313" s="23"/>
      <c r="E1313" s="23"/>
      <c r="F1313" s="24"/>
      <c r="G1313" s="23"/>
      <c r="H1313" s="23"/>
      <c r="I1313" s="23"/>
      <c r="J1313" s="25"/>
      <c r="K1313" s="23"/>
      <c r="L1313" s="23"/>
      <c r="M1313" s="23"/>
      <c r="N1313" s="26"/>
      <c r="O1313" s="26"/>
      <c r="P1313" s="26"/>
      <c r="Q1313" s="26"/>
      <c r="R1313" s="26"/>
      <c r="S1313" s="26"/>
      <c r="T1313" s="26"/>
      <c r="U1313" s="26"/>
      <c r="V1313" s="26"/>
      <c r="W1313" s="27"/>
    </row>
    <row r="1314" spans="1:23" ht="15.75" customHeight="1" x14ac:dyDescent="0.25">
      <c r="A1314" s="23"/>
      <c r="B1314" s="23" t="str">
        <f t="shared" si="6"/>
        <v/>
      </c>
      <c r="C1314" s="23"/>
      <c r="D1314" s="23"/>
      <c r="E1314" s="23"/>
      <c r="F1314" s="24"/>
      <c r="G1314" s="23"/>
      <c r="H1314" s="23"/>
      <c r="I1314" s="23"/>
      <c r="J1314" s="25"/>
      <c r="K1314" s="23"/>
      <c r="L1314" s="23"/>
      <c r="M1314" s="23"/>
      <c r="N1314" s="26"/>
      <c r="O1314" s="26"/>
      <c r="P1314" s="26"/>
      <c r="Q1314" s="26"/>
      <c r="R1314" s="26"/>
      <c r="S1314" s="26"/>
      <c r="T1314" s="26"/>
      <c r="U1314" s="26"/>
      <c r="V1314" s="26"/>
      <c r="W1314" s="27"/>
    </row>
    <row r="1315" spans="1:23" ht="15.75" customHeight="1" x14ac:dyDescent="0.25">
      <c r="A1315" s="23"/>
      <c r="B1315" s="23" t="str">
        <f t="shared" si="6"/>
        <v/>
      </c>
      <c r="C1315" s="23"/>
      <c r="D1315" s="23"/>
      <c r="E1315" s="23"/>
      <c r="F1315" s="24"/>
      <c r="G1315" s="23"/>
      <c r="H1315" s="23"/>
      <c r="I1315" s="23"/>
      <c r="J1315" s="25"/>
      <c r="K1315" s="23"/>
      <c r="L1315" s="23"/>
      <c r="M1315" s="23"/>
      <c r="N1315" s="26"/>
      <c r="O1315" s="26"/>
      <c r="P1315" s="26"/>
      <c r="Q1315" s="26"/>
      <c r="R1315" s="26"/>
      <c r="S1315" s="26"/>
      <c r="T1315" s="26"/>
      <c r="U1315" s="26"/>
      <c r="V1315" s="26"/>
      <c r="W1315" s="27"/>
    </row>
    <row r="1316" spans="1:23" ht="15.75" customHeight="1" x14ac:dyDescent="0.25">
      <c r="A1316" s="23"/>
      <c r="B1316" s="23" t="str">
        <f t="shared" si="6"/>
        <v/>
      </c>
      <c r="C1316" s="23"/>
      <c r="D1316" s="23"/>
      <c r="E1316" s="23"/>
      <c r="F1316" s="24"/>
      <c r="G1316" s="23"/>
      <c r="H1316" s="23"/>
      <c r="I1316" s="23"/>
      <c r="J1316" s="25"/>
      <c r="K1316" s="23"/>
      <c r="L1316" s="23"/>
      <c r="M1316" s="23"/>
      <c r="N1316" s="26"/>
      <c r="O1316" s="26"/>
      <c r="P1316" s="26"/>
      <c r="Q1316" s="26"/>
      <c r="R1316" s="26"/>
      <c r="S1316" s="26"/>
      <c r="T1316" s="26"/>
      <c r="U1316" s="26"/>
      <c r="V1316" s="26"/>
      <c r="W1316" s="27"/>
    </row>
    <row r="1317" spans="1:23" ht="15.75" customHeight="1" x14ac:dyDescent="0.25">
      <c r="A1317" s="23"/>
      <c r="B1317" s="23" t="str">
        <f t="shared" si="6"/>
        <v/>
      </c>
      <c r="C1317" s="23"/>
      <c r="D1317" s="23"/>
      <c r="E1317" s="23"/>
      <c r="F1317" s="24"/>
      <c r="G1317" s="23"/>
      <c r="H1317" s="23"/>
      <c r="I1317" s="23"/>
      <c r="J1317" s="25"/>
      <c r="K1317" s="23"/>
      <c r="L1317" s="23"/>
      <c r="M1317" s="23"/>
      <c r="N1317" s="26"/>
      <c r="O1317" s="26"/>
      <c r="P1317" s="26"/>
      <c r="Q1317" s="26"/>
      <c r="R1317" s="26"/>
      <c r="S1317" s="26"/>
      <c r="T1317" s="26"/>
      <c r="U1317" s="26"/>
      <c r="V1317" s="26"/>
      <c r="W1317" s="27"/>
    </row>
    <row r="1318" spans="1:23" ht="15.75" customHeight="1" x14ac:dyDescent="0.25">
      <c r="A1318" s="23"/>
      <c r="B1318" s="23" t="str">
        <f t="shared" si="6"/>
        <v/>
      </c>
      <c r="C1318" s="23"/>
      <c r="D1318" s="23"/>
      <c r="E1318" s="23"/>
      <c r="F1318" s="24"/>
      <c r="G1318" s="23"/>
      <c r="H1318" s="23"/>
      <c r="I1318" s="23"/>
      <c r="J1318" s="25"/>
      <c r="K1318" s="23"/>
      <c r="L1318" s="23"/>
      <c r="M1318" s="23"/>
      <c r="N1318" s="26"/>
      <c r="O1318" s="26"/>
      <c r="P1318" s="26"/>
      <c r="Q1318" s="26"/>
      <c r="R1318" s="26"/>
      <c r="S1318" s="26"/>
      <c r="T1318" s="26"/>
      <c r="U1318" s="26"/>
      <c r="V1318" s="26"/>
      <c r="W1318" s="27"/>
    </row>
    <row r="1319" spans="1:23" ht="15.75" customHeight="1" x14ac:dyDescent="0.25">
      <c r="A1319" s="23"/>
      <c r="B1319" s="23" t="str">
        <f t="shared" si="6"/>
        <v/>
      </c>
      <c r="C1319" s="23"/>
      <c r="D1319" s="23"/>
      <c r="E1319" s="23"/>
      <c r="F1319" s="24"/>
      <c r="G1319" s="23"/>
      <c r="H1319" s="23"/>
      <c r="I1319" s="23"/>
      <c r="J1319" s="25"/>
      <c r="K1319" s="23"/>
      <c r="L1319" s="23"/>
      <c r="M1319" s="23"/>
      <c r="N1319" s="26"/>
      <c r="O1319" s="26"/>
      <c r="P1319" s="26"/>
      <c r="Q1319" s="26"/>
      <c r="R1319" s="26"/>
      <c r="S1319" s="26"/>
      <c r="T1319" s="26"/>
      <c r="U1319" s="26"/>
      <c r="V1319" s="26"/>
      <c r="W1319" s="27"/>
    </row>
    <row r="1320" spans="1:23" ht="15.75" customHeight="1" x14ac:dyDescent="0.25">
      <c r="A1320" s="23"/>
      <c r="B1320" s="23" t="str">
        <f t="shared" si="6"/>
        <v/>
      </c>
      <c r="C1320" s="23"/>
      <c r="D1320" s="23"/>
      <c r="E1320" s="23"/>
      <c r="F1320" s="24"/>
      <c r="G1320" s="23"/>
      <c r="H1320" s="23"/>
      <c r="I1320" s="23"/>
      <c r="J1320" s="25"/>
      <c r="K1320" s="23"/>
      <c r="L1320" s="23"/>
      <c r="M1320" s="23"/>
      <c r="N1320" s="26"/>
      <c r="O1320" s="26"/>
      <c r="P1320" s="26"/>
      <c r="Q1320" s="26"/>
      <c r="R1320" s="26"/>
      <c r="S1320" s="26"/>
      <c r="T1320" s="26"/>
      <c r="U1320" s="26"/>
      <c r="V1320" s="26"/>
      <c r="W1320" s="27"/>
    </row>
    <row r="1321" spans="1:23" ht="15.75" customHeight="1" x14ac:dyDescent="0.25">
      <c r="A1321" s="23"/>
      <c r="B1321" s="23" t="str">
        <f t="shared" si="6"/>
        <v/>
      </c>
      <c r="C1321" s="23"/>
      <c r="D1321" s="23"/>
      <c r="E1321" s="23"/>
      <c r="F1321" s="24"/>
      <c r="G1321" s="23"/>
      <c r="H1321" s="23"/>
      <c r="I1321" s="23"/>
      <c r="J1321" s="25"/>
      <c r="K1321" s="23"/>
      <c r="L1321" s="23"/>
      <c r="M1321" s="23"/>
      <c r="N1321" s="26"/>
      <c r="O1321" s="26"/>
      <c r="P1321" s="26"/>
      <c r="Q1321" s="26"/>
      <c r="R1321" s="26"/>
      <c r="S1321" s="26"/>
      <c r="T1321" s="26"/>
      <c r="U1321" s="26"/>
      <c r="V1321" s="26"/>
      <c r="W1321" s="27"/>
    </row>
    <row r="1322" spans="1:23" ht="15.75" customHeight="1" x14ac:dyDescent="0.25">
      <c r="A1322" s="23"/>
      <c r="B1322" s="23" t="str">
        <f t="shared" si="6"/>
        <v/>
      </c>
      <c r="C1322" s="23"/>
      <c r="D1322" s="23"/>
      <c r="E1322" s="23"/>
      <c r="F1322" s="24"/>
      <c r="G1322" s="23"/>
      <c r="H1322" s="23"/>
      <c r="I1322" s="23"/>
      <c r="J1322" s="25"/>
      <c r="K1322" s="23"/>
      <c r="L1322" s="23"/>
      <c r="M1322" s="23"/>
      <c r="N1322" s="26"/>
      <c r="O1322" s="26"/>
      <c r="P1322" s="26"/>
      <c r="Q1322" s="26"/>
      <c r="R1322" s="26"/>
      <c r="S1322" s="26"/>
      <c r="T1322" s="26"/>
      <c r="U1322" s="26"/>
      <c r="V1322" s="26"/>
      <c r="W1322" s="27"/>
    </row>
    <row r="1323" spans="1:23" ht="15.75" customHeight="1" x14ac:dyDescent="0.25">
      <c r="A1323" s="23"/>
      <c r="B1323" s="23" t="str">
        <f t="shared" si="6"/>
        <v/>
      </c>
      <c r="C1323" s="23"/>
      <c r="D1323" s="23"/>
      <c r="E1323" s="23"/>
      <c r="F1323" s="24"/>
      <c r="G1323" s="23"/>
      <c r="H1323" s="23"/>
      <c r="I1323" s="23"/>
      <c r="J1323" s="25"/>
      <c r="K1323" s="23"/>
      <c r="L1323" s="23"/>
      <c r="M1323" s="23"/>
      <c r="N1323" s="26"/>
      <c r="O1323" s="26"/>
      <c r="P1323" s="26"/>
      <c r="Q1323" s="26"/>
      <c r="R1323" s="26"/>
      <c r="S1323" s="26"/>
      <c r="T1323" s="26"/>
      <c r="U1323" s="26"/>
      <c r="V1323" s="26"/>
      <c r="W1323" s="27"/>
    </row>
    <row r="1324" spans="1:23" ht="15.75" customHeight="1" x14ac:dyDescent="0.25">
      <c r="A1324" s="23"/>
      <c r="B1324" s="23" t="str">
        <f t="shared" si="6"/>
        <v/>
      </c>
      <c r="C1324" s="23"/>
      <c r="D1324" s="23"/>
      <c r="E1324" s="23"/>
      <c r="F1324" s="24"/>
      <c r="G1324" s="23"/>
      <c r="H1324" s="23"/>
      <c r="I1324" s="23"/>
      <c r="J1324" s="25"/>
      <c r="K1324" s="23"/>
      <c r="L1324" s="23"/>
      <c r="M1324" s="23"/>
      <c r="N1324" s="26"/>
      <c r="O1324" s="26"/>
      <c r="P1324" s="26"/>
      <c r="Q1324" s="26"/>
      <c r="R1324" s="26"/>
      <c r="S1324" s="26"/>
      <c r="T1324" s="26"/>
      <c r="U1324" s="26"/>
      <c r="V1324" s="26"/>
      <c r="W1324" s="27"/>
    </row>
    <row r="1325" spans="1:23" ht="15.75" customHeight="1" x14ac:dyDescent="0.25">
      <c r="A1325" s="23"/>
      <c r="B1325" s="23" t="str">
        <f t="shared" si="6"/>
        <v/>
      </c>
      <c r="C1325" s="23"/>
      <c r="D1325" s="23"/>
      <c r="E1325" s="23"/>
      <c r="F1325" s="24"/>
      <c r="G1325" s="23"/>
      <c r="H1325" s="23"/>
      <c r="I1325" s="23"/>
      <c r="J1325" s="25"/>
      <c r="K1325" s="23"/>
      <c r="L1325" s="23"/>
      <c r="M1325" s="23"/>
      <c r="N1325" s="26"/>
      <c r="O1325" s="26"/>
      <c r="P1325" s="26"/>
      <c r="Q1325" s="26"/>
      <c r="R1325" s="26"/>
      <c r="S1325" s="26"/>
      <c r="T1325" s="26"/>
      <c r="U1325" s="26"/>
      <c r="V1325" s="26"/>
      <c r="W1325" s="27"/>
    </row>
    <row r="1326" spans="1:23" ht="15.75" customHeight="1" x14ac:dyDescent="0.25">
      <c r="A1326" s="23"/>
      <c r="B1326" s="23" t="str">
        <f t="shared" si="6"/>
        <v/>
      </c>
      <c r="C1326" s="23"/>
      <c r="D1326" s="23"/>
      <c r="E1326" s="23"/>
      <c r="F1326" s="24"/>
      <c r="G1326" s="23"/>
      <c r="H1326" s="23"/>
      <c r="I1326" s="23"/>
      <c r="J1326" s="25"/>
      <c r="K1326" s="23"/>
      <c r="L1326" s="23"/>
      <c r="M1326" s="23"/>
      <c r="N1326" s="26"/>
      <c r="O1326" s="26"/>
      <c r="P1326" s="26"/>
      <c r="Q1326" s="26"/>
      <c r="R1326" s="26"/>
      <c r="S1326" s="26"/>
      <c r="T1326" s="26"/>
      <c r="U1326" s="26"/>
      <c r="V1326" s="26"/>
      <c r="W1326" s="27"/>
    </row>
    <row r="1327" spans="1:23" ht="15.75" customHeight="1" x14ac:dyDescent="0.25">
      <c r="A1327" s="23"/>
      <c r="B1327" s="23" t="str">
        <f t="shared" si="6"/>
        <v/>
      </c>
      <c r="C1327" s="23"/>
      <c r="D1327" s="23"/>
      <c r="E1327" s="23"/>
      <c r="F1327" s="24"/>
      <c r="G1327" s="23"/>
      <c r="H1327" s="23"/>
      <c r="I1327" s="23"/>
      <c r="J1327" s="25"/>
      <c r="K1327" s="23"/>
      <c r="L1327" s="23"/>
      <c r="M1327" s="23"/>
      <c r="N1327" s="26"/>
      <c r="O1327" s="26"/>
      <c r="P1327" s="26"/>
      <c r="Q1327" s="26"/>
      <c r="R1327" s="26"/>
      <c r="S1327" s="26"/>
      <c r="T1327" s="26"/>
      <c r="U1327" s="26"/>
      <c r="V1327" s="26"/>
      <c r="W1327" s="27"/>
    </row>
    <row r="1328" spans="1:23" ht="15.75" customHeight="1" x14ac:dyDescent="0.25">
      <c r="A1328" s="23"/>
      <c r="B1328" s="23" t="str">
        <f t="shared" si="6"/>
        <v/>
      </c>
      <c r="C1328" s="23"/>
      <c r="D1328" s="23"/>
      <c r="E1328" s="23"/>
      <c r="F1328" s="24"/>
      <c r="G1328" s="23"/>
      <c r="H1328" s="23"/>
      <c r="I1328" s="23"/>
      <c r="J1328" s="25"/>
      <c r="K1328" s="23"/>
      <c r="L1328" s="23"/>
      <c r="M1328" s="23"/>
      <c r="N1328" s="26"/>
      <c r="O1328" s="26"/>
      <c r="P1328" s="26"/>
      <c r="Q1328" s="26"/>
      <c r="R1328" s="26"/>
      <c r="S1328" s="26"/>
      <c r="T1328" s="26"/>
      <c r="U1328" s="26"/>
      <c r="V1328" s="26"/>
      <c r="W1328" s="27"/>
    </row>
    <row r="1329" spans="1:23" ht="15.75" customHeight="1" x14ac:dyDescent="0.25">
      <c r="A1329" s="23"/>
      <c r="B1329" s="23" t="str">
        <f t="shared" si="6"/>
        <v/>
      </c>
      <c r="C1329" s="23"/>
      <c r="D1329" s="23"/>
      <c r="E1329" s="23"/>
      <c r="F1329" s="24"/>
      <c r="G1329" s="23"/>
      <c r="H1329" s="23"/>
      <c r="I1329" s="23"/>
      <c r="J1329" s="25"/>
      <c r="K1329" s="23"/>
      <c r="L1329" s="23"/>
      <c r="M1329" s="23"/>
      <c r="N1329" s="26"/>
      <c r="O1329" s="26"/>
      <c r="P1329" s="26"/>
      <c r="Q1329" s="26"/>
      <c r="R1329" s="26"/>
      <c r="S1329" s="26"/>
      <c r="T1329" s="26"/>
      <c r="U1329" s="26"/>
      <c r="V1329" s="26"/>
      <c r="W1329" s="27"/>
    </row>
    <row r="1330" spans="1:23" ht="15.75" customHeight="1" x14ac:dyDescent="0.25">
      <c r="A1330" s="23"/>
      <c r="B1330" s="23" t="str">
        <f t="shared" si="6"/>
        <v/>
      </c>
      <c r="C1330" s="23"/>
      <c r="D1330" s="23"/>
      <c r="E1330" s="23"/>
      <c r="F1330" s="24"/>
      <c r="G1330" s="23"/>
      <c r="H1330" s="23"/>
      <c r="I1330" s="23"/>
      <c r="J1330" s="25"/>
      <c r="K1330" s="23"/>
      <c r="L1330" s="23"/>
      <c r="M1330" s="23"/>
      <c r="N1330" s="26"/>
      <c r="O1330" s="26"/>
      <c r="P1330" s="26"/>
      <c r="Q1330" s="26"/>
      <c r="R1330" s="26"/>
      <c r="S1330" s="26"/>
      <c r="T1330" s="26"/>
      <c r="U1330" s="26"/>
      <c r="V1330" s="26"/>
      <c r="W1330" s="27"/>
    </row>
    <row r="1331" spans="1:23" ht="15.75" customHeight="1" x14ac:dyDescent="0.25">
      <c r="A1331" s="23"/>
      <c r="B1331" s="23" t="str">
        <f t="shared" si="6"/>
        <v/>
      </c>
      <c r="C1331" s="23"/>
      <c r="D1331" s="23"/>
      <c r="E1331" s="23"/>
      <c r="F1331" s="24"/>
      <c r="G1331" s="23"/>
      <c r="H1331" s="23"/>
      <c r="I1331" s="23"/>
      <c r="J1331" s="25"/>
      <c r="K1331" s="23"/>
      <c r="L1331" s="23"/>
      <c r="M1331" s="23"/>
      <c r="N1331" s="26"/>
      <c r="O1331" s="26"/>
      <c r="P1331" s="26"/>
      <c r="Q1331" s="26"/>
      <c r="R1331" s="26"/>
      <c r="S1331" s="26"/>
      <c r="T1331" s="26"/>
      <c r="U1331" s="26"/>
      <c r="V1331" s="26"/>
      <c r="W1331" s="27"/>
    </row>
    <row r="1332" spans="1:23" ht="15.75" customHeight="1" x14ac:dyDescent="0.25">
      <c r="A1332" s="23"/>
      <c r="B1332" s="23" t="str">
        <f t="shared" si="6"/>
        <v/>
      </c>
      <c r="C1332" s="23"/>
      <c r="D1332" s="23"/>
      <c r="E1332" s="23"/>
      <c r="F1332" s="24"/>
      <c r="G1332" s="23"/>
      <c r="H1332" s="23"/>
      <c r="I1332" s="23"/>
      <c r="J1332" s="25"/>
      <c r="K1332" s="23"/>
      <c r="L1332" s="23"/>
      <c r="M1332" s="23"/>
      <c r="N1332" s="26"/>
      <c r="O1332" s="26"/>
      <c r="P1332" s="26"/>
      <c r="Q1332" s="26"/>
      <c r="R1332" s="26"/>
      <c r="S1332" s="26"/>
      <c r="T1332" s="26"/>
      <c r="U1332" s="26"/>
      <c r="V1332" s="26"/>
      <c r="W1332" s="27"/>
    </row>
    <row r="1333" spans="1:23" ht="15.75" customHeight="1" x14ac:dyDescent="0.25">
      <c r="A1333" s="23"/>
      <c r="B1333" s="23" t="str">
        <f t="shared" si="6"/>
        <v/>
      </c>
      <c r="C1333" s="23"/>
      <c r="D1333" s="23"/>
      <c r="E1333" s="23"/>
      <c r="F1333" s="24"/>
      <c r="G1333" s="23"/>
      <c r="H1333" s="23"/>
      <c r="I1333" s="23"/>
      <c r="J1333" s="25"/>
      <c r="K1333" s="23"/>
      <c r="L1333" s="23"/>
      <c r="M1333" s="23"/>
      <c r="N1333" s="26"/>
      <c r="O1333" s="26"/>
      <c r="P1333" s="26"/>
      <c r="Q1333" s="26"/>
      <c r="R1333" s="26"/>
      <c r="S1333" s="26"/>
      <c r="T1333" s="26"/>
      <c r="U1333" s="26"/>
      <c r="V1333" s="26"/>
      <c r="W1333" s="27"/>
    </row>
    <row r="1334" spans="1:23" ht="15.75" customHeight="1" x14ac:dyDescent="0.25">
      <c r="A1334" s="23"/>
      <c r="B1334" s="23" t="str">
        <f t="shared" si="6"/>
        <v/>
      </c>
      <c r="C1334" s="23"/>
      <c r="D1334" s="23"/>
      <c r="E1334" s="23"/>
      <c r="F1334" s="24"/>
      <c r="G1334" s="23"/>
      <c r="H1334" s="23"/>
      <c r="I1334" s="23"/>
      <c r="J1334" s="25"/>
      <c r="K1334" s="23"/>
      <c r="L1334" s="23"/>
      <c r="M1334" s="23"/>
      <c r="N1334" s="26"/>
      <c r="O1334" s="26"/>
      <c r="P1334" s="26"/>
      <c r="Q1334" s="26"/>
      <c r="R1334" s="26"/>
      <c r="S1334" s="26"/>
      <c r="T1334" s="26"/>
      <c r="U1334" s="26"/>
      <c r="V1334" s="26"/>
      <c r="W1334" s="27"/>
    </row>
    <row r="1335" spans="1:23" ht="15.75" customHeight="1" x14ac:dyDescent="0.25">
      <c r="A1335" s="23"/>
      <c r="B1335" s="23" t="str">
        <f t="shared" si="6"/>
        <v/>
      </c>
      <c r="C1335" s="23"/>
      <c r="D1335" s="23"/>
      <c r="E1335" s="23"/>
      <c r="F1335" s="24"/>
      <c r="G1335" s="23"/>
      <c r="H1335" s="23"/>
      <c r="I1335" s="23"/>
      <c r="J1335" s="25"/>
      <c r="K1335" s="23"/>
      <c r="L1335" s="23"/>
      <c r="M1335" s="23"/>
      <c r="N1335" s="26"/>
      <c r="O1335" s="26"/>
      <c r="P1335" s="26"/>
      <c r="Q1335" s="26"/>
      <c r="R1335" s="26"/>
      <c r="S1335" s="26"/>
      <c r="T1335" s="26"/>
      <c r="U1335" s="26"/>
      <c r="V1335" s="26"/>
      <c r="W1335" s="27"/>
    </row>
    <row r="1336" spans="1:23" ht="15.75" customHeight="1" x14ac:dyDescent="0.25">
      <c r="A1336" s="23"/>
      <c r="B1336" s="23" t="str">
        <f t="shared" si="6"/>
        <v/>
      </c>
      <c r="C1336" s="23"/>
      <c r="D1336" s="23"/>
      <c r="E1336" s="23"/>
      <c r="F1336" s="24"/>
      <c r="G1336" s="23"/>
      <c r="H1336" s="23"/>
      <c r="I1336" s="23"/>
      <c r="J1336" s="25"/>
      <c r="K1336" s="23"/>
      <c r="L1336" s="23"/>
      <c r="M1336" s="23"/>
      <c r="N1336" s="26"/>
      <c r="O1336" s="26"/>
      <c r="P1336" s="26"/>
      <c r="Q1336" s="26"/>
      <c r="R1336" s="26"/>
      <c r="S1336" s="26"/>
      <c r="T1336" s="26"/>
      <c r="U1336" s="26"/>
      <c r="V1336" s="26"/>
      <c r="W1336" s="27"/>
    </row>
    <row r="1337" spans="1:23" ht="15.75" customHeight="1" x14ac:dyDescent="0.25">
      <c r="A1337" s="23"/>
      <c r="B1337" s="23" t="str">
        <f t="shared" si="6"/>
        <v/>
      </c>
      <c r="C1337" s="23"/>
      <c r="D1337" s="23"/>
      <c r="E1337" s="23"/>
      <c r="F1337" s="24"/>
      <c r="G1337" s="23"/>
      <c r="H1337" s="23"/>
      <c r="I1337" s="23"/>
      <c r="J1337" s="25"/>
      <c r="K1337" s="23"/>
      <c r="L1337" s="23"/>
      <c r="M1337" s="23"/>
      <c r="N1337" s="26"/>
      <c r="O1337" s="26"/>
      <c r="P1337" s="26"/>
      <c r="Q1337" s="26"/>
      <c r="R1337" s="26"/>
      <c r="S1337" s="26"/>
      <c r="T1337" s="26"/>
      <c r="U1337" s="26"/>
      <c r="V1337" s="26"/>
      <c r="W1337" s="27"/>
    </row>
    <row r="1338" spans="1:23" ht="15.75" customHeight="1" x14ac:dyDescent="0.25">
      <c r="A1338" s="23"/>
      <c r="B1338" s="23" t="str">
        <f t="shared" si="6"/>
        <v/>
      </c>
      <c r="C1338" s="23"/>
      <c r="D1338" s="23"/>
      <c r="E1338" s="23"/>
      <c r="F1338" s="24"/>
      <c r="G1338" s="23"/>
      <c r="H1338" s="23"/>
      <c r="I1338" s="23"/>
      <c r="J1338" s="25"/>
      <c r="K1338" s="23"/>
      <c r="L1338" s="23"/>
      <c r="M1338" s="23"/>
      <c r="N1338" s="26"/>
      <c r="O1338" s="26"/>
      <c r="P1338" s="26"/>
      <c r="Q1338" s="26"/>
      <c r="R1338" s="26"/>
      <c r="S1338" s="26"/>
      <c r="T1338" s="26"/>
      <c r="U1338" s="26"/>
      <c r="V1338" s="26"/>
      <c r="W1338" s="27"/>
    </row>
    <row r="1339" spans="1:23" ht="15.75" customHeight="1" x14ac:dyDescent="0.25">
      <c r="A1339" s="23"/>
      <c r="B1339" s="23" t="str">
        <f t="shared" si="6"/>
        <v/>
      </c>
      <c r="C1339" s="23"/>
      <c r="D1339" s="23"/>
      <c r="E1339" s="23"/>
      <c r="F1339" s="24"/>
      <c r="G1339" s="23"/>
      <c r="H1339" s="23"/>
      <c r="I1339" s="23"/>
      <c r="J1339" s="25"/>
      <c r="K1339" s="23"/>
      <c r="L1339" s="23"/>
      <c r="M1339" s="23"/>
      <c r="N1339" s="26"/>
      <c r="O1339" s="26"/>
      <c r="P1339" s="26"/>
      <c r="Q1339" s="26"/>
      <c r="R1339" s="26"/>
      <c r="S1339" s="26"/>
      <c r="T1339" s="26"/>
      <c r="U1339" s="26"/>
      <c r="V1339" s="26"/>
      <c r="W1339" s="27"/>
    </row>
    <row r="1340" spans="1:23" ht="15.75" customHeight="1" x14ac:dyDescent="0.25">
      <c r="A1340" s="23"/>
      <c r="B1340" s="23" t="str">
        <f t="shared" si="6"/>
        <v/>
      </c>
      <c r="C1340" s="23"/>
      <c r="D1340" s="23"/>
      <c r="E1340" s="23"/>
      <c r="F1340" s="24"/>
      <c r="G1340" s="23"/>
      <c r="H1340" s="23"/>
      <c r="I1340" s="23"/>
      <c r="J1340" s="25"/>
      <c r="K1340" s="23"/>
      <c r="L1340" s="23"/>
      <c r="M1340" s="23"/>
      <c r="N1340" s="26"/>
      <c r="O1340" s="26"/>
      <c r="P1340" s="26"/>
      <c r="Q1340" s="26"/>
      <c r="R1340" s="26"/>
      <c r="S1340" s="26"/>
      <c r="T1340" s="26"/>
      <c r="U1340" s="26"/>
      <c r="V1340" s="26"/>
      <c r="W1340" s="27"/>
    </row>
    <row r="1341" spans="1:23" ht="15.75" customHeight="1" x14ac:dyDescent="0.25">
      <c r="A1341" s="23"/>
      <c r="B1341" s="23" t="str">
        <f t="shared" si="6"/>
        <v/>
      </c>
      <c r="C1341" s="23"/>
      <c r="D1341" s="23"/>
      <c r="E1341" s="23"/>
      <c r="F1341" s="24"/>
      <c r="G1341" s="23"/>
      <c r="H1341" s="23"/>
      <c r="I1341" s="23"/>
      <c r="J1341" s="25"/>
      <c r="K1341" s="23"/>
      <c r="L1341" s="23"/>
      <c r="M1341" s="23"/>
      <c r="N1341" s="26"/>
      <c r="O1341" s="26"/>
      <c r="P1341" s="26"/>
      <c r="Q1341" s="26"/>
      <c r="R1341" s="26"/>
      <c r="S1341" s="26"/>
      <c r="T1341" s="26"/>
      <c r="U1341" s="26"/>
      <c r="V1341" s="26"/>
      <c r="W1341" s="27"/>
    </row>
    <row r="1342" spans="1:23" ht="15.75" customHeight="1" x14ac:dyDescent="0.25">
      <c r="A1342" s="23"/>
      <c r="B1342" s="23" t="str">
        <f t="shared" si="6"/>
        <v/>
      </c>
      <c r="C1342" s="23"/>
      <c r="D1342" s="23"/>
      <c r="E1342" s="23"/>
      <c r="F1342" s="24"/>
      <c r="G1342" s="23"/>
      <c r="H1342" s="23"/>
      <c r="I1342" s="23"/>
      <c r="J1342" s="25"/>
      <c r="K1342" s="23"/>
      <c r="L1342" s="23"/>
      <c r="M1342" s="23"/>
      <c r="N1342" s="26"/>
      <c r="O1342" s="26"/>
      <c r="P1342" s="26"/>
      <c r="Q1342" s="26"/>
      <c r="R1342" s="26"/>
      <c r="S1342" s="26"/>
      <c r="T1342" s="26"/>
      <c r="U1342" s="26"/>
      <c r="V1342" s="26"/>
      <c r="W1342" s="27"/>
    </row>
    <row r="1343" spans="1:23" ht="15.75" customHeight="1" x14ac:dyDescent="0.25">
      <c r="A1343" s="23"/>
      <c r="B1343" s="23" t="str">
        <f t="shared" si="6"/>
        <v/>
      </c>
      <c r="C1343" s="23"/>
      <c r="D1343" s="23"/>
      <c r="E1343" s="23"/>
      <c r="F1343" s="24"/>
      <c r="G1343" s="23"/>
      <c r="H1343" s="23"/>
      <c r="I1343" s="23"/>
      <c r="J1343" s="25"/>
      <c r="K1343" s="23"/>
      <c r="L1343" s="23"/>
      <c r="M1343" s="23"/>
      <c r="N1343" s="26"/>
      <c r="O1343" s="26"/>
      <c r="P1343" s="26"/>
      <c r="Q1343" s="26"/>
      <c r="R1343" s="26"/>
      <c r="S1343" s="26"/>
      <c r="T1343" s="26"/>
      <c r="U1343" s="26"/>
      <c r="V1343" s="26"/>
      <c r="W1343" s="27"/>
    </row>
    <row r="1344" spans="1:23" ht="15.75" customHeight="1" x14ac:dyDescent="0.25">
      <c r="A1344" s="23"/>
      <c r="B1344" s="23" t="str">
        <f t="shared" si="6"/>
        <v/>
      </c>
      <c r="C1344" s="23"/>
      <c r="D1344" s="23"/>
      <c r="E1344" s="23"/>
      <c r="F1344" s="24"/>
      <c r="G1344" s="23"/>
      <c r="H1344" s="23"/>
      <c r="I1344" s="23"/>
      <c r="J1344" s="25"/>
      <c r="K1344" s="23"/>
      <c r="L1344" s="23"/>
      <c r="M1344" s="23"/>
      <c r="N1344" s="26"/>
      <c r="O1344" s="26"/>
      <c r="P1344" s="26"/>
      <c r="Q1344" s="26"/>
      <c r="R1344" s="26"/>
      <c r="S1344" s="26"/>
      <c r="T1344" s="26"/>
      <c r="U1344" s="26"/>
      <c r="V1344" s="26"/>
      <c r="W1344" s="27"/>
    </row>
    <row r="1345" spans="1:23" ht="15.75" customHeight="1" x14ac:dyDescent="0.25">
      <c r="A1345" s="23"/>
      <c r="B1345" s="23" t="str">
        <f t="shared" si="6"/>
        <v/>
      </c>
      <c r="C1345" s="23"/>
      <c r="D1345" s="23"/>
      <c r="E1345" s="23"/>
      <c r="F1345" s="24"/>
      <c r="G1345" s="23"/>
      <c r="H1345" s="23"/>
      <c r="I1345" s="23"/>
      <c r="J1345" s="25"/>
      <c r="K1345" s="23"/>
      <c r="L1345" s="23"/>
      <c r="M1345" s="23"/>
      <c r="N1345" s="26"/>
      <c r="O1345" s="26"/>
      <c r="P1345" s="26"/>
      <c r="Q1345" s="26"/>
      <c r="R1345" s="26"/>
      <c r="S1345" s="26"/>
      <c r="T1345" s="26"/>
      <c r="U1345" s="26"/>
      <c r="V1345" s="26"/>
      <c r="W1345" s="27"/>
    </row>
    <row r="1346" spans="1:23" ht="15.75" customHeight="1" x14ac:dyDescent="0.25">
      <c r="A1346" s="23"/>
      <c r="B1346" s="23" t="str">
        <f t="shared" si="6"/>
        <v/>
      </c>
      <c r="C1346" s="23"/>
      <c r="D1346" s="23"/>
      <c r="E1346" s="23"/>
      <c r="F1346" s="24"/>
      <c r="G1346" s="23"/>
      <c r="H1346" s="23"/>
      <c r="I1346" s="23"/>
      <c r="J1346" s="25"/>
      <c r="K1346" s="23"/>
      <c r="L1346" s="23"/>
      <c r="M1346" s="23"/>
      <c r="N1346" s="26"/>
      <c r="O1346" s="26"/>
      <c r="P1346" s="26"/>
      <c r="Q1346" s="26"/>
      <c r="R1346" s="26"/>
      <c r="S1346" s="26"/>
      <c r="T1346" s="26"/>
      <c r="U1346" s="26"/>
      <c r="V1346" s="26"/>
      <c r="W1346" s="27"/>
    </row>
    <row r="1347" spans="1:23" ht="15.75" customHeight="1" x14ac:dyDescent="0.25">
      <c r="A1347" s="23"/>
      <c r="B1347" s="23" t="str">
        <f t="shared" si="6"/>
        <v/>
      </c>
      <c r="C1347" s="23"/>
      <c r="D1347" s="23"/>
      <c r="E1347" s="23"/>
      <c r="F1347" s="24"/>
      <c r="G1347" s="23"/>
      <c r="H1347" s="23"/>
      <c r="I1347" s="23"/>
      <c r="J1347" s="25"/>
      <c r="K1347" s="23"/>
      <c r="L1347" s="23"/>
      <c r="M1347" s="23"/>
      <c r="N1347" s="26"/>
      <c r="O1347" s="26"/>
      <c r="P1347" s="26"/>
      <c r="Q1347" s="26"/>
      <c r="R1347" s="26"/>
      <c r="S1347" s="26"/>
      <c r="T1347" s="26"/>
      <c r="U1347" s="26"/>
      <c r="V1347" s="26"/>
      <c r="W1347" s="27"/>
    </row>
    <row r="1348" spans="1:23" ht="15.75" customHeight="1" x14ac:dyDescent="0.25">
      <c r="A1348" s="23"/>
      <c r="B1348" s="23" t="str">
        <f t="shared" si="6"/>
        <v/>
      </c>
      <c r="C1348" s="23"/>
      <c r="D1348" s="23"/>
      <c r="E1348" s="23"/>
      <c r="F1348" s="24"/>
      <c r="G1348" s="23"/>
      <c r="H1348" s="23"/>
      <c r="I1348" s="23"/>
      <c r="J1348" s="25"/>
      <c r="K1348" s="23"/>
      <c r="L1348" s="23"/>
      <c r="M1348" s="23"/>
      <c r="N1348" s="26"/>
      <c r="O1348" s="26"/>
      <c r="P1348" s="26"/>
      <c r="Q1348" s="26"/>
      <c r="R1348" s="26"/>
      <c r="S1348" s="26"/>
      <c r="T1348" s="26"/>
      <c r="U1348" s="26"/>
      <c r="V1348" s="26"/>
      <c r="W1348" s="27"/>
    </row>
    <row r="1349" spans="1:23" ht="15.75" customHeight="1" x14ac:dyDescent="0.25">
      <c r="A1349" s="23"/>
      <c r="B1349" s="23" t="str">
        <f t="shared" si="6"/>
        <v/>
      </c>
      <c r="C1349" s="23"/>
      <c r="D1349" s="23"/>
      <c r="E1349" s="23"/>
      <c r="F1349" s="24"/>
      <c r="G1349" s="23"/>
      <c r="H1349" s="23"/>
      <c r="I1349" s="23"/>
      <c r="J1349" s="25"/>
      <c r="K1349" s="23"/>
      <c r="L1349" s="23"/>
      <c r="M1349" s="23"/>
      <c r="N1349" s="26"/>
      <c r="O1349" s="26"/>
      <c r="P1349" s="26"/>
      <c r="Q1349" s="26"/>
      <c r="R1349" s="26"/>
      <c r="S1349" s="26"/>
      <c r="T1349" s="26"/>
      <c r="U1349" s="26"/>
      <c r="V1349" s="26"/>
      <c r="W1349" s="27"/>
    </row>
    <row r="1350" spans="1:23" ht="15.75" customHeight="1" x14ac:dyDescent="0.25">
      <c r="A1350" s="23"/>
      <c r="B1350" s="23" t="str">
        <f t="shared" si="6"/>
        <v/>
      </c>
      <c r="C1350" s="23"/>
      <c r="D1350" s="23"/>
      <c r="E1350" s="23"/>
      <c r="F1350" s="24"/>
      <c r="G1350" s="23"/>
      <c r="H1350" s="23"/>
      <c r="I1350" s="23"/>
      <c r="J1350" s="25"/>
      <c r="K1350" s="23"/>
      <c r="L1350" s="23"/>
      <c r="M1350" s="23"/>
      <c r="N1350" s="26"/>
      <c r="O1350" s="26"/>
      <c r="P1350" s="26"/>
      <c r="Q1350" s="26"/>
      <c r="R1350" s="26"/>
      <c r="S1350" s="26"/>
      <c r="T1350" s="26"/>
      <c r="U1350" s="26"/>
      <c r="V1350" s="26"/>
      <c r="W1350" s="27"/>
    </row>
    <row r="1351" spans="1:23" ht="15.75" customHeight="1" x14ac:dyDescent="0.25">
      <c r="A1351" s="23"/>
      <c r="B1351" s="23" t="str">
        <f t="shared" si="6"/>
        <v/>
      </c>
      <c r="C1351" s="23"/>
      <c r="D1351" s="23"/>
      <c r="E1351" s="23"/>
      <c r="F1351" s="24"/>
      <c r="G1351" s="23"/>
      <c r="H1351" s="23"/>
      <c r="I1351" s="23"/>
      <c r="J1351" s="25"/>
      <c r="K1351" s="23"/>
      <c r="L1351" s="23"/>
      <c r="M1351" s="23"/>
      <c r="N1351" s="26"/>
      <c r="O1351" s="26"/>
      <c r="P1351" s="26"/>
      <c r="Q1351" s="26"/>
      <c r="R1351" s="26"/>
      <c r="S1351" s="26"/>
      <c r="T1351" s="26"/>
      <c r="U1351" s="26"/>
      <c r="V1351" s="26"/>
      <c r="W1351" s="27"/>
    </row>
    <row r="1352" spans="1:23" ht="15.75" customHeight="1" x14ac:dyDescent="0.25">
      <c r="A1352" s="23"/>
      <c r="B1352" s="23" t="str">
        <f t="shared" si="6"/>
        <v/>
      </c>
      <c r="C1352" s="23"/>
      <c r="D1352" s="23"/>
      <c r="E1352" s="23"/>
      <c r="F1352" s="24"/>
      <c r="G1352" s="23"/>
      <c r="H1352" s="23"/>
      <c r="I1352" s="23"/>
      <c r="J1352" s="25"/>
      <c r="K1352" s="23"/>
      <c r="L1352" s="23"/>
      <c r="M1352" s="23"/>
      <c r="N1352" s="26"/>
      <c r="O1352" s="26"/>
      <c r="P1352" s="26"/>
      <c r="Q1352" s="26"/>
      <c r="R1352" s="26"/>
      <c r="S1352" s="26"/>
      <c r="T1352" s="26"/>
      <c r="U1352" s="26"/>
      <c r="V1352" s="26"/>
      <c r="W1352" s="27"/>
    </row>
    <row r="1353" spans="1:23" ht="15.75" customHeight="1" x14ac:dyDescent="0.25">
      <c r="A1353" s="23"/>
      <c r="B1353" s="23" t="str">
        <f t="shared" si="6"/>
        <v/>
      </c>
      <c r="C1353" s="23"/>
      <c r="D1353" s="23"/>
      <c r="E1353" s="23"/>
      <c r="F1353" s="24"/>
      <c r="G1353" s="23"/>
      <c r="H1353" s="23"/>
      <c r="I1353" s="23"/>
      <c r="J1353" s="25"/>
      <c r="K1353" s="23"/>
      <c r="L1353" s="23"/>
      <c r="M1353" s="23"/>
      <c r="N1353" s="26"/>
      <c r="O1353" s="26"/>
      <c r="P1353" s="26"/>
      <c r="Q1353" s="26"/>
      <c r="R1353" s="26"/>
      <c r="S1353" s="26"/>
      <c r="T1353" s="26"/>
      <c r="U1353" s="26"/>
      <c r="V1353" s="26"/>
      <c r="W1353" s="27"/>
    </row>
    <row r="1354" spans="1:23" ht="15.75" customHeight="1" x14ac:dyDescent="0.25">
      <c r="A1354" s="23"/>
      <c r="B1354" s="23" t="str">
        <f t="shared" si="6"/>
        <v/>
      </c>
      <c r="C1354" s="23"/>
      <c r="D1354" s="23"/>
      <c r="E1354" s="23"/>
      <c r="F1354" s="24"/>
      <c r="G1354" s="23"/>
      <c r="H1354" s="23"/>
      <c r="I1354" s="23"/>
      <c r="J1354" s="25"/>
      <c r="K1354" s="23"/>
      <c r="L1354" s="23"/>
      <c r="M1354" s="23"/>
      <c r="N1354" s="26"/>
      <c r="O1354" s="26"/>
      <c r="P1354" s="26"/>
      <c r="Q1354" s="26"/>
      <c r="R1354" s="26"/>
      <c r="S1354" s="26"/>
      <c r="T1354" s="26"/>
      <c r="U1354" s="26"/>
      <c r="V1354" s="26"/>
      <c r="W1354" s="27"/>
    </row>
    <row r="1355" spans="1:23" ht="15.75" customHeight="1" x14ac:dyDescent="0.25">
      <c r="A1355" s="23"/>
      <c r="B1355" s="23" t="str">
        <f t="shared" si="6"/>
        <v/>
      </c>
      <c r="C1355" s="23"/>
      <c r="D1355" s="23"/>
      <c r="E1355" s="23"/>
      <c r="F1355" s="24"/>
      <c r="G1355" s="23"/>
      <c r="H1355" s="23"/>
      <c r="I1355" s="23"/>
      <c r="J1355" s="25"/>
      <c r="K1355" s="23"/>
      <c r="L1355" s="23"/>
      <c r="M1355" s="23"/>
      <c r="N1355" s="26"/>
      <c r="O1355" s="26"/>
      <c r="P1355" s="26"/>
      <c r="Q1355" s="26"/>
      <c r="R1355" s="26"/>
      <c r="S1355" s="26"/>
      <c r="T1355" s="26"/>
      <c r="U1355" s="26"/>
      <c r="V1355" s="26"/>
      <c r="W1355" s="27"/>
    </row>
    <row r="1356" spans="1:23" ht="15.75" customHeight="1" x14ac:dyDescent="0.25">
      <c r="A1356" s="23"/>
      <c r="B1356" s="23" t="str">
        <f t="shared" si="6"/>
        <v/>
      </c>
      <c r="C1356" s="23"/>
      <c r="D1356" s="23"/>
      <c r="E1356" s="23"/>
      <c r="F1356" s="24"/>
      <c r="G1356" s="23"/>
      <c r="H1356" s="23"/>
      <c r="I1356" s="23"/>
      <c r="J1356" s="25"/>
      <c r="K1356" s="23"/>
      <c r="L1356" s="23"/>
      <c r="M1356" s="23"/>
      <c r="N1356" s="26"/>
      <c r="O1356" s="26"/>
      <c r="P1356" s="26"/>
      <c r="Q1356" s="26"/>
      <c r="R1356" s="26"/>
      <c r="S1356" s="26"/>
      <c r="T1356" s="26"/>
      <c r="U1356" s="26"/>
      <c r="V1356" s="26"/>
      <c r="W1356" s="27"/>
    </row>
    <row r="1357" spans="1:23" ht="15.75" customHeight="1" x14ac:dyDescent="0.25">
      <c r="A1357" s="23"/>
      <c r="B1357" s="23" t="str">
        <f t="shared" si="6"/>
        <v/>
      </c>
      <c r="C1357" s="23"/>
      <c r="D1357" s="23"/>
      <c r="E1357" s="23"/>
      <c r="F1357" s="24"/>
      <c r="G1357" s="23"/>
      <c r="H1357" s="23"/>
      <c r="I1357" s="23"/>
      <c r="J1357" s="25"/>
      <c r="K1357" s="23"/>
      <c r="L1357" s="23"/>
      <c r="M1357" s="23"/>
      <c r="N1357" s="26"/>
      <c r="O1357" s="26"/>
      <c r="P1357" s="26"/>
      <c r="Q1357" s="26"/>
      <c r="R1357" s="26"/>
      <c r="S1357" s="26"/>
      <c r="T1357" s="26"/>
      <c r="U1357" s="26"/>
      <c r="V1357" s="26"/>
      <c r="W1357" s="27"/>
    </row>
    <row r="1358" spans="1:23" ht="15.75" customHeight="1" x14ac:dyDescent="0.25">
      <c r="A1358" s="23"/>
      <c r="B1358" s="23" t="str">
        <f t="shared" si="6"/>
        <v/>
      </c>
      <c r="C1358" s="23"/>
      <c r="D1358" s="23"/>
      <c r="E1358" s="23"/>
      <c r="F1358" s="24"/>
      <c r="G1358" s="23"/>
      <c r="H1358" s="23"/>
      <c r="I1358" s="23"/>
      <c r="J1358" s="25"/>
      <c r="K1358" s="23"/>
      <c r="L1358" s="23"/>
      <c r="M1358" s="23"/>
      <c r="N1358" s="26"/>
      <c r="O1358" s="26"/>
      <c r="P1358" s="26"/>
      <c r="Q1358" s="26"/>
      <c r="R1358" s="26"/>
      <c r="S1358" s="26"/>
      <c r="T1358" s="26"/>
      <c r="U1358" s="26"/>
      <c r="V1358" s="26"/>
      <c r="W1358" s="27"/>
    </row>
    <row r="1359" spans="1:23" ht="15.75" customHeight="1" x14ac:dyDescent="0.25">
      <c r="A1359" s="23"/>
      <c r="B1359" s="23" t="str">
        <f t="shared" si="6"/>
        <v/>
      </c>
      <c r="C1359" s="23"/>
      <c r="D1359" s="23"/>
      <c r="E1359" s="23"/>
      <c r="F1359" s="24"/>
      <c r="G1359" s="23"/>
      <c r="H1359" s="23"/>
      <c r="I1359" s="23"/>
      <c r="J1359" s="25"/>
      <c r="K1359" s="23"/>
      <c r="L1359" s="23"/>
      <c r="M1359" s="23"/>
      <c r="N1359" s="26"/>
      <c r="O1359" s="26"/>
      <c r="P1359" s="26"/>
      <c r="Q1359" s="26"/>
      <c r="R1359" s="26"/>
      <c r="S1359" s="26"/>
      <c r="T1359" s="26"/>
      <c r="U1359" s="26"/>
      <c r="V1359" s="26"/>
      <c r="W1359" s="27"/>
    </row>
    <row r="1360" spans="1:23" ht="15.75" customHeight="1" x14ac:dyDescent="0.25">
      <c r="A1360" s="23"/>
      <c r="B1360" s="23" t="str">
        <f t="shared" si="6"/>
        <v/>
      </c>
      <c r="C1360" s="23"/>
      <c r="D1360" s="23"/>
      <c r="E1360" s="23"/>
      <c r="F1360" s="24"/>
      <c r="G1360" s="23"/>
      <c r="H1360" s="23"/>
      <c r="I1360" s="23"/>
      <c r="J1360" s="25"/>
      <c r="K1360" s="23"/>
      <c r="L1360" s="23"/>
      <c r="M1360" s="23"/>
      <c r="N1360" s="26"/>
      <c r="O1360" s="26"/>
      <c r="P1360" s="26"/>
      <c r="Q1360" s="26"/>
      <c r="R1360" s="26"/>
      <c r="S1360" s="26"/>
      <c r="T1360" s="26"/>
      <c r="U1360" s="26"/>
      <c r="V1360" s="26"/>
      <c r="W1360" s="27"/>
    </row>
    <row r="1361" spans="1:23" ht="15.75" customHeight="1" x14ac:dyDescent="0.25">
      <c r="A1361" s="23"/>
      <c r="B1361" s="23" t="str">
        <f t="shared" si="6"/>
        <v/>
      </c>
      <c r="C1361" s="23"/>
      <c r="D1361" s="23"/>
      <c r="E1361" s="23"/>
      <c r="F1361" s="24"/>
      <c r="G1361" s="23"/>
      <c r="H1361" s="23"/>
      <c r="I1361" s="23"/>
      <c r="J1361" s="25"/>
      <c r="K1361" s="23"/>
      <c r="L1361" s="23"/>
      <c r="M1361" s="23"/>
      <c r="N1361" s="26"/>
      <c r="O1361" s="26"/>
      <c r="P1361" s="26"/>
      <c r="Q1361" s="26"/>
      <c r="R1361" s="26"/>
      <c r="S1361" s="26"/>
      <c r="T1361" s="26"/>
      <c r="U1361" s="26"/>
      <c r="V1361" s="26"/>
      <c r="W1361" s="27"/>
    </row>
    <row r="1362" spans="1:23" ht="15.75" customHeight="1" x14ac:dyDescent="0.25">
      <c r="A1362" s="23"/>
      <c r="B1362" s="23" t="str">
        <f t="shared" si="6"/>
        <v/>
      </c>
      <c r="C1362" s="23"/>
      <c r="D1362" s="23"/>
      <c r="E1362" s="23"/>
      <c r="F1362" s="24"/>
      <c r="G1362" s="23"/>
      <c r="H1362" s="23"/>
      <c r="I1362" s="23"/>
      <c r="J1362" s="25"/>
      <c r="K1362" s="23"/>
      <c r="L1362" s="23"/>
      <c r="M1362" s="23"/>
      <c r="N1362" s="26"/>
      <c r="O1362" s="26"/>
      <c r="P1362" s="26"/>
      <c r="Q1362" s="26"/>
      <c r="R1362" s="26"/>
      <c r="S1362" s="26"/>
      <c r="T1362" s="26"/>
      <c r="U1362" s="26"/>
      <c r="V1362" s="26"/>
      <c r="W1362" s="27"/>
    </row>
    <row r="1363" spans="1:23" ht="15.75" customHeight="1" x14ac:dyDescent="0.25">
      <c r="A1363" s="23"/>
      <c r="B1363" s="23" t="str">
        <f t="shared" si="6"/>
        <v/>
      </c>
      <c r="C1363" s="23"/>
      <c r="D1363" s="23"/>
      <c r="E1363" s="23"/>
      <c r="F1363" s="24"/>
      <c r="G1363" s="23"/>
      <c r="H1363" s="23"/>
      <c r="I1363" s="23"/>
      <c r="J1363" s="25"/>
      <c r="K1363" s="23"/>
      <c r="L1363" s="23"/>
      <c r="M1363" s="23"/>
      <c r="N1363" s="26"/>
      <c r="O1363" s="26"/>
      <c r="P1363" s="26"/>
      <c r="Q1363" s="26"/>
      <c r="R1363" s="26"/>
      <c r="S1363" s="26"/>
      <c r="T1363" s="26"/>
      <c r="U1363" s="26"/>
      <c r="V1363" s="26"/>
      <c r="W1363" s="27"/>
    </row>
    <row r="1364" spans="1:23" ht="15.75" customHeight="1" x14ac:dyDescent="0.25">
      <c r="A1364" s="23"/>
      <c r="B1364" s="23" t="str">
        <f t="shared" si="6"/>
        <v/>
      </c>
      <c r="C1364" s="23"/>
      <c r="D1364" s="23"/>
      <c r="E1364" s="23"/>
      <c r="F1364" s="24"/>
      <c r="G1364" s="23"/>
      <c r="H1364" s="23"/>
      <c r="I1364" s="23"/>
      <c r="J1364" s="25"/>
      <c r="K1364" s="23"/>
      <c r="L1364" s="23"/>
      <c r="M1364" s="23"/>
      <c r="N1364" s="26"/>
      <c r="O1364" s="26"/>
      <c r="P1364" s="26"/>
      <c r="Q1364" s="26"/>
      <c r="R1364" s="26"/>
      <c r="S1364" s="26"/>
      <c r="T1364" s="26"/>
      <c r="U1364" s="26"/>
      <c r="V1364" s="26"/>
      <c r="W1364" s="27"/>
    </row>
    <row r="1365" spans="1:23" ht="15.75" customHeight="1" x14ac:dyDescent="0.25">
      <c r="A1365" s="23"/>
      <c r="B1365" s="23" t="str">
        <f t="shared" si="6"/>
        <v/>
      </c>
      <c r="C1365" s="23"/>
      <c r="D1365" s="23"/>
      <c r="E1365" s="23"/>
      <c r="F1365" s="24"/>
      <c r="G1365" s="23"/>
      <c r="H1365" s="23"/>
      <c r="I1365" s="23"/>
      <c r="J1365" s="25"/>
      <c r="K1365" s="23"/>
      <c r="L1365" s="23"/>
      <c r="M1365" s="23"/>
      <c r="N1365" s="26"/>
      <c r="O1365" s="26"/>
      <c r="P1365" s="26"/>
      <c r="Q1365" s="26"/>
      <c r="R1365" s="26"/>
      <c r="S1365" s="26"/>
      <c r="T1365" s="26"/>
      <c r="U1365" s="26"/>
      <c r="V1365" s="26"/>
      <c r="W1365" s="27"/>
    </row>
    <row r="1366" spans="1:23" ht="15.75" customHeight="1" x14ac:dyDescent="0.25">
      <c r="A1366" s="23"/>
      <c r="B1366" s="23" t="str">
        <f t="shared" si="6"/>
        <v/>
      </c>
      <c r="C1366" s="23"/>
      <c r="D1366" s="23"/>
      <c r="E1366" s="23"/>
      <c r="F1366" s="24"/>
      <c r="G1366" s="23"/>
      <c r="H1366" s="23"/>
      <c r="I1366" s="23"/>
      <c r="J1366" s="25"/>
      <c r="K1366" s="23"/>
      <c r="L1366" s="23"/>
      <c r="M1366" s="23"/>
      <c r="N1366" s="26"/>
      <c r="O1366" s="26"/>
      <c r="P1366" s="26"/>
      <c r="Q1366" s="26"/>
      <c r="R1366" s="26"/>
      <c r="S1366" s="26"/>
      <c r="T1366" s="26"/>
      <c r="U1366" s="26"/>
      <c r="V1366" s="26"/>
      <c r="W1366" s="27"/>
    </row>
    <row r="1367" spans="1:23" ht="15.75" customHeight="1" x14ac:dyDescent="0.25">
      <c r="A1367" s="23"/>
      <c r="B1367" s="23" t="str">
        <f t="shared" si="6"/>
        <v/>
      </c>
      <c r="C1367" s="23"/>
      <c r="D1367" s="23"/>
      <c r="E1367" s="23"/>
      <c r="F1367" s="24"/>
      <c r="G1367" s="23"/>
      <c r="H1367" s="23"/>
      <c r="I1367" s="23"/>
      <c r="J1367" s="25"/>
      <c r="K1367" s="23"/>
      <c r="L1367" s="23"/>
      <c r="M1367" s="23"/>
      <c r="N1367" s="26"/>
      <c r="O1367" s="26"/>
      <c r="P1367" s="26"/>
      <c r="Q1367" s="26"/>
      <c r="R1367" s="26"/>
      <c r="S1367" s="26"/>
      <c r="T1367" s="26"/>
      <c r="U1367" s="26"/>
      <c r="V1367" s="26"/>
      <c r="W1367" s="27"/>
    </row>
    <row r="1368" spans="1:23" ht="15.75" customHeight="1" x14ac:dyDescent="0.25">
      <c r="A1368" s="23"/>
      <c r="B1368" s="23" t="str">
        <f t="shared" si="6"/>
        <v/>
      </c>
      <c r="C1368" s="23"/>
      <c r="D1368" s="23"/>
      <c r="E1368" s="23"/>
      <c r="F1368" s="24"/>
      <c r="G1368" s="23"/>
      <c r="H1368" s="23"/>
      <c r="I1368" s="23"/>
      <c r="J1368" s="25"/>
      <c r="K1368" s="23"/>
      <c r="L1368" s="23"/>
      <c r="M1368" s="23"/>
      <c r="N1368" s="26"/>
      <c r="O1368" s="26"/>
      <c r="P1368" s="26"/>
      <c r="Q1368" s="26"/>
      <c r="R1368" s="26"/>
      <c r="S1368" s="26"/>
      <c r="T1368" s="26"/>
      <c r="U1368" s="26"/>
      <c r="V1368" s="26"/>
      <c r="W1368" s="27"/>
    </row>
    <row r="1369" spans="1:23" ht="15.75" customHeight="1" x14ac:dyDescent="0.25">
      <c r="A1369" s="23"/>
      <c r="B1369" s="23" t="str">
        <f t="shared" si="6"/>
        <v/>
      </c>
      <c r="C1369" s="23"/>
      <c r="D1369" s="23"/>
      <c r="E1369" s="23"/>
      <c r="F1369" s="24"/>
      <c r="G1369" s="23"/>
      <c r="H1369" s="23"/>
      <c r="I1369" s="23"/>
      <c r="J1369" s="25"/>
      <c r="K1369" s="23"/>
      <c r="L1369" s="23"/>
      <c r="M1369" s="23"/>
      <c r="N1369" s="26"/>
      <c r="O1369" s="26"/>
      <c r="P1369" s="26"/>
      <c r="Q1369" s="26"/>
      <c r="R1369" s="26"/>
      <c r="S1369" s="26"/>
      <c r="T1369" s="26"/>
      <c r="U1369" s="26"/>
      <c r="V1369" s="26"/>
      <c r="W1369" s="27"/>
    </row>
    <row r="1370" spans="1:23" ht="15.75" customHeight="1" x14ac:dyDescent="0.25">
      <c r="A1370" s="23"/>
      <c r="B1370" s="23" t="str">
        <f t="shared" si="6"/>
        <v/>
      </c>
      <c r="C1370" s="23"/>
      <c r="D1370" s="23"/>
      <c r="E1370" s="23"/>
      <c r="F1370" s="24"/>
      <c r="G1370" s="23"/>
      <c r="H1370" s="23"/>
      <c r="I1370" s="23"/>
      <c r="J1370" s="25"/>
      <c r="K1370" s="23"/>
      <c r="L1370" s="23"/>
      <c r="M1370" s="23"/>
      <c r="N1370" s="26"/>
      <c r="O1370" s="26"/>
      <c r="P1370" s="26"/>
      <c r="Q1370" s="26"/>
      <c r="R1370" s="26"/>
      <c r="S1370" s="26"/>
      <c r="T1370" s="26"/>
      <c r="U1370" s="26"/>
      <c r="V1370" s="26"/>
      <c r="W1370" s="27"/>
    </row>
    <row r="1371" spans="1:23" ht="15.75" customHeight="1" x14ac:dyDescent="0.25">
      <c r="A1371" s="23"/>
      <c r="B1371" s="23" t="str">
        <f t="shared" si="6"/>
        <v/>
      </c>
      <c r="C1371" s="23"/>
      <c r="D1371" s="23"/>
      <c r="E1371" s="23"/>
      <c r="F1371" s="24"/>
      <c r="G1371" s="23"/>
      <c r="H1371" s="23"/>
      <c r="I1371" s="23"/>
      <c r="J1371" s="25"/>
      <c r="K1371" s="23"/>
      <c r="L1371" s="23"/>
      <c r="M1371" s="23"/>
      <c r="N1371" s="26"/>
      <c r="O1371" s="26"/>
      <c r="P1371" s="26"/>
      <c r="Q1371" s="26"/>
      <c r="R1371" s="26"/>
      <c r="S1371" s="26"/>
      <c r="T1371" s="26"/>
      <c r="U1371" s="26"/>
      <c r="V1371" s="26"/>
      <c r="W1371" s="27"/>
    </row>
    <row r="1372" spans="1:23" ht="15.75" customHeight="1" x14ac:dyDescent="0.25">
      <c r="A1372" s="23"/>
      <c r="B1372" s="23" t="str">
        <f t="shared" si="6"/>
        <v/>
      </c>
      <c r="C1372" s="23"/>
      <c r="D1372" s="23"/>
      <c r="E1372" s="23"/>
      <c r="F1372" s="24"/>
      <c r="G1372" s="23"/>
      <c r="H1372" s="23"/>
      <c r="I1372" s="23"/>
      <c r="J1372" s="25"/>
      <c r="K1372" s="23"/>
      <c r="L1372" s="23"/>
      <c r="M1372" s="23"/>
      <c r="N1372" s="26"/>
      <c r="O1372" s="26"/>
      <c r="P1372" s="26"/>
      <c r="Q1372" s="26"/>
      <c r="R1372" s="26"/>
      <c r="S1372" s="26"/>
      <c r="T1372" s="26"/>
      <c r="U1372" s="26"/>
      <c r="V1372" s="26"/>
      <c r="W1372" s="27"/>
    </row>
    <row r="1373" spans="1:23" ht="15.75" customHeight="1" x14ac:dyDescent="0.25">
      <c r="A1373" s="23"/>
      <c r="B1373" s="23" t="str">
        <f t="shared" si="6"/>
        <v/>
      </c>
      <c r="C1373" s="23"/>
      <c r="D1373" s="23"/>
      <c r="E1373" s="23"/>
      <c r="F1373" s="24"/>
      <c r="G1373" s="23"/>
      <c r="H1373" s="23"/>
      <c r="I1373" s="23"/>
      <c r="J1373" s="25"/>
      <c r="K1373" s="23"/>
      <c r="L1373" s="23"/>
      <c r="M1373" s="23"/>
      <c r="N1373" s="26"/>
      <c r="O1373" s="26"/>
      <c r="P1373" s="26"/>
      <c r="Q1373" s="26"/>
      <c r="R1373" s="26"/>
      <c r="S1373" s="26"/>
      <c r="T1373" s="26"/>
      <c r="U1373" s="26"/>
      <c r="V1373" s="26"/>
      <c r="W1373" s="27"/>
    </row>
    <row r="1374" spans="1:23" ht="15.75" customHeight="1" x14ac:dyDescent="0.25">
      <c r="A1374" s="23"/>
      <c r="B1374" s="23" t="str">
        <f t="shared" si="6"/>
        <v/>
      </c>
      <c r="C1374" s="23"/>
      <c r="D1374" s="23"/>
      <c r="E1374" s="23"/>
      <c r="F1374" s="24"/>
      <c r="G1374" s="23"/>
      <c r="H1374" s="23"/>
      <c r="I1374" s="23"/>
      <c r="J1374" s="25"/>
      <c r="K1374" s="23"/>
      <c r="L1374" s="23"/>
      <c r="M1374" s="23"/>
      <c r="N1374" s="26"/>
      <c r="O1374" s="26"/>
      <c r="P1374" s="26"/>
      <c r="Q1374" s="26"/>
      <c r="R1374" s="26"/>
      <c r="S1374" s="26"/>
      <c r="T1374" s="26"/>
      <c r="U1374" s="26"/>
      <c r="V1374" s="26"/>
      <c r="W1374" s="27"/>
    </row>
    <row r="1375" spans="1:23" ht="15.75" customHeight="1" x14ac:dyDescent="0.25">
      <c r="A1375" s="23"/>
      <c r="B1375" s="23" t="str">
        <f t="shared" si="6"/>
        <v/>
      </c>
      <c r="C1375" s="23"/>
      <c r="D1375" s="23"/>
      <c r="E1375" s="23"/>
      <c r="F1375" s="24"/>
      <c r="G1375" s="23"/>
      <c r="H1375" s="23"/>
      <c r="I1375" s="23"/>
      <c r="J1375" s="25"/>
      <c r="K1375" s="23"/>
      <c r="L1375" s="23"/>
      <c r="M1375" s="23"/>
      <c r="N1375" s="26"/>
      <c r="O1375" s="26"/>
      <c r="P1375" s="26"/>
      <c r="Q1375" s="26"/>
      <c r="R1375" s="26"/>
      <c r="S1375" s="26"/>
      <c r="T1375" s="26"/>
      <c r="U1375" s="26"/>
      <c r="V1375" s="26"/>
      <c r="W1375" s="27"/>
    </row>
    <row r="1376" spans="1:23" ht="15.75" customHeight="1" x14ac:dyDescent="0.25">
      <c r="A1376" s="23"/>
      <c r="B1376" s="23" t="str">
        <f t="shared" si="6"/>
        <v/>
      </c>
      <c r="C1376" s="23"/>
      <c r="D1376" s="23"/>
      <c r="E1376" s="23"/>
      <c r="F1376" s="24"/>
      <c r="G1376" s="23"/>
      <c r="H1376" s="23"/>
      <c r="I1376" s="23"/>
      <c r="J1376" s="25"/>
      <c r="K1376" s="23"/>
      <c r="L1376" s="23"/>
      <c r="M1376" s="23"/>
      <c r="N1376" s="26"/>
      <c r="O1376" s="26"/>
      <c r="P1376" s="26"/>
      <c r="Q1376" s="26"/>
      <c r="R1376" s="26"/>
      <c r="S1376" s="26"/>
      <c r="T1376" s="26"/>
      <c r="U1376" s="26"/>
      <c r="V1376" s="26"/>
      <c r="W1376" s="27"/>
    </row>
    <row r="1377" spans="1:23" ht="15.75" customHeight="1" x14ac:dyDescent="0.25">
      <c r="A1377" s="23"/>
      <c r="B1377" s="23" t="str">
        <f t="shared" si="6"/>
        <v/>
      </c>
      <c r="C1377" s="23"/>
      <c r="D1377" s="23"/>
      <c r="E1377" s="23"/>
      <c r="F1377" s="24"/>
      <c r="G1377" s="23"/>
      <c r="H1377" s="23"/>
      <c r="I1377" s="23"/>
      <c r="J1377" s="25"/>
      <c r="K1377" s="23"/>
      <c r="L1377" s="23"/>
      <c r="M1377" s="23"/>
      <c r="N1377" s="26"/>
      <c r="O1377" s="26"/>
      <c r="P1377" s="26"/>
      <c r="Q1377" s="26"/>
      <c r="R1377" s="26"/>
      <c r="S1377" s="26"/>
      <c r="T1377" s="26"/>
      <c r="U1377" s="26"/>
      <c r="V1377" s="26"/>
      <c r="W1377" s="27"/>
    </row>
    <row r="1378" spans="1:23" ht="15.75" customHeight="1" x14ac:dyDescent="0.25">
      <c r="A1378" s="23"/>
      <c r="B1378" s="23" t="str">
        <f t="shared" si="6"/>
        <v/>
      </c>
      <c r="C1378" s="23"/>
      <c r="D1378" s="23"/>
      <c r="E1378" s="23"/>
      <c r="F1378" s="24"/>
      <c r="G1378" s="23"/>
      <c r="H1378" s="23"/>
      <c r="I1378" s="23"/>
      <c r="J1378" s="25"/>
      <c r="K1378" s="23"/>
      <c r="L1378" s="23"/>
      <c r="M1378" s="23"/>
      <c r="N1378" s="26"/>
      <c r="O1378" s="26"/>
      <c r="P1378" s="26"/>
      <c r="Q1378" s="26"/>
      <c r="R1378" s="26"/>
      <c r="S1378" s="26"/>
      <c r="T1378" s="26"/>
      <c r="U1378" s="26"/>
      <c r="V1378" s="26"/>
      <c r="W1378" s="27"/>
    </row>
    <row r="1379" spans="1:23" ht="15.75" customHeight="1" x14ac:dyDescent="0.25">
      <c r="A1379" s="23"/>
      <c r="B1379" s="23" t="str">
        <f t="shared" si="6"/>
        <v/>
      </c>
      <c r="C1379" s="23"/>
      <c r="D1379" s="23"/>
      <c r="E1379" s="23"/>
      <c r="F1379" s="24"/>
      <c r="G1379" s="23"/>
      <c r="H1379" s="23"/>
      <c r="I1379" s="23"/>
      <c r="J1379" s="25"/>
      <c r="K1379" s="23"/>
      <c r="L1379" s="23"/>
      <c r="M1379" s="23"/>
      <c r="N1379" s="26"/>
      <c r="O1379" s="26"/>
      <c r="P1379" s="26"/>
      <c r="Q1379" s="26"/>
      <c r="R1379" s="26"/>
      <c r="S1379" s="26"/>
      <c r="T1379" s="26"/>
      <c r="U1379" s="26"/>
      <c r="V1379" s="26"/>
      <c r="W1379" s="27"/>
    </row>
    <row r="1380" spans="1:23" ht="15.75" customHeight="1" x14ac:dyDescent="0.25">
      <c r="A1380" s="23"/>
      <c r="B1380" s="23" t="str">
        <f t="shared" si="6"/>
        <v/>
      </c>
      <c r="C1380" s="23"/>
      <c r="D1380" s="23"/>
      <c r="E1380" s="23"/>
      <c r="F1380" s="24"/>
      <c r="G1380" s="23"/>
      <c r="H1380" s="23"/>
      <c r="I1380" s="23"/>
      <c r="J1380" s="25"/>
      <c r="K1380" s="23"/>
      <c r="L1380" s="23"/>
      <c r="M1380" s="23"/>
      <c r="N1380" s="26"/>
      <c r="O1380" s="26"/>
      <c r="P1380" s="26"/>
      <c r="Q1380" s="26"/>
      <c r="R1380" s="26"/>
      <c r="S1380" s="26"/>
      <c r="T1380" s="26"/>
      <c r="U1380" s="26"/>
      <c r="V1380" s="26"/>
      <c r="W1380" s="27"/>
    </row>
    <row r="1381" spans="1:23" ht="15.75" customHeight="1" x14ac:dyDescent="0.25">
      <c r="A1381" s="23"/>
      <c r="B1381" s="23" t="str">
        <f t="shared" si="6"/>
        <v/>
      </c>
      <c r="C1381" s="23"/>
      <c r="D1381" s="23"/>
      <c r="E1381" s="23"/>
      <c r="F1381" s="24"/>
      <c r="G1381" s="23"/>
      <c r="H1381" s="23"/>
      <c r="I1381" s="23"/>
      <c r="J1381" s="25"/>
      <c r="K1381" s="23"/>
      <c r="L1381" s="23"/>
      <c r="M1381" s="23"/>
      <c r="N1381" s="26"/>
      <c r="O1381" s="26"/>
      <c r="P1381" s="26"/>
      <c r="Q1381" s="26"/>
      <c r="R1381" s="26"/>
      <c r="S1381" s="26"/>
      <c r="T1381" s="26"/>
      <c r="U1381" s="26"/>
      <c r="V1381" s="26"/>
      <c r="W1381" s="27"/>
    </row>
    <row r="1382" spans="1:23" ht="15.75" customHeight="1" x14ac:dyDescent="0.25">
      <c r="A1382" s="23"/>
      <c r="B1382" s="23" t="str">
        <f t="shared" si="6"/>
        <v/>
      </c>
      <c r="C1382" s="23"/>
      <c r="D1382" s="23"/>
      <c r="E1382" s="23"/>
      <c r="F1382" s="24"/>
      <c r="G1382" s="23"/>
      <c r="H1382" s="23"/>
      <c r="I1382" s="23"/>
      <c r="J1382" s="25"/>
      <c r="K1382" s="23"/>
      <c r="L1382" s="23"/>
      <c r="M1382" s="23"/>
      <c r="N1382" s="26"/>
      <c r="O1382" s="26"/>
      <c r="P1382" s="26"/>
      <c r="Q1382" s="26"/>
      <c r="R1382" s="26"/>
      <c r="S1382" s="26"/>
      <c r="T1382" s="26"/>
      <c r="U1382" s="26"/>
      <c r="V1382" s="26"/>
      <c r="W1382" s="27"/>
    </row>
    <row r="1383" spans="1:23" ht="15.75" customHeight="1" x14ac:dyDescent="0.25">
      <c r="A1383" s="23"/>
      <c r="B1383" s="23" t="str">
        <f t="shared" si="6"/>
        <v/>
      </c>
      <c r="C1383" s="23"/>
      <c r="D1383" s="23"/>
      <c r="E1383" s="23"/>
      <c r="F1383" s="24"/>
      <c r="G1383" s="23"/>
      <c r="H1383" s="23"/>
      <c r="I1383" s="23"/>
      <c r="J1383" s="25"/>
      <c r="K1383" s="23"/>
      <c r="L1383" s="23"/>
      <c r="M1383" s="23"/>
      <c r="N1383" s="26"/>
      <c r="O1383" s="26"/>
      <c r="P1383" s="26"/>
      <c r="Q1383" s="26"/>
      <c r="R1383" s="26"/>
      <c r="S1383" s="26"/>
      <c r="T1383" s="26"/>
      <c r="U1383" s="26"/>
      <c r="V1383" s="26"/>
      <c r="W1383" s="27"/>
    </row>
    <row r="1384" spans="1:23" ht="15.75" customHeight="1" x14ac:dyDescent="0.25">
      <c r="A1384" s="23"/>
      <c r="B1384" s="23" t="str">
        <f t="shared" si="6"/>
        <v/>
      </c>
      <c r="C1384" s="23"/>
      <c r="D1384" s="23"/>
      <c r="E1384" s="23"/>
      <c r="F1384" s="24"/>
      <c r="G1384" s="23"/>
      <c r="H1384" s="23"/>
      <c r="I1384" s="23"/>
      <c r="J1384" s="25"/>
      <c r="K1384" s="23"/>
      <c r="L1384" s="23"/>
      <c r="M1384" s="23"/>
      <c r="N1384" s="26"/>
      <c r="O1384" s="26"/>
      <c r="P1384" s="26"/>
      <c r="Q1384" s="26"/>
      <c r="R1384" s="26"/>
      <c r="S1384" s="26"/>
      <c r="T1384" s="26"/>
      <c r="U1384" s="26"/>
      <c r="V1384" s="26"/>
      <c r="W1384" s="27"/>
    </row>
    <row r="1385" spans="1:23" ht="15.75" customHeight="1" x14ac:dyDescent="0.25">
      <c r="A1385" s="23"/>
      <c r="B1385" s="23" t="str">
        <f t="shared" si="6"/>
        <v/>
      </c>
      <c r="C1385" s="23"/>
      <c r="D1385" s="23"/>
      <c r="E1385" s="23"/>
      <c r="F1385" s="24"/>
      <c r="G1385" s="23"/>
      <c r="H1385" s="23"/>
      <c r="I1385" s="23"/>
      <c r="J1385" s="25"/>
      <c r="K1385" s="23"/>
      <c r="L1385" s="23"/>
      <c r="M1385" s="23"/>
      <c r="N1385" s="26"/>
      <c r="O1385" s="26"/>
      <c r="P1385" s="26"/>
      <c r="Q1385" s="26"/>
      <c r="R1385" s="26"/>
      <c r="S1385" s="26"/>
      <c r="T1385" s="26"/>
      <c r="U1385" s="26"/>
      <c r="V1385" s="26"/>
      <c r="W1385" s="27"/>
    </row>
    <row r="1386" spans="1:23" ht="15.75" customHeight="1" x14ac:dyDescent="0.25">
      <c r="A1386" s="23"/>
      <c r="B1386" s="23" t="str">
        <f t="shared" si="6"/>
        <v/>
      </c>
      <c r="C1386" s="23"/>
      <c r="D1386" s="23"/>
      <c r="E1386" s="23"/>
      <c r="F1386" s="24"/>
      <c r="G1386" s="23"/>
      <c r="H1386" s="23"/>
      <c r="I1386" s="23"/>
      <c r="J1386" s="25"/>
      <c r="K1386" s="23"/>
      <c r="L1386" s="23"/>
      <c r="M1386" s="23"/>
      <c r="N1386" s="26"/>
      <c r="O1386" s="26"/>
      <c r="P1386" s="26"/>
      <c r="Q1386" s="26"/>
      <c r="R1386" s="26"/>
      <c r="S1386" s="26"/>
      <c r="T1386" s="26"/>
      <c r="U1386" s="26"/>
      <c r="V1386" s="26"/>
      <c r="W1386" s="27"/>
    </row>
    <row r="1387" spans="1:23" ht="15.75" customHeight="1" x14ac:dyDescent="0.25">
      <c r="A1387" s="23"/>
      <c r="B1387" s="23" t="str">
        <f t="shared" si="6"/>
        <v/>
      </c>
      <c r="C1387" s="23"/>
      <c r="D1387" s="23"/>
      <c r="E1387" s="23"/>
      <c r="F1387" s="24"/>
      <c r="G1387" s="23"/>
      <c r="H1387" s="23"/>
      <c r="I1387" s="23"/>
      <c r="J1387" s="25"/>
      <c r="K1387" s="23"/>
      <c r="L1387" s="23"/>
      <c r="M1387" s="23"/>
      <c r="N1387" s="26"/>
      <c r="O1387" s="26"/>
      <c r="P1387" s="26"/>
      <c r="Q1387" s="26"/>
      <c r="R1387" s="26"/>
      <c r="S1387" s="26"/>
      <c r="T1387" s="26"/>
      <c r="U1387" s="26"/>
      <c r="V1387" s="26"/>
      <c r="W1387" s="27"/>
    </row>
    <row r="1388" spans="1:23" ht="15.75" customHeight="1" x14ac:dyDescent="0.25">
      <c r="A1388" s="23"/>
      <c r="B1388" s="23" t="str">
        <f t="shared" si="6"/>
        <v/>
      </c>
      <c r="C1388" s="23"/>
      <c r="D1388" s="23"/>
      <c r="E1388" s="23"/>
      <c r="F1388" s="24"/>
      <c r="G1388" s="23"/>
      <c r="H1388" s="23"/>
      <c r="I1388" s="23"/>
      <c r="J1388" s="25"/>
      <c r="K1388" s="23"/>
      <c r="L1388" s="23"/>
      <c r="M1388" s="23"/>
      <c r="N1388" s="26"/>
      <c r="O1388" s="26"/>
      <c r="P1388" s="26"/>
      <c r="Q1388" s="26"/>
      <c r="R1388" s="26"/>
      <c r="S1388" s="26"/>
      <c r="T1388" s="26"/>
      <c r="U1388" s="26"/>
      <c r="V1388" s="26"/>
      <c r="W1388" s="27"/>
    </row>
    <row r="1389" spans="1:23" ht="15.75" customHeight="1" x14ac:dyDescent="0.25">
      <c r="A1389" s="23"/>
      <c r="B1389" s="23" t="str">
        <f t="shared" si="6"/>
        <v/>
      </c>
      <c r="C1389" s="23"/>
      <c r="D1389" s="23"/>
      <c r="E1389" s="23"/>
      <c r="F1389" s="24"/>
      <c r="G1389" s="23"/>
      <c r="H1389" s="23"/>
      <c r="I1389" s="23"/>
      <c r="J1389" s="25"/>
      <c r="K1389" s="23"/>
      <c r="L1389" s="23"/>
      <c r="M1389" s="23"/>
      <c r="N1389" s="26"/>
      <c r="O1389" s="26"/>
      <c r="P1389" s="26"/>
      <c r="Q1389" s="26"/>
      <c r="R1389" s="26"/>
      <c r="S1389" s="26"/>
      <c r="T1389" s="26"/>
      <c r="U1389" s="26"/>
      <c r="V1389" s="26"/>
      <c r="W1389" s="27"/>
    </row>
    <row r="1390" spans="1:23" ht="15.75" customHeight="1" x14ac:dyDescent="0.25">
      <c r="A1390" s="23"/>
      <c r="B1390" s="23" t="str">
        <f t="shared" si="6"/>
        <v/>
      </c>
      <c r="C1390" s="23"/>
      <c r="D1390" s="23"/>
      <c r="E1390" s="23"/>
      <c r="F1390" s="24"/>
      <c r="G1390" s="23"/>
      <c r="H1390" s="23"/>
      <c r="I1390" s="23"/>
      <c r="J1390" s="25"/>
      <c r="K1390" s="23"/>
      <c r="L1390" s="23"/>
      <c r="M1390" s="23"/>
      <c r="N1390" s="26"/>
      <c r="O1390" s="26"/>
      <c r="P1390" s="26"/>
      <c r="Q1390" s="26"/>
      <c r="R1390" s="26"/>
      <c r="S1390" s="26"/>
      <c r="T1390" s="26"/>
      <c r="U1390" s="26"/>
      <c r="V1390" s="26"/>
      <c r="W1390" s="27"/>
    </row>
    <row r="1391" spans="1:23" ht="15.75" customHeight="1" x14ac:dyDescent="0.25">
      <c r="A1391" s="23"/>
      <c r="B1391" s="23" t="str">
        <f t="shared" si="6"/>
        <v/>
      </c>
      <c r="C1391" s="23"/>
      <c r="D1391" s="23"/>
      <c r="E1391" s="23"/>
      <c r="F1391" s="24"/>
      <c r="G1391" s="23"/>
      <c r="H1391" s="23"/>
      <c r="I1391" s="23"/>
      <c r="J1391" s="25"/>
      <c r="K1391" s="23"/>
      <c r="L1391" s="23"/>
      <c r="M1391" s="23"/>
      <c r="N1391" s="26"/>
      <c r="O1391" s="26"/>
      <c r="P1391" s="26"/>
      <c r="Q1391" s="26"/>
      <c r="R1391" s="26"/>
      <c r="S1391" s="26"/>
      <c r="T1391" s="26"/>
      <c r="U1391" s="26"/>
      <c r="V1391" s="26"/>
      <c r="W1391" s="27"/>
    </row>
    <row r="1392" spans="1:23" ht="15.75" customHeight="1" x14ac:dyDescent="0.25">
      <c r="A1392" s="23"/>
      <c r="B1392" s="23" t="str">
        <f t="shared" si="6"/>
        <v/>
      </c>
      <c r="C1392" s="23"/>
      <c r="D1392" s="23"/>
      <c r="E1392" s="23"/>
      <c r="F1392" s="24"/>
      <c r="G1392" s="23"/>
      <c r="H1392" s="23"/>
      <c r="I1392" s="23"/>
      <c r="J1392" s="25"/>
      <c r="K1392" s="23"/>
      <c r="L1392" s="23"/>
      <c r="M1392" s="23"/>
      <c r="N1392" s="26"/>
      <c r="O1392" s="26"/>
      <c r="P1392" s="26"/>
      <c r="Q1392" s="26"/>
      <c r="R1392" s="26"/>
      <c r="S1392" s="26"/>
      <c r="T1392" s="26"/>
      <c r="U1392" s="26"/>
      <c r="V1392" s="26"/>
      <c r="W1392" s="27"/>
    </row>
    <row r="1393" spans="1:23" ht="15.75" customHeight="1" x14ac:dyDescent="0.25">
      <c r="A1393" s="23"/>
      <c r="B1393" s="23" t="str">
        <f t="shared" si="6"/>
        <v/>
      </c>
      <c r="C1393" s="23"/>
      <c r="D1393" s="23"/>
      <c r="E1393" s="23"/>
      <c r="F1393" s="24"/>
      <c r="G1393" s="23"/>
      <c r="H1393" s="23"/>
      <c r="I1393" s="23"/>
      <c r="J1393" s="25"/>
      <c r="K1393" s="23"/>
      <c r="L1393" s="23"/>
      <c r="M1393" s="23"/>
      <c r="N1393" s="26"/>
      <c r="O1393" s="26"/>
      <c r="P1393" s="26"/>
      <c r="Q1393" s="26"/>
      <c r="R1393" s="26"/>
      <c r="S1393" s="26"/>
      <c r="T1393" s="26"/>
      <c r="U1393" s="26"/>
      <c r="V1393" s="26"/>
      <c r="W1393" s="27"/>
    </row>
    <row r="1394" spans="1:23" ht="15.75" customHeight="1" x14ac:dyDescent="0.25">
      <c r="A1394" s="23"/>
      <c r="B1394" s="23" t="str">
        <f t="shared" si="6"/>
        <v/>
      </c>
      <c r="C1394" s="23"/>
      <c r="D1394" s="23"/>
      <c r="E1394" s="23"/>
      <c r="F1394" s="24"/>
      <c r="G1394" s="23"/>
      <c r="H1394" s="23"/>
      <c r="I1394" s="23"/>
      <c r="J1394" s="25"/>
      <c r="K1394" s="23"/>
      <c r="L1394" s="23"/>
      <c r="M1394" s="23"/>
      <c r="N1394" s="26"/>
      <c r="O1394" s="26"/>
      <c r="P1394" s="26"/>
      <c r="Q1394" s="26"/>
      <c r="R1394" s="26"/>
      <c r="S1394" s="26"/>
      <c r="T1394" s="26"/>
      <c r="U1394" s="26"/>
      <c r="V1394" s="26"/>
      <c r="W1394" s="27"/>
    </row>
    <row r="1395" spans="1:23" ht="15.75" customHeight="1" x14ac:dyDescent="0.25">
      <c r="A1395" s="23"/>
      <c r="B1395" s="23" t="str">
        <f t="shared" si="6"/>
        <v/>
      </c>
      <c r="C1395" s="23"/>
      <c r="D1395" s="23"/>
      <c r="E1395" s="23"/>
      <c r="F1395" s="24"/>
      <c r="G1395" s="23"/>
      <c r="H1395" s="23"/>
      <c r="I1395" s="23"/>
      <c r="J1395" s="25"/>
      <c r="K1395" s="23"/>
      <c r="L1395" s="23"/>
      <c r="M1395" s="23"/>
      <c r="N1395" s="26"/>
      <c r="O1395" s="26"/>
      <c r="P1395" s="26"/>
      <c r="Q1395" s="26"/>
      <c r="R1395" s="26"/>
      <c r="S1395" s="26"/>
      <c r="T1395" s="26"/>
      <c r="U1395" s="26"/>
      <c r="V1395" s="26"/>
      <c r="W1395" s="27"/>
    </row>
    <row r="1396" spans="1:23" ht="15.75" customHeight="1" x14ac:dyDescent="0.25">
      <c r="A1396" s="23"/>
      <c r="B1396" s="23" t="str">
        <f t="shared" si="6"/>
        <v/>
      </c>
      <c r="C1396" s="23"/>
      <c r="D1396" s="23"/>
      <c r="E1396" s="23"/>
      <c r="F1396" s="24"/>
      <c r="G1396" s="23"/>
      <c r="H1396" s="23"/>
      <c r="I1396" s="23"/>
      <c r="J1396" s="25"/>
      <c r="K1396" s="23"/>
      <c r="L1396" s="23"/>
      <c r="M1396" s="23"/>
      <c r="N1396" s="26"/>
      <c r="O1396" s="26"/>
      <c r="P1396" s="26"/>
      <c r="Q1396" s="26"/>
      <c r="R1396" s="26"/>
      <c r="S1396" s="26"/>
      <c r="T1396" s="26"/>
      <c r="U1396" s="26"/>
      <c r="V1396" s="26"/>
      <c r="W1396" s="27"/>
    </row>
    <row r="1397" spans="1:23" ht="15.75" customHeight="1" x14ac:dyDescent="0.25">
      <c r="A1397" s="23"/>
      <c r="B1397" s="23" t="str">
        <f t="shared" si="6"/>
        <v/>
      </c>
      <c r="C1397" s="23"/>
      <c r="D1397" s="23"/>
      <c r="E1397" s="23"/>
      <c r="F1397" s="24"/>
      <c r="G1397" s="23"/>
      <c r="H1397" s="23"/>
      <c r="I1397" s="23"/>
      <c r="J1397" s="25"/>
      <c r="K1397" s="23"/>
      <c r="L1397" s="23"/>
      <c r="M1397" s="23"/>
      <c r="N1397" s="26"/>
      <c r="O1397" s="26"/>
      <c r="P1397" s="26"/>
      <c r="Q1397" s="26"/>
      <c r="R1397" s="26"/>
      <c r="S1397" s="26"/>
      <c r="T1397" s="26"/>
      <c r="U1397" s="26"/>
      <c r="V1397" s="26"/>
      <c r="W1397" s="27"/>
    </row>
    <row r="1398" spans="1:23" ht="15.75" customHeight="1" x14ac:dyDescent="0.25">
      <c r="A1398" s="23"/>
      <c r="B1398" s="23" t="str">
        <f t="shared" si="6"/>
        <v/>
      </c>
      <c r="C1398" s="23"/>
      <c r="D1398" s="23"/>
      <c r="E1398" s="23"/>
      <c r="F1398" s="24"/>
      <c r="G1398" s="23"/>
      <c r="H1398" s="23"/>
      <c r="I1398" s="23"/>
      <c r="J1398" s="25"/>
      <c r="K1398" s="23"/>
      <c r="L1398" s="23"/>
      <c r="M1398" s="23"/>
      <c r="N1398" s="26"/>
      <c r="O1398" s="26"/>
      <c r="P1398" s="26"/>
      <c r="Q1398" s="26"/>
      <c r="R1398" s="26"/>
      <c r="S1398" s="26"/>
      <c r="T1398" s="26"/>
      <c r="U1398" s="26"/>
      <c r="V1398" s="26"/>
      <c r="W1398" s="27"/>
    </row>
    <row r="1399" spans="1:23" ht="15.75" customHeight="1" x14ac:dyDescent="0.25">
      <c r="A1399" s="23"/>
      <c r="B1399" s="23" t="str">
        <f t="shared" si="6"/>
        <v/>
      </c>
      <c r="C1399" s="23"/>
      <c r="D1399" s="23"/>
      <c r="E1399" s="23"/>
      <c r="F1399" s="24"/>
      <c r="G1399" s="23"/>
      <c r="H1399" s="23"/>
      <c r="I1399" s="23"/>
      <c r="J1399" s="25"/>
      <c r="K1399" s="23"/>
      <c r="L1399" s="23"/>
      <c r="M1399" s="23"/>
      <c r="N1399" s="26"/>
      <c r="O1399" s="26"/>
      <c r="P1399" s="26"/>
      <c r="Q1399" s="26"/>
      <c r="R1399" s="26"/>
      <c r="S1399" s="26"/>
      <c r="T1399" s="26"/>
      <c r="U1399" s="26"/>
      <c r="V1399" s="26"/>
      <c r="W1399" s="27"/>
    </row>
    <row r="1400" spans="1:23" ht="15.75" customHeight="1" x14ac:dyDescent="0.25">
      <c r="A1400" s="23"/>
      <c r="B1400" s="23" t="str">
        <f t="shared" si="6"/>
        <v/>
      </c>
      <c r="C1400" s="23"/>
      <c r="D1400" s="23"/>
      <c r="E1400" s="23"/>
      <c r="F1400" s="24"/>
      <c r="G1400" s="23"/>
      <c r="H1400" s="23"/>
      <c r="I1400" s="23"/>
      <c r="J1400" s="25"/>
      <c r="K1400" s="23"/>
      <c r="L1400" s="23"/>
      <c r="M1400" s="23"/>
      <c r="N1400" s="26"/>
      <c r="O1400" s="26"/>
      <c r="P1400" s="26"/>
      <c r="Q1400" s="26"/>
      <c r="R1400" s="26"/>
      <c r="S1400" s="26"/>
      <c r="T1400" s="26"/>
      <c r="U1400" s="26"/>
      <c r="V1400" s="26"/>
      <c r="W1400" s="27"/>
    </row>
    <row r="1401" spans="1:23" ht="15.75" customHeight="1" x14ac:dyDescent="0.25">
      <c r="A1401" s="23"/>
      <c r="B1401" s="23" t="str">
        <f t="shared" si="6"/>
        <v/>
      </c>
      <c r="C1401" s="23"/>
      <c r="D1401" s="23"/>
      <c r="E1401" s="23"/>
      <c r="F1401" s="24"/>
      <c r="G1401" s="23"/>
      <c r="H1401" s="23"/>
      <c r="I1401" s="23"/>
      <c r="J1401" s="25"/>
      <c r="K1401" s="23"/>
      <c r="L1401" s="23"/>
      <c r="M1401" s="23"/>
      <c r="N1401" s="26"/>
      <c r="O1401" s="26"/>
      <c r="P1401" s="26"/>
      <c r="Q1401" s="26"/>
      <c r="R1401" s="26"/>
      <c r="S1401" s="26"/>
      <c r="T1401" s="26"/>
      <c r="U1401" s="26"/>
      <c r="V1401" s="26"/>
      <c r="W1401" s="27"/>
    </row>
    <row r="1402" spans="1:23" ht="15.75" customHeight="1" x14ac:dyDescent="0.25">
      <c r="A1402" s="23"/>
      <c r="B1402" s="23" t="str">
        <f t="shared" si="6"/>
        <v/>
      </c>
      <c r="C1402" s="23"/>
      <c r="D1402" s="23"/>
      <c r="E1402" s="23"/>
      <c r="F1402" s="24"/>
      <c r="G1402" s="23"/>
      <c r="H1402" s="23"/>
      <c r="I1402" s="23"/>
      <c r="J1402" s="25"/>
      <c r="K1402" s="23"/>
      <c r="L1402" s="23"/>
      <c r="M1402" s="23"/>
      <c r="N1402" s="26"/>
      <c r="O1402" s="26"/>
      <c r="P1402" s="26"/>
      <c r="Q1402" s="26"/>
      <c r="R1402" s="26"/>
      <c r="S1402" s="26"/>
      <c r="T1402" s="26"/>
      <c r="U1402" s="26"/>
      <c r="V1402" s="26"/>
      <c r="W1402" s="27"/>
    </row>
    <row r="1403" spans="1:23" ht="15.75" customHeight="1" x14ac:dyDescent="0.25">
      <c r="A1403" s="23"/>
      <c r="B1403" s="23" t="str">
        <f t="shared" si="6"/>
        <v/>
      </c>
      <c r="C1403" s="23"/>
      <c r="D1403" s="23"/>
      <c r="E1403" s="23"/>
      <c r="F1403" s="24"/>
      <c r="G1403" s="23"/>
      <c r="H1403" s="23"/>
      <c r="I1403" s="23"/>
      <c r="J1403" s="25"/>
      <c r="K1403" s="23"/>
      <c r="L1403" s="23"/>
      <c r="M1403" s="23"/>
      <c r="N1403" s="26"/>
      <c r="O1403" s="26"/>
      <c r="P1403" s="26"/>
      <c r="Q1403" s="26"/>
      <c r="R1403" s="26"/>
      <c r="S1403" s="26"/>
      <c r="T1403" s="26"/>
      <c r="U1403" s="26"/>
      <c r="V1403" s="26"/>
      <c r="W1403" s="27"/>
    </row>
    <row r="1404" spans="1:23" ht="15.75" customHeight="1" x14ac:dyDescent="0.25">
      <c r="A1404" s="23"/>
      <c r="B1404" s="23" t="str">
        <f t="shared" si="6"/>
        <v/>
      </c>
      <c r="C1404" s="23"/>
      <c r="D1404" s="23"/>
      <c r="E1404" s="23"/>
      <c r="F1404" s="24"/>
      <c r="G1404" s="23"/>
      <c r="H1404" s="23"/>
      <c r="I1404" s="23"/>
      <c r="J1404" s="25"/>
      <c r="K1404" s="23"/>
      <c r="L1404" s="23"/>
      <c r="M1404" s="23"/>
      <c r="N1404" s="26"/>
      <c r="O1404" s="26"/>
      <c r="P1404" s="26"/>
      <c r="Q1404" s="26"/>
      <c r="R1404" s="26"/>
      <c r="S1404" s="26"/>
      <c r="T1404" s="26"/>
      <c r="U1404" s="26"/>
      <c r="V1404" s="26"/>
      <c r="W1404" s="27"/>
    </row>
    <row r="1405" spans="1:23" ht="15.75" customHeight="1" x14ac:dyDescent="0.25">
      <c r="A1405" s="23"/>
      <c r="B1405" s="23" t="str">
        <f t="shared" si="6"/>
        <v/>
      </c>
      <c r="C1405" s="23"/>
      <c r="D1405" s="23"/>
      <c r="E1405" s="23"/>
      <c r="F1405" s="24"/>
      <c r="G1405" s="23"/>
      <c r="H1405" s="23"/>
      <c r="I1405" s="23"/>
      <c r="J1405" s="25"/>
      <c r="K1405" s="23"/>
      <c r="L1405" s="23"/>
      <c r="M1405" s="23"/>
      <c r="N1405" s="26"/>
      <c r="O1405" s="26"/>
      <c r="P1405" s="26"/>
      <c r="Q1405" s="26"/>
      <c r="R1405" s="26"/>
      <c r="S1405" s="26"/>
      <c r="T1405" s="26"/>
      <c r="U1405" s="26"/>
      <c r="V1405" s="26"/>
      <c r="W1405" s="27"/>
    </row>
    <row r="1406" spans="1:23" ht="15.75" customHeight="1" x14ac:dyDescent="0.25">
      <c r="A1406" s="23"/>
      <c r="B1406" s="23" t="str">
        <f t="shared" si="6"/>
        <v/>
      </c>
      <c r="C1406" s="23"/>
      <c r="D1406" s="23"/>
      <c r="E1406" s="23"/>
      <c r="F1406" s="24"/>
      <c r="G1406" s="23"/>
      <c r="H1406" s="23"/>
      <c r="I1406" s="23"/>
      <c r="J1406" s="25"/>
      <c r="K1406" s="23"/>
      <c r="L1406" s="23"/>
      <c r="M1406" s="23"/>
      <c r="N1406" s="26"/>
      <c r="O1406" s="26"/>
      <c r="P1406" s="26"/>
      <c r="Q1406" s="26"/>
      <c r="R1406" s="26"/>
      <c r="S1406" s="26"/>
      <c r="T1406" s="26"/>
      <c r="U1406" s="26"/>
      <c r="V1406" s="26"/>
      <c r="W1406" s="27"/>
    </row>
    <row r="1407" spans="1:23" ht="15.75" customHeight="1" x14ac:dyDescent="0.25">
      <c r="A1407" s="23"/>
      <c r="B1407" s="23" t="str">
        <f t="shared" si="6"/>
        <v/>
      </c>
      <c r="C1407" s="23"/>
      <c r="D1407" s="23"/>
      <c r="E1407" s="23"/>
      <c r="F1407" s="24"/>
      <c r="G1407" s="23"/>
      <c r="H1407" s="23"/>
      <c r="I1407" s="23"/>
      <c r="J1407" s="25"/>
      <c r="K1407" s="23"/>
      <c r="L1407" s="23"/>
      <c r="M1407" s="23"/>
      <c r="N1407" s="26"/>
      <c r="O1407" s="26"/>
      <c r="P1407" s="26"/>
      <c r="Q1407" s="26"/>
      <c r="R1407" s="26"/>
      <c r="S1407" s="26"/>
      <c r="T1407" s="26"/>
      <c r="U1407" s="26"/>
      <c r="V1407" s="26"/>
      <c r="W1407" s="27"/>
    </row>
    <row r="1408" spans="1:23" ht="15.75" customHeight="1" x14ac:dyDescent="0.25">
      <c r="A1408" s="23"/>
      <c r="B1408" s="23" t="str">
        <f t="shared" si="6"/>
        <v/>
      </c>
      <c r="C1408" s="23"/>
      <c r="D1408" s="23"/>
      <c r="E1408" s="23"/>
      <c r="F1408" s="24"/>
      <c r="G1408" s="23"/>
      <c r="H1408" s="23"/>
      <c r="I1408" s="23"/>
      <c r="J1408" s="25"/>
      <c r="K1408" s="23"/>
      <c r="L1408" s="23"/>
      <c r="M1408" s="23"/>
      <c r="N1408" s="26"/>
      <c r="O1408" s="26"/>
      <c r="P1408" s="26"/>
      <c r="Q1408" s="26"/>
      <c r="R1408" s="26"/>
      <c r="S1408" s="26"/>
      <c r="T1408" s="26"/>
      <c r="U1408" s="26"/>
      <c r="V1408" s="26"/>
      <c r="W1408" s="27"/>
    </row>
    <row r="1409" spans="1:23" ht="15.75" customHeight="1" x14ac:dyDescent="0.25">
      <c r="A1409" s="23"/>
      <c r="B1409" s="23" t="str">
        <f t="shared" si="6"/>
        <v/>
      </c>
      <c r="C1409" s="23"/>
      <c r="D1409" s="23"/>
      <c r="E1409" s="23"/>
      <c r="F1409" s="24"/>
      <c r="G1409" s="23"/>
      <c r="H1409" s="23"/>
      <c r="I1409" s="23"/>
      <c r="J1409" s="25"/>
      <c r="K1409" s="23"/>
      <c r="L1409" s="23"/>
      <c r="M1409" s="23"/>
      <c r="N1409" s="26"/>
      <c r="O1409" s="26"/>
      <c r="P1409" s="26"/>
      <c r="Q1409" s="26"/>
      <c r="R1409" s="26"/>
      <c r="S1409" s="26"/>
      <c r="T1409" s="26"/>
      <c r="U1409" s="26"/>
      <c r="V1409" s="26"/>
      <c r="W1409" s="27"/>
    </row>
    <row r="1410" spans="1:23" ht="15.75" customHeight="1" x14ac:dyDescent="0.25">
      <c r="A1410" s="23"/>
      <c r="B1410" s="23" t="str">
        <f t="shared" si="6"/>
        <v/>
      </c>
      <c r="C1410" s="23"/>
      <c r="D1410" s="23"/>
      <c r="E1410" s="23"/>
      <c r="F1410" s="24"/>
      <c r="G1410" s="23"/>
      <c r="H1410" s="23"/>
      <c r="I1410" s="23"/>
      <c r="J1410" s="25"/>
      <c r="K1410" s="23"/>
      <c r="L1410" s="23"/>
      <c r="M1410" s="23"/>
      <c r="N1410" s="26"/>
      <c r="O1410" s="26"/>
      <c r="P1410" s="26"/>
      <c r="Q1410" s="26"/>
      <c r="R1410" s="26"/>
      <c r="S1410" s="26"/>
      <c r="T1410" s="26"/>
      <c r="U1410" s="26"/>
      <c r="V1410" s="26"/>
      <c r="W1410" s="27"/>
    </row>
    <row r="1411" spans="1:23" ht="15.75" customHeight="1" x14ac:dyDescent="0.25">
      <c r="A1411" s="23"/>
      <c r="B1411" s="23" t="str">
        <f t="shared" si="6"/>
        <v/>
      </c>
      <c r="C1411" s="23"/>
      <c r="D1411" s="23"/>
      <c r="E1411" s="23"/>
      <c r="F1411" s="24"/>
      <c r="G1411" s="23"/>
      <c r="H1411" s="23"/>
      <c r="I1411" s="23"/>
      <c r="J1411" s="25"/>
      <c r="K1411" s="23"/>
      <c r="L1411" s="23"/>
      <c r="M1411" s="23"/>
      <c r="N1411" s="26"/>
      <c r="O1411" s="26"/>
      <c r="P1411" s="26"/>
      <c r="Q1411" s="26"/>
      <c r="R1411" s="26"/>
      <c r="S1411" s="26"/>
      <c r="T1411" s="26"/>
      <c r="U1411" s="26"/>
      <c r="V1411" s="26"/>
      <c r="W1411" s="27"/>
    </row>
    <row r="1412" spans="1:23" ht="15.75" customHeight="1" x14ac:dyDescent="0.25">
      <c r="A1412" s="23"/>
      <c r="B1412" s="23" t="str">
        <f t="shared" si="6"/>
        <v/>
      </c>
      <c r="C1412" s="23"/>
      <c r="D1412" s="23"/>
      <c r="E1412" s="23"/>
      <c r="F1412" s="24"/>
      <c r="G1412" s="23"/>
      <c r="H1412" s="23"/>
      <c r="I1412" s="23"/>
      <c r="J1412" s="25"/>
      <c r="K1412" s="23"/>
      <c r="L1412" s="23"/>
      <c r="M1412" s="23"/>
      <c r="N1412" s="26"/>
      <c r="O1412" s="26"/>
      <c r="P1412" s="26"/>
      <c r="Q1412" s="26"/>
      <c r="R1412" s="26"/>
      <c r="S1412" s="26"/>
      <c r="T1412" s="26"/>
      <c r="U1412" s="26"/>
      <c r="V1412" s="26"/>
      <c r="W1412" s="27"/>
    </row>
    <row r="1413" spans="1:23" ht="15.75" customHeight="1" x14ac:dyDescent="0.25">
      <c r="A1413" s="23"/>
      <c r="B1413" s="23" t="str">
        <f t="shared" si="6"/>
        <v/>
      </c>
      <c r="C1413" s="23"/>
      <c r="D1413" s="23"/>
      <c r="E1413" s="23"/>
      <c r="F1413" s="24"/>
      <c r="G1413" s="23"/>
      <c r="H1413" s="23"/>
      <c r="I1413" s="23"/>
      <c r="J1413" s="25"/>
      <c r="K1413" s="23"/>
      <c r="L1413" s="23"/>
      <c r="M1413" s="23"/>
      <c r="N1413" s="26"/>
      <c r="O1413" s="26"/>
      <c r="P1413" s="26"/>
      <c r="Q1413" s="26"/>
      <c r="R1413" s="26"/>
      <c r="S1413" s="26"/>
      <c r="T1413" s="26"/>
      <c r="U1413" s="26"/>
      <c r="V1413" s="26"/>
      <c r="W1413" s="27"/>
    </row>
    <row r="1414" spans="1:23" ht="15.75" customHeight="1" x14ac:dyDescent="0.25">
      <c r="A1414" s="23"/>
      <c r="B1414" s="23" t="str">
        <f t="shared" si="6"/>
        <v/>
      </c>
      <c r="C1414" s="23"/>
      <c r="D1414" s="23"/>
      <c r="E1414" s="23"/>
      <c r="F1414" s="24"/>
      <c r="G1414" s="23"/>
      <c r="H1414" s="23"/>
      <c r="I1414" s="23"/>
      <c r="J1414" s="25"/>
      <c r="K1414" s="23"/>
      <c r="L1414" s="23"/>
      <c r="M1414" s="23"/>
      <c r="N1414" s="26"/>
      <c r="O1414" s="26"/>
      <c r="P1414" s="26"/>
      <c r="Q1414" s="26"/>
      <c r="R1414" s="26"/>
      <c r="S1414" s="26"/>
      <c r="T1414" s="26"/>
      <c r="U1414" s="26"/>
      <c r="V1414" s="26"/>
      <c r="W1414" s="27"/>
    </row>
    <row r="1415" spans="1:23" ht="15.75" customHeight="1" x14ac:dyDescent="0.25">
      <c r="A1415" s="23"/>
      <c r="B1415" s="23" t="str">
        <f t="shared" si="6"/>
        <v/>
      </c>
      <c r="C1415" s="23"/>
      <c r="D1415" s="23"/>
      <c r="E1415" s="23"/>
      <c r="F1415" s="24"/>
      <c r="G1415" s="23"/>
      <c r="H1415" s="23"/>
      <c r="I1415" s="23"/>
      <c r="J1415" s="25"/>
      <c r="K1415" s="23"/>
      <c r="L1415" s="23"/>
      <c r="M1415" s="23"/>
      <c r="N1415" s="26"/>
      <c r="O1415" s="26"/>
      <c r="P1415" s="26"/>
      <c r="Q1415" s="26"/>
      <c r="R1415" s="26"/>
      <c r="S1415" s="26"/>
      <c r="T1415" s="26"/>
      <c r="U1415" s="26"/>
      <c r="V1415" s="26"/>
      <c r="W1415" s="27"/>
    </row>
    <row r="1416" spans="1:23" ht="15.75" customHeight="1" x14ac:dyDescent="0.25">
      <c r="A1416" s="23"/>
      <c r="B1416" s="23" t="str">
        <f t="shared" si="6"/>
        <v/>
      </c>
      <c r="C1416" s="23"/>
      <c r="D1416" s="23"/>
      <c r="E1416" s="23"/>
      <c r="F1416" s="24"/>
      <c r="G1416" s="23"/>
      <c r="H1416" s="23"/>
      <c r="I1416" s="23"/>
      <c r="J1416" s="25"/>
      <c r="K1416" s="23"/>
      <c r="L1416" s="23"/>
      <c r="M1416" s="23"/>
      <c r="N1416" s="26"/>
      <c r="O1416" s="26"/>
      <c r="P1416" s="26"/>
      <c r="Q1416" s="26"/>
      <c r="R1416" s="26"/>
      <c r="S1416" s="26"/>
      <c r="T1416" s="26"/>
      <c r="U1416" s="26"/>
      <c r="V1416" s="26"/>
      <c r="W1416" s="27"/>
    </row>
    <row r="1417" spans="1:23" ht="15.75" customHeight="1" x14ac:dyDescent="0.25">
      <c r="A1417" s="23"/>
      <c r="B1417" s="23" t="str">
        <f t="shared" si="6"/>
        <v/>
      </c>
      <c r="C1417" s="23"/>
      <c r="D1417" s="23"/>
      <c r="E1417" s="23"/>
      <c r="F1417" s="24"/>
      <c r="G1417" s="23"/>
      <c r="H1417" s="23"/>
      <c r="I1417" s="23"/>
      <c r="J1417" s="25"/>
      <c r="K1417" s="23"/>
      <c r="L1417" s="23"/>
      <c r="M1417" s="23"/>
      <c r="N1417" s="26"/>
      <c r="O1417" s="26"/>
      <c r="P1417" s="26"/>
      <c r="Q1417" s="26"/>
      <c r="R1417" s="26"/>
      <c r="S1417" s="26"/>
      <c r="T1417" s="26"/>
      <c r="U1417" s="26"/>
      <c r="V1417" s="26"/>
      <c r="W1417" s="27"/>
    </row>
    <row r="1418" spans="1:23" ht="15.75" customHeight="1" x14ac:dyDescent="0.25">
      <c r="A1418" s="23"/>
      <c r="B1418" s="23" t="str">
        <f t="shared" si="6"/>
        <v/>
      </c>
      <c r="C1418" s="23"/>
      <c r="D1418" s="23"/>
      <c r="E1418" s="23"/>
      <c r="F1418" s="24"/>
      <c r="G1418" s="23"/>
      <c r="H1418" s="23"/>
      <c r="I1418" s="23"/>
      <c r="J1418" s="25"/>
      <c r="K1418" s="23"/>
      <c r="L1418" s="23"/>
      <c r="M1418" s="23"/>
      <c r="N1418" s="26"/>
      <c r="O1418" s="26"/>
      <c r="P1418" s="26"/>
      <c r="Q1418" s="26"/>
      <c r="R1418" s="26"/>
      <c r="S1418" s="26"/>
      <c r="T1418" s="26"/>
      <c r="U1418" s="26"/>
      <c r="V1418" s="26"/>
      <c r="W1418" s="27"/>
    </row>
    <row r="1419" spans="1:23" ht="15.75" customHeight="1" x14ac:dyDescent="0.25">
      <c r="A1419" s="23"/>
      <c r="B1419" s="23" t="str">
        <f t="shared" si="6"/>
        <v/>
      </c>
      <c r="C1419" s="23"/>
      <c r="D1419" s="23"/>
      <c r="E1419" s="23"/>
      <c r="F1419" s="24"/>
      <c r="G1419" s="23"/>
      <c r="H1419" s="23"/>
      <c r="I1419" s="23"/>
      <c r="J1419" s="25"/>
      <c r="K1419" s="23"/>
      <c r="L1419" s="23"/>
      <c r="M1419" s="23"/>
      <c r="N1419" s="26"/>
      <c r="O1419" s="26"/>
      <c r="P1419" s="26"/>
      <c r="Q1419" s="26"/>
      <c r="R1419" s="26"/>
      <c r="S1419" s="26"/>
      <c r="T1419" s="26"/>
      <c r="U1419" s="26"/>
      <c r="V1419" s="26"/>
      <c r="W1419" s="27"/>
    </row>
    <row r="1420" spans="1:23" ht="15.75" customHeight="1" x14ac:dyDescent="0.25">
      <c r="A1420" s="23"/>
      <c r="B1420" s="23" t="str">
        <f t="shared" si="6"/>
        <v/>
      </c>
      <c r="C1420" s="23"/>
      <c r="D1420" s="23"/>
      <c r="E1420" s="23"/>
      <c r="F1420" s="24"/>
      <c r="G1420" s="23"/>
      <c r="H1420" s="23"/>
      <c r="I1420" s="23"/>
      <c r="J1420" s="25"/>
      <c r="K1420" s="23"/>
      <c r="L1420" s="23"/>
      <c r="M1420" s="23"/>
      <c r="N1420" s="26"/>
      <c r="O1420" s="26"/>
      <c r="P1420" s="26"/>
      <c r="Q1420" s="26"/>
      <c r="R1420" s="26"/>
      <c r="S1420" s="26"/>
      <c r="T1420" s="26"/>
      <c r="U1420" s="26"/>
      <c r="V1420" s="26"/>
      <c r="W1420" s="27"/>
    </row>
    <row r="1421" spans="1:23" ht="15.75" customHeight="1" x14ac:dyDescent="0.25">
      <c r="A1421" s="23"/>
      <c r="B1421" s="23" t="str">
        <f t="shared" si="6"/>
        <v/>
      </c>
      <c r="C1421" s="23"/>
      <c r="D1421" s="23"/>
      <c r="E1421" s="23"/>
      <c r="F1421" s="24"/>
      <c r="G1421" s="23"/>
      <c r="H1421" s="23"/>
      <c r="I1421" s="23"/>
      <c r="J1421" s="25"/>
      <c r="K1421" s="23"/>
      <c r="L1421" s="23"/>
      <c r="M1421" s="23"/>
      <c r="N1421" s="26"/>
      <c r="O1421" s="26"/>
      <c r="P1421" s="26"/>
      <c r="Q1421" s="26"/>
      <c r="R1421" s="26"/>
      <c r="S1421" s="26"/>
      <c r="T1421" s="26"/>
      <c r="U1421" s="26"/>
      <c r="V1421" s="26"/>
      <c r="W1421" s="27"/>
    </row>
    <row r="1422" spans="1:23" ht="15.75" customHeight="1" x14ac:dyDescent="0.25">
      <c r="A1422" s="23"/>
      <c r="B1422" s="23" t="str">
        <f t="shared" si="6"/>
        <v/>
      </c>
      <c r="C1422" s="23"/>
      <c r="D1422" s="23"/>
      <c r="E1422" s="23"/>
      <c r="F1422" s="24"/>
      <c r="G1422" s="23"/>
      <c r="H1422" s="23"/>
      <c r="I1422" s="23"/>
      <c r="J1422" s="25"/>
      <c r="K1422" s="23"/>
      <c r="L1422" s="23"/>
      <c r="M1422" s="23"/>
      <c r="N1422" s="26"/>
      <c r="O1422" s="26"/>
      <c r="P1422" s="26"/>
      <c r="Q1422" s="26"/>
      <c r="R1422" s="26"/>
      <c r="S1422" s="26"/>
      <c r="T1422" s="26"/>
      <c r="U1422" s="26"/>
      <c r="V1422" s="26"/>
      <c r="W1422" s="27"/>
    </row>
    <row r="1423" spans="1:23" ht="15.75" customHeight="1" x14ac:dyDescent="0.25">
      <c r="A1423" s="23"/>
      <c r="B1423" s="23" t="str">
        <f t="shared" si="6"/>
        <v/>
      </c>
      <c r="C1423" s="23"/>
      <c r="D1423" s="23"/>
      <c r="E1423" s="23"/>
      <c r="F1423" s="24"/>
      <c r="G1423" s="23"/>
      <c r="H1423" s="23"/>
      <c r="I1423" s="23"/>
      <c r="J1423" s="25"/>
      <c r="K1423" s="23"/>
      <c r="L1423" s="23"/>
      <c r="M1423" s="23"/>
      <c r="N1423" s="26"/>
      <c r="O1423" s="26"/>
      <c r="P1423" s="26"/>
      <c r="Q1423" s="26"/>
      <c r="R1423" s="26"/>
      <c r="S1423" s="26"/>
      <c r="T1423" s="26"/>
      <c r="U1423" s="26"/>
      <c r="V1423" s="26"/>
      <c r="W1423" s="27"/>
    </row>
    <row r="1424" spans="1:23" ht="15.75" customHeight="1" x14ac:dyDescent="0.25">
      <c r="A1424" s="23"/>
      <c r="B1424" s="23" t="str">
        <f t="shared" si="6"/>
        <v/>
      </c>
      <c r="C1424" s="23"/>
      <c r="D1424" s="23"/>
      <c r="E1424" s="23"/>
      <c r="F1424" s="24"/>
      <c r="G1424" s="23"/>
      <c r="H1424" s="23"/>
      <c r="I1424" s="23"/>
      <c r="J1424" s="25"/>
      <c r="K1424" s="23"/>
      <c r="L1424" s="23"/>
      <c r="M1424" s="23"/>
      <c r="N1424" s="26"/>
      <c r="O1424" s="26"/>
      <c r="P1424" s="26"/>
      <c r="Q1424" s="26"/>
      <c r="R1424" s="26"/>
      <c r="S1424" s="26"/>
      <c r="T1424" s="26"/>
      <c r="U1424" s="26"/>
      <c r="V1424" s="26"/>
      <c r="W1424" s="27"/>
    </row>
    <row r="1425" spans="1:23" ht="15.75" customHeight="1" x14ac:dyDescent="0.25">
      <c r="A1425" s="23"/>
      <c r="B1425" s="23" t="str">
        <f t="shared" si="6"/>
        <v/>
      </c>
      <c r="C1425" s="23"/>
      <c r="D1425" s="23"/>
      <c r="E1425" s="23"/>
      <c r="F1425" s="24"/>
      <c r="G1425" s="23"/>
      <c r="H1425" s="23"/>
      <c r="I1425" s="23"/>
      <c r="J1425" s="25"/>
      <c r="K1425" s="23"/>
      <c r="L1425" s="23"/>
      <c r="M1425" s="23"/>
      <c r="N1425" s="26"/>
      <c r="O1425" s="26"/>
      <c r="P1425" s="26"/>
      <c r="Q1425" s="26"/>
      <c r="R1425" s="26"/>
      <c r="S1425" s="26"/>
      <c r="T1425" s="26"/>
      <c r="U1425" s="26"/>
      <c r="V1425" s="26"/>
      <c r="W1425" s="27"/>
    </row>
    <row r="1426" spans="1:23" ht="15.75" customHeight="1" x14ac:dyDescent="0.25">
      <c r="A1426" s="23"/>
      <c r="B1426" s="23" t="str">
        <f t="shared" si="6"/>
        <v/>
      </c>
      <c r="C1426" s="23"/>
      <c r="D1426" s="23"/>
      <c r="E1426" s="23"/>
      <c r="F1426" s="24"/>
      <c r="G1426" s="23"/>
      <c r="H1426" s="23"/>
      <c r="I1426" s="23"/>
      <c r="J1426" s="25"/>
      <c r="K1426" s="23"/>
      <c r="L1426" s="23"/>
      <c r="M1426" s="23"/>
      <c r="N1426" s="26"/>
      <c r="O1426" s="26"/>
      <c r="P1426" s="26"/>
      <c r="Q1426" s="26"/>
      <c r="R1426" s="26"/>
      <c r="S1426" s="26"/>
      <c r="T1426" s="26"/>
      <c r="U1426" s="26"/>
      <c r="V1426" s="26"/>
      <c r="W1426" s="27"/>
    </row>
    <row r="1427" spans="1:23" ht="15.75" customHeight="1" x14ac:dyDescent="0.25">
      <c r="A1427" s="23"/>
      <c r="B1427" s="23" t="str">
        <f t="shared" si="6"/>
        <v/>
      </c>
      <c r="C1427" s="23"/>
      <c r="D1427" s="23"/>
      <c r="E1427" s="23"/>
      <c r="F1427" s="24"/>
      <c r="G1427" s="23"/>
      <c r="H1427" s="23"/>
      <c r="I1427" s="23"/>
      <c r="J1427" s="25"/>
      <c r="K1427" s="23"/>
      <c r="L1427" s="23"/>
      <c r="M1427" s="23"/>
      <c r="N1427" s="26"/>
      <c r="O1427" s="26"/>
      <c r="P1427" s="26"/>
      <c r="Q1427" s="26"/>
      <c r="R1427" s="26"/>
      <c r="S1427" s="26"/>
      <c r="T1427" s="26"/>
      <c r="U1427" s="26"/>
      <c r="V1427" s="26"/>
      <c r="W1427" s="27"/>
    </row>
    <row r="1428" spans="1:23" ht="15.75" customHeight="1" x14ac:dyDescent="0.25">
      <c r="A1428" s="23"/>
      <c r="B1428" s="23" t="str">
        <f t="shared" si="6"/>
        <v/>
      </c>
      <c r="C1428" s="23"/>
      <c r="D1428" s="23"/>
      <c r="E1428" s="23"/>
      <c r="F1428" s="24"/>
      <c r="G1428" s="23"/>
      <c r="H1428" s="23"/>
      <c r="I1428" s="23"/>
      <c r="J1428" s="25"/>
      <c r="K1428" s="23"/>
      <c r="L1428" s="23"/>
      <c r="M1428" s="23"/>
      <c r="N1428" s="26"/>
      <c r="O1428" s="26"/>
      <c r="P1428" s="26"/>
      <c r="Q1428" s="26"/>
      <c r="R1428" s="26"/>
      <c r="S1428" s="26"/>
      <c r="T1428" s="26"/>
      <c r="U1428" s="26"/>
      <c r="V1428" s="26"/>
      <c r="W1428" s="27"/>
    </row>
    <row r="1429" spans="1:23" ht="15.75" customHeight="1" x14ac:dyDescent="0.25">
      <c r="A1429" s="23"/>
      <c r="B1429" s="23" t="str">
        <f t="shared" si="6"/>
        <v/>
      </c>
      <c r="C1429" s="23"/>
      <c r="D1429" s="23"/>
      <c r="E1429" s="23"/>
      <c r="F1429" s="24"/>
      <c r="G1429" s="23"/>
      <c r="H1429" s="23"/>
      <c r="I1429" s="23"/>
      <c r="J1429" s="25"/>
      <c r="K1429" s="23"/>
      <c r="L1429" s="23"/>
      <c r="M1429" s="23"/>
      <c r="N1429" s="26"/>
      <c r="O1429" s="26"/>
      <c r="P1429" s="26"/>
      <c r="Q1429" s="26"/>
      <c r="R1429" s="26"/>
      <c r="S1429" s="26"/>
      <c r="T1429" s="26"/>
      <c r="U1429" s="26"/>
      <c r="V1429" s="26"/>
      <c r="W1429" s="27"/>
    </row>
    <row r="1430" spans="1:23" ht="15.75" customHeight="1" x14ac:dyDescent="0.25">
      <c r="A1430" s="23"/>
      <c r="B1430" s="23" t="str">
        <f t="shared" si="6"/>
        <v/>
      </c>
      <c r="C1430" s="23"/>
      <c r="D1430" s="23"/>
      <c r="E1430" s="23"/>
      <c r="F1430" s="24"/>
      <c r="G1430" s="23"/>
      <c r="H1430" s="23"/>
      <c r="I1430" s="23"/>
      <c r="J1430" s="25"/>
      <c r="K1430" s="23"/>
      <c r="L1430" s="23"/>
      <c r="M1430" s="23"/>
      <c r="N1430" s="26"/>
      <c r="O1430" s="26"/>
      <c r="P1430" s="26"/>
      <c r="Q1430" s="26"/>
      <c r="R1430" s="26"/>
      <c r="S1430" s="26"/>
      <c r="T1430" s="26"/>
      <c r="U1430" s="26"/>
      <c r="V1430" s="26"/>
      <c r="W1430" s="27"/>
    </row>
    <row r="1431" spans="1:23" ht="15.75" customHeight="1" x14ac:dyDescent="0.25">
      <c r="A1431" s="23"/>
      <c r="B1431" s="23" t="str">
        <f t="shared" si="6"/>
        <v/>
      </c>
      <c r="C1431" s="23"/>
      <c r="D1431" s="23"/>
      <c r="E1431" s="23"/>
      <c r="F1431" s="24"/>
      <c r="G1431" s="23"/>
      <c r="H1431" s="23"/>
      <c r="I1431" s="23"/>
      <c r="J1431" s="25"/>
      <c r="K1431" s="23"/>
      <c r="L1431" s="23"/>
      <c r="M1431" s="23"/>
      <c r="N1431" s="26"/>
      <c r="O1431" s="26"/>
      <c r="P1431" s="26"/>
      <c r="Q1431" s="26"/>
      <c r="R1431" s="26"/>
      <c r="S1431" s="26"/>
      <c r="T1431" s="26"/>
      <c r="U1431" s="26"/>
      <c r="V1431" s="26"/>
      <c r="W1431" s="27"/>
    </row>
    <row r="1432" spans="1:23" ht="15.75" customHeight="1" x14ac:dyDescent="0.25">
      <c r="A1432" s="23"/>
      <c r="B1432" s="23" t="str">
        <f t="shared" si="6"/>
        <v/>
      </c>
      <c r="C1432" s="23"/>
      <c r="D1432" s="23"/>
      <c r="E1432" s="23"/>
      <c r="F1432" s="24"/>
      <c r="G1432" s="23"/>
      <c r="H1432" s="23"/>
      <c r="I1432" s="23"/>
      <c r="J1432" s="25"/>
      <c r="K1432" s="23"/>
      <c r="L1432" s="23"/>
      <c r="M1432" s="23"/>
      <c r="N1432" s="26"/>
      <c r="O1432" s="26"/>
      <c r="P1432" s="26"/>
      <c r="Q1432" s="26"/>
      <c r="R1432" s="26"/>
      <c r="S1432" s="26"/>
      <c r="T1432" s="26"/>
      <c r="U1432" s="26"/>
      <c r="V1432" s="26"/>
      <c r="W1432" s="27"/>
    </row>
    <row r="1433" spans="1:23" ht="15.75" customHeight="1" x14ac:dyDescent="0.25">
      <c r="A1433" s="23"/>
      <c r="B1433" s="23" t="str">
        <f t="shared" si="6"/>
        <v/>
      </c>
      <c r="C1433" s="23"/>
      <c r="D1433" s="23"/>
      <c r="E1433" s="23"/>
      <c r="F1433" s="24"/>
      <c r="G1433" s="23"/>
      <c r="H1433" s="23"/>
      <c r="I1433" s="23"/>
      <c r="J1433" s="25"/>
      <c r="K1433" s="23"/>
      <c r="L1433" s="23"/>
      <c r="M1433" s="23"/>
      <c r="N1433" s="26"/>
      <c r="O1433" s="26"/>
      <c r="P1433" s="26"/>
      <c r="Q1433" s="26"/>
      <c r="R1433" s="26"/>
      <c r="S1433" s="26"/>
      <c r="T1433" s="26"/>
      <c r="U1433" s="26"/>
      <c r="V1433" s="26"/>
      <c r="W1433" s="27"/>
    </row>
    <row r="1434" spans="1:23" ht="15.75" customHeight="1" x14ac:dyDescent="0.25">
      <c r="A1434" s="23"/>
      <c r="B1434" s="23" t="str">
        <f t="shared" si="6"/>
        <v/>
      </c>
      <c r="C1434" s="23"/>
      <c r="D1434" s="23"/>
      <c r="E1434" s="23"/>
      <c r="F1434" s="24"/>
      <c r="G1434" s="23"/>
      <c r="H1434" s="23"/>
      <c r="I1434" s="23"/>
      <c r="J1434" s="25"/>
      <c r="K1434" s="23"/>
      <c r="L1434" s="23"/>
      <c r="M1434" s="23"/>
      <c r="N1434" s="26"/>
      <c r="O1434" s="26"/>
      <c r="P1434" s="26"/>
      <c r="Q1434" s="26"/>
      <c r="R1434" s="26"/>
      <c r="S1434" s="26"/>
      <c r="T1434" s="26"/>
      <c r="U1434" s="26"/>
      <c r="V1434" s="26"/>
      <c r="W1434" s="27"/>
    </row>
    <row r="1435" spans="1:23" ht="15.75" customHeight="1" x14ac:dyDescent="0.25">
      <c r="A1435" s="23"/>
      <c r="B1435" s="23" t="str">
        <f t="shared" si="6"/>
        <v/>
      </c>
      <c r="C1435" s="23"/>
      <c r="D1435" s="23"/>
      <c r="E1435" s="23"/>
      <c r="F1435" s="24"/>
      <c r="G1435" s="23"/>
      <c r="H1435" s="23"/>
      <c r="I1435" s="23"/>
      <c r="J1435" s="25"/>
      <c r="K1435" s="23"/>
      <c r="L1435" s="23"/>
      <c r="M1435" s="23"/>
      <c r="N1435" s="26"/>
      <c r="O1435" s="26"/>
      <c r="P1435" s="26"/>
      <c r="Q1435" s="26"/>
      <c r="R1435" s="26"/>
      <c r="S1435" s="26"/>
      <c r="T1435" s="26"/>
      <c r="U1435" s="26"/>
      <c r="V1435" s="26"/>
      <c r="W1435" s="27"/>
    </row>
    <row r="1436" spans="1:23" ht="15.75" customHeight="1" x14ac:dyDescent="0.25">
      <c r="A1436" s="23"/>
      <c r="B1436" s="23" t="str">
        <f t="shared" si="6"/>
        <v/>
      </c>
      <c r="C1436" s="23"/>
      <c r="D1436" s="23"/>
      <c r="E1436" s="23"/>
      <c r="F1436" s="24"/>
      <c r="G1436" s="23"/>
      <c r="H1436" s="23"/>
      <c r="I1436" s="23"/>
      <c r="J1436" s="25"/>
      <c r="K1436" s="23"/>
      <c r="L1436" s="23"/>
      <c r="M1436" s="23"/>
      <c r="N1436" s="26"/>
      <c r="O1436" s="26"/>
      <c r="P1436" s="26"/>
      <c r="Q1436" s="26"/>
      <c r="R1436" s="26"/>
      <c r="S1436" s="26"/>
      <c r="T1436" s="26"/>
      <c r="U1436" s="26"/>
      <c r="V1436" s="26"/>
      <c r="W1436" s="27"/>
    </row>
    <row r="1437" spans="1:23" ht="15.75" customHeight="1" x14ac:dyDescent="0.25">
      <c r="A1437" s="23"/>
      <c r="B1437" s="23" t="str">
        <f t="shared" si="6"/>
        <v/>
      </c>
      <c r="C1437" s="23"/>
      <c r="D1437" s="23"/>
      <c r="E1437" s="23"/>
      <c r="F1437" s="24"/>
      <c r="G1437" s="23"/>
      <c r="H1437" s="23"/>
      <c r="I1437" s="23"/>
      <c r="J1437" s="25"/>
      <c r="K1437" s="23"/>
      <c r="L1437" s="23"/>
      <c r="M1437" s="23"/>
      <c r="N1437" s="26"/>
      <c r="O1437" s="26"/>
      <c r="P1437" s="26"/>
      <c r="Q1437" s="26"/>
      <c r="R1437" s="26"/>
      <c r="S1437" s="26"/>
      <c r="T1437" s="26"/>
      <c r="U1437" s="26"/>
      <c r="V1437" s="26"/>
      <c r="W1437" s="27"/>
    </row>
    <row r="1438" spans="1:23" ht="15.75" customHeight="1" x14ac:dyDescent="0.25">
      <c r="A1438" s="23"/>
      <c r="B1438" s="23" t="str">
        <f t="shared" si="6"/>
        <v/>
      </c>
      <c r="C1438" s="23"/>
      <c r="D1438" s="23"/>
      <c r="E1438" s="23"/>
      <c r="F1438" s="24"/>
      <c r="G1438" s="23"/>
      <c r="H1438" s="23"/>
      <c r="I1438" s="23"/>
      <c r="J1438" s="25"/>
      <c r="K1438" s="23"/>
      <c r="L1438" s="23"/>
      <c r="M1438" s="23"/>
      <c r="N1438" s="26"/>
      <c r="O1438" s="26"/>
      <c r="P1438" s="26"/>
      <c r="Q1438" s="26"/>
      <c r="R1438" s="26"/>
      <c r="S1438" s="26"/>
      <c r="T1438" s="26"/>
      <c r="U1438" s="26"/>
      <c r="V1438" s="26"/>
      <c r="W1438" s="27"/>
    </row>
    <row r="1439" spans="1:23" ht="15.75" customHeight="1" x14ac:dyDescent="0.25">
      <c r="A1439" s="23"/>
      <c r="B1439" s="23" t="str">
        <f t="shared" si="6"/>
        <v/>
      </c>
      <c r="C1439" s="23"/>
      <c r="D1439" s="23"/>
      <c r="E1439" s="23"/>
      <c r="F1439" s="24"/>
      <c r="G1439" s="23"/>
      <c r="H1439" s="23"/>
      <c r="I1439" s="23"/>
      <c r="J1439" s="25"/>
      <c r="K1439" s="23"/>
      <c r="L1439" s="23"/>
      <c r="M1439" s="23"/>
      <c r="N1439" s="26"/>
      <c r="O1439" s="26"/>
      <c r="P1439" s="26"/>
      <c r="Q1439" s="26"/>
      <c r="R1439" s="26"/>
      <c r="S1439" s="26"/>
      <c r="T1439" s="26"/>
      <c r="U1439" s="26"/>
      <c r="V1439" s="26"/>
      <c r="W1439" s="27"/>
    </row>
    <row r="1440" spans="1:23" ht="15.75" customHeight="1" x14ac:dyDescent="0.25">
      <c r="A1440" s="23"/>
      <c r="B1440" s="23" t="str">
        <f t="shared" si="6"/>
        <v/>
      </c>
      <c r="C1440" s="23"/>
      <c r="D1440" s="23"/>
      <c r="E1440" s="23"/>
      <c r="F1440" s="24"/>
      <c r="G1440" s="23"/>
      <c r="H1440" s="23"/>
      <c r="I1440" s="23"/>
      <c r="J1440" s="25"/>
      <c r="K1440" s="23"/>
      <c r="L1440" s="23"/>
      <c r="M1440" s="23"/>
      <c r="N1440" s="26"/>
      <c r="O1440" s="26"/>
      <c r="P1440" s="26"/>
      <c r="Q1440" s="26"/>
      <c r="R1440" s="26"/>
      <c r="S1440" s="26"/>
      <c r="T1440" s="26"/>
      <c r="U1440" s="26"/>
      <c r="V1440" s="26"/>
      <c r="W1440" s="27"/>
    </row>
    <row r="1441" spans="1:23" ht="15.75" customHeight="1" x14ac:dyDescent="0.25">
      <c r="A1441" s="23"/>
      <c r="B1441" s="23" t="str">
        <f t="shared" si="6"/>
        <v/>
      </c>
      <c r="C1441" s="23"/>
      <c r="D1441" s="23"/>
      <c r="E1441" s="23"/>
      <c r="F1441" s="24"/>
      <c r="G1441" s="23"/>
      <c r="H1441" s="23"/>
      <c r="I1441" s="23"/>
      <c r="J1441" s="25"/>
      <c r="K1441" s="23"/>
      <c r="L1441" s="23"/>
      <c r="M1441" s="23"/>
      <c r="N1441" s="26"/>
      <c r="O1441" s="26"/>
      <c r="P1441" s="26"/>
      <c r="Q1441" s="26"/>
      <c r="R1441" s="26"/>
      <c r="S1441" s="26"/>
      <c r="T1441" s="26"/>
      <c r="U1441" s="26"/>
      <c r="V1441" s="26"/>
      <c r="W1441" s="27"/>
    </row>
    <row r="1442" spans="1:23" ht="15.75" customHeight="1" x14ac:dyDescent="0.25">
      <c r="A1442" s="23"/>
      <c r="B1442" s="23" t="str">
        <f t="shared" si="6"/>
        <v/>
      </c>
      <c r="C1442" s="23"/>
      <c r="D1442" s="23"/>
      <c r="E1442" s="23"/>
      <c r="F1442" s="24"/>
      <c r="G1442" s="23"/>
      <c r="H1442" s="23"/>
      <c r="I1442" s="23"/>
      <c r="J1442" s="25"/>
      <c r="K1442" s="23"/>
      <c r="L1442" s="23"/>
      <c r="M1442" s="23"/>
      <c r="N1442" s="26"/>
      <c r="O1442" s="26"/>
      <c r="P1442" s="26"/>
      <c r="Q1442" s="26"/>
      <c r="R1442" s="26"/>
      <c r="S1442" s="26"/>
      <c r="T1442" s="26"/>
      <c r="U1442" s="26"/>
      <c r="V1442" s="26"/>
      <c r="W1442" s="27"/>
    </row>
    <row r="1443" spans="1:23" ht="15.75" customHeight="1" x14ac:dyDescent="0.25">
      <c r="A1443" s="23"/>
      <c r="B1443" s="23" t="str">
        <f t="shared" si="6"/>
        <v/>
      </c>
      <c r="C1443" s="23"/>
      <c r="D1443" s="23"/>
      <c r="E1443" s="23"/>
      <c r="F1443" s="24"/>
      <c r="G1443" s="23"/>
      <c r="H1443" s="23"/>
      <c r="I1443" s="23"/>
      <c r="J1443" s="25"/>
      <c r="K1443" s="23"/>
      <c r="L1443" s="23"/>
      <c r="M1443" s="23"/>
      <c r="N1443" s="26"/>
      <c r="O1443" s="26"/>
      <c r="P1443" s="26"/>
      <c r="Q1443" s="26"/>
      <c r="R1443" s="26"/>
      <c r="S1443" s="26"/>
      <c r="T1443" s="26"/>
      <c r="U1443" s="26"/>
      <c r="V1443" s="26"/>
      <c r="W1443" s="27"/>
    </row>
    <row r="1444" spans="1:23" ht="15.75" customHeight="1" x14ac:dyDescent="0.25">
      <c r="A1444" s="23"/>
      <c r="B1444" s="23" t="str">
        <f t="shared" si="6"/>
        <v/>
      </c>
      <c r="C1444" s="23"/>
      <c r="D1444" s="23"/>
      <c r="E1444" s="23"/>
      <c r="F1444" s="24"/>
      <c r="G1444" s="23"/>
      <c r="H1444" s="23"/>
      <c r="I1444" s="23"/>
      <c r="J1444" s="25"/>
      <c r="K1444" s="23"/>
      <c r="L1444" s="23"/>
      <c r="M1444" s="23"/>
      <c r="N1444" s="26"/>
      <c r="O1444" s="26"/>
      <c r="P1444" s="26"/>
      <c r="Q1444" s="26"/>
      <c r="R1444" s="26"/>
      <c r="S1444" s="26"/>
      <c r="T1444" s="26"/>
      <c r="U1444" s="26"/>
      <c r="V1444" s="26"/>
      <c r="W1444" s="27"/>
    </row>
    <row r="1445" spans="1:23" ht="15.75" customHeight="1" x14ac:dyDescent="0.25">
      <c r="A1445" s="23"/>
      <c r="B1445" s="23" t="str">
        <f t="shared" si="6"/>
        <v/>
      </c>
      <c r="C1445" s="23"/>
      <c r="D1445" s="23"/>
      <c r="E1445" s="23"/>
      <c r="F1445" s="24"/>
      <c r="G1445" s="23"/>
      <c r="H1445" s="23"/>
      <c r="I1445" s="23"/>
      <c r="J1445" s="25"/>
      <c r="K1445" s="23"/>
      <c r="L1445" s="23"/>
      <c r="M1445" s="23"/>
      <c r="N1445" s="26"/>
      <c r="O1445" s="26"/>
      <c r="P1445" s="26"/>
      <c r="Q1445" s="26"/>
      <c r="R1445" s="26"/>
      <c r="S1445" s="26"/>
      <c r="T1445" s="26"/>
      <c r="U1445" s="26"/>
      <c r="V1445" s="26"/>
      <c r="W1445" s="27"/>
    </row>
    <row r="1446" spans="1:23" ht="15.75" customHeight="1" x14ac:dyDescent="0.25">
      <c r="A1446" s="23"/>
      <c r="B1446" s="23" t="str">
        <f t="shared" si="6"/>
        <v/>
      </c>
      <c r="C1446" s="23"/>
      <c r="D1446" s="23"/>
      <c r="E1446" s="23"/>
      <c r="F1446" s="24"/>
      <c r="G1446" s="23"/>
      <c r="H1446" s="23"/>
      <c r="I1446" s="23"/>
      <c r="J1446" s="25"/>
      <c r="K1446" s="23"/>
      <c r="L1446" s="23"/>
      <c r="M1446" s="23"/>
      <c r="N1446" s="26"/>
      <c r="O1446" s="26"/>
      <c r="P1446" s="26"/>
      <c r="Q1446" s="26"/>
      <c r="R1446" s="26"/>
      <c r="S1446" s="26"/>
      <c r="T1446" s="26"/>
      <c r="U1446" s="26"/>
      <c r="V1446" s="26"/>
      <c r="W1446" s="27"/>
    </row>
    <row r="1447" spans="1:23" ht="15.75" customHeight="1" x14ac:dyDescent="0.25">
      <c r="A1447" s="23"/>
      <c r="B1447" s="23" t="str">
        <f t="shared" si="6"/>
        <v/>
      </c>
      <c r="C1447" s="23"/>
      <c r="D1447" s="23"/>
      <c r="E1447" s="23"/>
      <c r="F1447" s="24"/>
      <c r="G1447" s="23"/>
      <c r="H1447" s="23"/>
      <c r="I1447" s="23"/>
      <c r="J1447" s="25"/>
      <c r="K1447" s="23"/>
      <c r="L1447" s="23"/>
      <c r="M1447" s="23"/>
      <c r="N1447" s="26"/>
      <c r="O1447" s="26"/>
      <c r="P1447" s="26"/>
      <c r="Q1447" s="26"/>
      <c r="R1447" s="26"/>
      <c r="S1447" s="26"/>
      <c r="T1447" s="26"/>
      <c r="U1447" s="26"/>
      <c r="V1447" s="26"/>
      <c r="W1447" s="27"/>
    </row>
    <row r="1448" spans="1:23" ht="15.75" customHeight="1" x14ac:dyDescent="0.25">
      <c r="A1448" s="23"/>
      <c r="B1448" s="23" t="str">
        <f t="shared" si="6"/>
        <v/>
      </c>
      <c r="C1448" s="23"/>
      <c r="D1448" s="23"/>
      <c r="E1448" s="23"/>
      <c r="F1448" s="24"/>
      <c r="G1448" s="23"/>
      <c r="H1448" s="23"/>
      <c r="I1448" s="23"/>
      <c r="J1448" s="25"/>
      <c r="K1448" s="23"/>
      <c r="L1448" s="23"/>
      <c r="M1448" s="23"/>
      <c r="N1448" s="26"/>
      <c r="O1448" s="26"/>
      <c r="P1448" s="26"/>
      <c r="Q1448" s="26"/>
      <c r="R1448" s="26"/>
      <c r="S1448" s="26"/>
      <c r="T1448" s="26"/>
      <c r="U1448" s="26"/>
      <c r="V1448" s="26"/>
      <c r="W1448" s="27"/>
    </row>
    <row r="1449" spans="1:23" ht="15.75" customHeight="1" x14ac:dyDescent="0.25">
      <c r="A1449" s="23"/>
      <c r="B1449" s="23" t="str">
        <f t="shared" si="6"/>
        <v/>
      </c>
      <c r="C1449" s="23"/>
      <c r="D1449" s="23"/>
      <c r="E1449" s="23"/>
      <c r="F1449" s="24"/>
      <c r="G1449" s="23"/>
      <c r="H1449" s="23"/>
      <c r="I1449" s="23"/>
      <c r="J1449" s="25"/>
      <c r="K1449" s="23"/>
      <c r="L1449" s="23"/>
      <c r="M1449" s="23"/>
      <c r="N1449" s="26"/>
      <c r="O1449" s="26"/>
      <c r="P1449" s="26"/>
      <c r="Q1449" s="26"/>
      <c r="R1449" s="26"/>
      <c r="S1449" s="26"/>
      <c r="T1449" s="26"/>
      <c r="U1449" s="26"/>
      <c r="V1449" s="26"/>
      <c r="W1449" s="27"/>
    </row>
    <row r="1450" spans="1:23" ht="15.75" customHeight="1" x14ac:dyDescent="0.25">
      <c r="A1450" s="23"/>
      <c r="B1450" s="23" t="str">
        <f t="shared" si="6"/>
        <v/>
      </c>
      <c r="C1450" s="23"/>
      <c r="D1450" s="23"/>
      <c r="E1450" s="23"/>
      <c r="F1450" s="24"/>
      <c r="G1450" s="23"/>
      <c r="H1450" s="23"/>
      <c r="I1450" s="23"/>
      <c r="J1450" s="25"/>
      <c r="K1450" s="23"/>
      <c r="L1450" s="23"/>
      <c r="M1450" s="23"/>
      <c r="N1450" s="26"/>
      <c r="O1450" s="26"/>
      <c r="P1450" s="26"/>
      <c r="Q1450" s="26"/>
      <c r="R1450" s="26"/>
      <c r="S1450" s="26"/>
      <c r="T1450" s="26"/>
      <c r="U1450" s="26"/>
      <c r="V1450" s="26"/>
      <c r="W1450" s="27"/>
    </row>
    <row r="1451" spans="1:23" ht="15.75" customHeight="1" x14ac:dyDescent="0.25">
      <c r="A1451" s="23"/>
      <c r="B1451" s="23" t="str">
        <f t="shared" si="6"/>
        <v/>
      </c>
      <c r="C1451" s="23"/>
      <c r="D1451" s="23"/>
      <c r="E1451" s="23"/>
      <c r="F1451" s="24"/>
      <c r="G1451" s="23"/>
      <c r="H1451" s="23"/>
      <c r="I1451" s="23"/>
      <c r="J1451" s="25"/>
      <c r="K1451" s="23"/>
      <c r="L1451" s="23"/>
      <c r="M1451" s="23"/>
      <c r="N1451" s="26"/>
      <c r="O1451" s="26"/>
      <c r="P1451" s="26"/>
      <c r="Q1451" s="26"/>
      <c r="R1451" s="26"/>
      <c r="S1451" s="26"/>
      <c r="T1451" s="26"/>
      <c r="U1451" s="26"/>
      <c r="V1451" s="26"/>
      <c r="W1451" s="27"/>
    </row>
    <row r="1452" spans="1:23" ht="15.75" customHeight="1" x14ac:dyDescent="0.25">
      <c r="A1452" s="23"/>
      <c r="B1452" s="23" t="str">
        <f t="shared" si="6"/>
        <v/>
      </c>
      <c r="C1452" s="23"/>
      <c r="D1452" s="23"/>
      <c r="E1452" s="23"/>
      <c r="F1452" s="24"/>
      <c r="G1452" s="23"/>
      <c r="H1452" s="23"/>
      <c r="I1452" s="23"/>
      <c r="J1452" s="25"/>
      <c r="K1452" s="23"/>
      <c r="L1452" s="23"/>
      <c r="M1452" s="23"/>
      <c r="N1452" s="26"/>
      <c r="O1452" s="26"/>
      <c r="P1452" s="26"/>
      <c r="Q1452" s="26"/>
      <c r="R1452" s="26"/>
      <c r="S1452" s="26"/>
      <c r="T1452" s="26"/>
      <c r="U1452" s="26"/>
      <c r="V1452" s="26"/>
      <c r="W1452" s="27"/>
    </row>
    <row r="1453" spans="1:23" ht="15.75" customHeight="1" x14ac:dyDescent="0.25">
      <c r="A1453" s="23"/>
      <c r="B1453" s="23" t="str">
        <f t="shared" si="6"/>
        <v/>
      </c>
      <c r="C1453" s="23"/>
      <c r="D1453" s="23"/>
      <c r="E1453" s="23"/>
      <c r="F1453" s="24"/>
      <c r="G1453" s="23"/>
      <c r="H1453" s="23"/>
      <c r="I1453" s="23"/>
      <c r="J1453" s="25"/>
      <c r="K1453" s="23"/>
      <c r="L1453" s="23"/>
      <c r="M1453" s="23"/>
      <c r="N1453" s="26"/>
      <c r="O1453" s="26"/>
      <c r="P1453" s="26"/>
      <c r="Q1453" s="26"/>
      <c r="R1453" s="26"/>
      <c r="S1453" s="26"/>
      <c r="T1453" s="26"/>
      <c r="U1453" s="26"/>
      <c r="V1453" s="26"/>
      <c r="W1453" s="27"/>
    </row>
    <row r="1454" spans="1:23" ht="15.75" customHeight="1" x14ac:dyDescent="0.25">
      <c r="A1454" s="23"/>
      <c r="B1454" s="23" t="str">
        <f t="shared" si="6"/>
        <v/>
      </c>
      <c r="C1454" s="23"/>
      <c r="D1454" s="23"/>
      <c r="E1454" s="23"/>
      <c r="F1454" s="24"/>
      <c r="G1454" s="23"/>
      <c r="H1454" s="23"/>
      <c r="I1454" s="23"/>
      <c r="J1454" s="25"/>
      <c r="K1454" s="23"/>
      <c r="L1454" s="23"/>
      <c r="M1454" s="23"/>
      <c r="N1454" s="26"/>
      <c r="O1454" s="26"/>
      <c r="P1454" s="26"/>
      <c r="Q1454" s="26"/>
      <c r="R1454" s="26"/>
      <c r="S1454" s="26"/>
      <c r="T1454" s="26"/>
      <c r="U1454" s="26"/>
      <c r="V1454" s="26"/>
      <c r="W1454" s="27"/>
    </row>
    <row r="1455" spans="1:23" ht="15.75" customHeight="1" x14ac:dyDescent="0.25">
      <c r="A1455" s="23"/>
      <c r="B1455" s="23" t="str">
        <f t="shared" si="6"/>
        <v/>
      </c>
      <c r="C1455" s="23"/>
      <c r="D1455" s="23"/>
      <c r="E1455" s="23"/>
      <c r="F1455" s="24"/>
      <c r="G1455" s="23"/>
      <c r="H1455" s="23"/>
      <c r="I1455" s="23"/>
      <c r="J1455" s="25"/>
      <c r="K1455" s="23"/>
      <c r="L1455" s="23"/>
      <c r="M1455" s="23"/>
      <c r="N1455" s="26"/>
      <c r="O1455" s="26"/>
      <c r="P1455" s="26"/>
      <c r="Q1455" s="26"/>
      <c r="R1455" s="26"/>
      <c r="S1455" s="26"/>
      <c r="T1455" s="26"/>
      <c r="U1455" s="26"/>
      <c r="V1455" s="26"/>
      <c r="W1455" s="27"/>
    </row>
    <row r="1456" spans="1:23" ht="15.75" customHeight="1" x14ac:dyDescent="0.25">
      <c r="A1456" s="23"/>
      <c r="B1456" s="23" t="str">
        <f t="shared" si="6"/>
        <v/>
      </c>
      <c r="C1456" s="23"/>
      <c r="D1456" s="23"/>
      <c r="E1456" s="23"/>
      <c r="F1456" s="24"/>
      <c r="G1456" s="23"/>
      <c r="H1456" s="23"/>
      <c r="I1456" s="23"/>
      <c r="J1456" s="25"/>
      <c r="K1456" s="23"/>
      <c r="L1456" s="23"/>
      <c r="M1456" s="23"/>
      <c r="N1456" s="26"/>
      <c r="O1456" s="26"/>
      <c r="P1456" s="26"/>
      <c r="Q1456" s="26"/>
      <c r="R1456" s="26"/>
      <c r="S1456" s="26"/>
      <c r="T1456" s="26"/>
      <c r="U1456" s="26"/>
      <c r="V1456" s="26"/>
      <c r="W1456" s="27"/>
    </row>
    <row r="1457" spans="1:23" ht="15.75" customHeight="1" x14ac:dyDescent="0.25">
      <c r="A1457" s="23"/>
      <c r="B1457" s="23" t="str">
        <f t="shared" si="6"/>
        <v/>
      </c>
      <c r="C1457" s="23"/>
      <c r="D1457" s="23"/>
      <c r="E1457" s="23"/>
      <c r="F1457" s="24"/>
      <c r="G1457" s="23"/>
      <c r="H1457" s="23"/>
      <c r="I1457" s="23"/>
      <c r="J1457" s="25"/>
      <c r="K1457" s="23"/>
      <c r="L1457" s="23"/>
      <c r="M1457" s="23"/>
      <c r="N1457" s="26"/>
      <c r="O1457" s="26"/>
      <c r="P1457" s="26"/>
      <c r="Q1457" s="26"/>
      <c r="R1457" s="26"/>
      <c r="S1457" s="26"/>
      <c r="T1457" s="26"/>
      <c r="U1457" s="26"/>
      <c r="V1457" s="26"/>
      <c r="W1457" s="27"/>
    </row>
    <row r="1458" spans="1:23" ht="15.75" customHeight="1" x14ac:dyDescent="0.25">
      <c r="A1458" s="23"/>
      <c r="B1458" s="23" t="str">
        <f t="shared" si="6"/>
        <v/>
      </c>
      <c r="C1458" s="23"/>
      <c r="D1458" s="23"/>
      <c r="E1458" s="23"/>
      <c r="F1458" s="24"/>
      <c r="G1458" s="23"/>
      <c r="H1458" s="23"/>
      <c r="I1458" s="23"/>
      <c r="J1458" s="25"/>
      <c r="K1458" s="23"/>
      <c r="L1458" s="23"/>
      <c r="M1458" s="23"/>
      <c r="N1458" s="26"/>
      <c r="O1458" s="26"/>
      <c r="P1458" s="26"/>
      <c r="Q1458" s="26"/>
      <c r="R1458" s="26"/>
      <c r="S1458" s="26"/>
      <c r="T1458" s="26"/>
      <c r="U1458" s="26"/>
      <c r="V1458" s="26"/>
      <c r="W1458" s="27"/>
    </row>
    <row r="1459" spans="1:23" ht="15.75" customHeight="1" x14ac:dyDescent="0.25">
      <c r="A1459" s="23"/>
      <c r="B1459" s="23" t="str">
        <f t="shared" si="6"/>
        <v/>
      </c>
      <c r="C1459" s="23"/>
      <c r="D1459" s="23"/>
      <c r="E1459" s="23"/>
      <c r="F1459" s="24"/>
      <c r="G1459" s="23"/>
      <c r="H1459" s="23"/>
      <c r="I1459" s="23"/>
      <c r="J1459" s="25"/>
      <c r="K1459" s="23"/>
      <c r="L1459" s="23"/>
      <c r="M1459" s="23"/>
      <c r="N1459" s="26"/>
      <c r="O1459" s="26"/>
      <c r="P1459" s="26"/>
      <c r="Q1459" s="26"/>
      <c r="R1459" s="26"/>
      <c r="S1459" s="26"/>
      <c r="T1459" s="26"/>
      <c r="U1459" s="26"/>
      <c r="V1459" s="26"/>
      <c r="W1459" s="27"/>
    </row>
    <row r="1460" spans="1:23" ht="15.75" customHeight="1" x14ac:dyDescent="0.25">
      <c r="A1460" s="23"/>
      <c r="B1460" s="23" t="str">
        <f t="shared" si="6"/>
        <v/>
      </c>
      <c r="C1460" s="23"/>
      <c r="D1460" s="23"/>
      <c r="E1460" s="23"/>
      <c r="F1460" s="24"/>
      <c r="G1460" s="23"/>
      <c r="H1460" s="23"/>
      <c r="I1460" s="23"/>
      <c r="J1460" s="25"/>
      <c r="K1460" s="23"/>
      <c r="L1460" s="23"/>
      <c r="M1460" s="23"/>
      <c r="N1460" s="26"/>
      <c r="O1460" s="26"/>
      <c r="P1460" s="26"/>
      <c r="Q1460" s="26"/>
      <c r="R1460" s="26"/>
      <c r="S1460" s="26"/>
      <c r="T1460" s="26"/>
      <c r="U1460" s="26"/>
      <c r="V1460" s="26"/>
      <c r="W1460" s="27"/>
    </row>
    <row r="1461" spans="1:23" ht="15.75" customHeight="1" x14ac:dyDescent="0.25">
      <c r="A1461" s="23"/>
      <c r="B1461" s="23" t="str">
        <f t="shared" si="6"/>
        <v/>
      </c>
      <c r="C1461" s="23"/>
      <c r="D1461" s="23"/>
      <c r="E1461" s="23"/>
      <c r="F1461" s="24"/>
      <c r="G1461" s="23"/>
      <c r="H1461" s="23"/>
      <c r="I1461" s="23"/>
      <c r="J1461" s="25"/>
      <c r="K1461" s="23"/>
      <c r="L1461" s="23"/>
      <c r="M1461" s="23"/>
      <c r="N1461" s="26"/>
      <c r="O1461" s="26"/>
      <c r="P1461" s="26"/>
      <c r="Q1461" s="26"/>
      <c r="R1461" s="26"/>
      <c r="S1461" s="26"/>
      <c r="T1461" s="26"/>
      <c r="U1461" s="26"/>
      <c r="V1461" s="26"/>
      <c r="W1461" s="27"/>
    </row>
    <row r="1462" spans="1:23" ht="15.75" customHeight="1" x14ac:dyDescent="0.25">
      <c r="A1462" s="23"/>
      <c r="B1462" s="23" t="str">
        <f t="shared" si="6"/>
        <v/>
      </c>
      <c r="C1462" s="23"/>
      <c r="D1462" s="23"/>
      <c r="E1462" s="23"/>
      <c r="F1462" s="24"/>
      <c r="G1462" s="23"/>
      <c r="H1462" s="23"/>
      <c r="I1462" s="23"/>
      <c r="J1462" s="25"/>
      <c r="K1462" s="23"/>
      <c r="L1462" s="23"/>
      <c r="M1462" s="23"/>
      <c r="N1462" s="26"/>
      <c r="O1462" s="26"/>
      <c r="P1462" s="26"/>
      <c r="Q1462" s="26"/>
      <c r="R1462" s="26"/>
      <c r="S1462" s="26"/>
      <c r="T1462" s="26"/>
      <c r="U1462" s="26"/>
      <c r="V1462" s="26"/>
      <c r="W1462" s="27"/>
    </row>
    <row r="1463" spans="1:23" ht="15.75" customHeight="1" x14ac:dyDescent="0.25">
      <c r="A1463" s="23"/>
      <c r="B1463" s="23" t="str">
        <f t="shared" si="6"/>
        <v/>
      </c>
      <c r="C1463" s="23"/>
      <c r="D1463" s="23"/>
      <c r="E1463" s="23"/>
      <c r="F1463" s="24"/>
      <c r="G1463" s="23"/>
      <c r="H1463" s="23"/>
      <c r="I1463" s="23"/>
      <c r="J1463" s="25"/>
      <c r="K1463" s="23"/>
      <c r="L1463" s="23"/>
      <c r="M1463" s="23"/>
      <c r="N1463" s="26"/>
      <c r="O1463" s="26"/>
      <c r="P1463" s="26"/>
      <c r="Q1463" s="26"/>
      <c r="R1463" s="26"/>
      <c r="S1463" s="26"/>
      <c r="T1463" s="26"/>
      <c r="U1463" s="26"/>
      <c r="V1463" s="26"/>
      <c r="W1463" s="27"/>
    </row>
    <row r="1464" spans="1:23" ht="15.75" customHeight="1" x14ac:dyDescent="0.25">
      <c r="A1464" s="23"/>
      <c r="B1464" s="23" t="str">
        <f t="shared" si="6"/>
        <v/>
      </c>
      <c r="C1464" s="23"/>
      <c r="D1464" s="23"/>
      <c r="E1464" s="23"/>
      <c r="F1464" s="24"/>
      <c r="G1464" s="23"/>
      <c r="H1464" s="23"/>
      <c r="I1464" s="23"/>
      <c r="J1464" s="25"/>
      <c r="K1464" s="23"/>
      <c r="L1464" s="23"/>
      <c r="M1464" s="23"/>
      <c r="N1464" s="26"/>
      <c r="O1464" s="26"/>
      <c r="P1464" s="26"/>
      <c r="Q1464" s="26"/>
      <c r="R1464" s="26"/>
      <c r="S1464" s="26"/>
      <c r="T1464" s="26"/>
      <c r="U1464" s="26"/>
      <c r="V1464" s="26"/>
      <c r="W1464" s="27"/>
    </row>
    <row r="1465" spans="1:23" ht="15.75" customHeight="1" x14ac:dyDescent="0.25">
      <c r="A1465" s="23"/>
      <c r="B1465" s="23" t="str">
        <f t="shared" si="6"/>
        <v/>
      </c>
      <c r="C1465" s="23"/>
      <c r="D1465" s="23"/>
      <c r="E1465" s="23"/>
      <c r="F1465" s="24"/>
      <c r="G1465" s="23"/>
      <c r="H1465" s="23"/>
      <c r="I1465" s="23"/>
      <c r="J1465" s="25"/>
      <c r="K1465" s="23"/>
      <c r="L1465" s="23"/>
      <c r="M1465" s="23"/>
      <c r="N1465" s="26"/>
      <c r="O1465" s="26"/>
      <c r="P1465" s="26"/>
      <c r="Q1465" s="26"/>
      <c r="R1465" s="26"/>
      <c r="S1465" s="26"/>
      <c r="T1465" s="26"/>
      <c r="U1465" s="26"/>
      <c r="V1465" s="26"/>
      <c r="W1465" s="27"/>
    </row>
    <row r="1466" spans="1:23" ht="15.75" customHeight="1" x14ac:dyDescent="0.25">
      <c r="A1466" s="23"/>
      <c r="B1466" s="23" t="str">
        <f t="shared" si="6"/>
        <v/>
      </c>
      <c r="C1466" s="23"/>
      <c r="D1466" s="23"/>
      <c r="E1466" s="23"/>
      <c r="F1466" s="24"/>
      <c r="G1466" s="23"/>
      <c r="H1466" s="23"/>
      <c r="I1466" s="23"/>
      <c r="J1466" s="25"/>
      <c r="K1466" s="23"/>
      <c r="L1466" s="23"/>
      <c r="M1466" s="23"/>
      <c r="N1466" s="26"/>
      <c r="O1466" s="26"/>
      <c r="P1466" s="26"/>
      <c r="Q1466" s="26"/>
      <c r="R1466" s="26"/>
      <c r="S1466" s="26"/>
      <c r="T1466" s="26"/>
      <c r="U1466" s="26"/>
      <c r="V1466" s="26"/>
      <c r="W1466" s="27"/>
    </row>
    <row r="1467" spans="1:23" ht="15.75" customHeight="1" x14ac:dyDescent="0.25">
      <c r="A1467" s="23"/>
      <c r="B1467" s="23" t="str">
        <f t="shared" si="6"/>
        <v/>
      </c>
      <c r="C1467" s="23"/>
      <c r="D1467" s="23"/>
      <c r="E1467" s="23"/>
      <c r="F1467" s="24"/>
      <c r="G1467" s="23"/>
      <c r="H1467" s="23"/>
      <c r="I1467" s="23"/>
      <c r="J1467" s="25"/>
      <c r="K1467" s="23"/>
      <c r="L1467" s="23"/>
      <c r="M1467" s="23"/>
      <c r="N1467" s="26"/>
      <c r="O1467" s="26"/>
      <c r="P1467" s="26"/>
      <c r="Q1467" s="26"/>
      <c r="R1467" s="26"/>
      <c r="S1467" s="26"/>
      <c r="T1467" s="26"/>
      <c r="U1467" s="26"/>
      <c r="V1467" s="26"/>
      <c r="W1467" s="27"/>
    </row>
    <row r="1468" spans="1:23" ht="15.75" customHeight="1" x14ac:dyDescent="0.25">
      <c r="A1468" s="23"/>
      <c r="B1468" s="23" t="str">
        <f t="shared" si="6"/>
        <v/>
      </c>
      <c r="C1468" s="23"/>
      <c r="D1468" s="23"/>
      <c r="E1468" s="23"/>
      <c r="F1468" s="24"/>
      <c r="G1468" s="23"/>
      <c r="H1468" s="23"/>
      <c r="I1468" s="23"/>
      <c r="J1468" s="25"/>
      <c r="K1468" s="23"/>
      <c r="L1468" s="23"/>
      <c r="M1468" s="23"/>
      <c r="N1468" s="26"/>
      <c r="O1468" s="26"/>
      <c r="P1468" s="26"/>
      <c r="Q1468" s="26"/>
      <c r="R1468" s="26"/>
      <c r="S1468" s="26"/>
      <c r="T1468" s="26"/>
      <c r="U1468" s="26"/>
      <c r="V1468" s="26"/>
      <c r="W1468" s="27"/>
    </row>
    <row r="1469" spans="1:23" ht="15.75" customHeight="1" x14ac:dyDescent="0.25">
      <c r="A1469" s="23"/>
      <c r="B1469" s="23" t="str">
        <f t="shared" si="6"/>
        <v/>
      </c>
      <c r="C1469" s="23"/>
      <c r="D1469" s="23"/>
      <c r="E1469" s="23"/>
      <c r="F1469" s="24"/>
      <c r="G1469" s="23"/>
      <c r="H1469" s="23"/>
      <c r="I1469" s="23"/>
      <c r="J1469" s="25"/>
      <c r="K1469" s="23"/>
      <c r="L1469" s="23"/>
      <c r="M1469" s="23"/>
      <c r="N1469" s="26"/>
      <c r="O1469" s="26"/>
      <c r="P1469" s="26"/>
      <c r="Q1469" s="26"/>
      <c r="R1469" s="26"/>
      <c r="S1469" s="26"/>
      <c r="T1469" s="26"/>
      <c r="U1469" s="26"/>
      <c r="V1469" s="26"/>
      <c r="W1469" s="27"/>
    </row>
    <row r="1470" spans="1:23" ht="15.75" customHeight="1" x14ac:dyDescent="0.25">
      <c r="A1470" s="23"/>
      <c r="B1470" s="23" t="str">
        <f t="shared" si="6"/>
        <v/>
      </c>
      <c r="C1470" s="23"/>
      <c r="D1470" s="23"/>
      <c r="E1470" s="23"/>
      <c r="F1470" s="24"/>
      <c r="G1470" s="23"/>
      <c r="H1470" s="23"/>
      <c r="I1470" s="23"/>
      <c r="J1470" s="25"/>
      <c r="K1470" s="23"/>
      <c r="L1470" s="23"/>
      <c r="M1470" s="23"/>
      <c r="N1470" s="26"/>
      <c r="O1470" s="26"/>
      <c r="P1470" s="26"/>
      <c r="Q1470" s="26"/>
      <c r="R1470" s="26"/>
      <c r="S1470" s="26"/>
      <c r="T1470" s="26"/>
      <c r="U1470" s="26"/>
      <c r="V1470" s="26"/>
      <c r="W1470" s="27"/>
    </row>
    <row r="1471" spans="1:23" ht="15.75" customHeight="1" x14ac:dyDescent="0.25">
      <c r="A1471" s="23"/>
      <c r="B1471" s="23" t="str">
        <f t="shared" si="6"/>
        <v/>
      </c>
      <c r="C1471" s="23"/>
      <c r="D1471" s="23"/>
      <c r="E1471" s="23"/>
      <c r="F1471" s="24"/>
      <c r="G1471" s="23"/>
      <c r="H1471" s="23"/>
      <c r="I1471" s="23"/>
      <c r="J1471" s="25"/>
      <c r="K1471" s="23"/>
      <c r="L1471" s="23"/>
      <c r="M1471" s="23"/>
      <c r="N1471" s="26"/>
      <c r="O1471" s="26"/>
      <c r="P1471" s="26"/>
      <c r="Q1471" s="26"/>
      <c r="R1471" s="26"/>
      <c r="S1471" s="26"/>
      <c r="T1471" s="26"/>
      <c r="U1471" s="26"/>
      <c r="V1471" s="26"/>
      <c r="W1471" s="27"/>
    </row>
    <row r="1472" spans="1:23" ht="15.75" customHeight="1" x14ac:dyDescent="0.25">
      <c r="A1472" s="23"/>
      <c r="B1472" s="23" t="str">
        <f t="shared" si="6"/>
        <v/>
      </c>
      <c r="C1472" s="23"/>
      <c r="D1472" s="23"/>
      <c r="E1472" s="23"/>
      <c r="F1472" s="24"/>
      <c r="G1472" s="23"/>
      <c r="H1472" s="23"/>
      <c r="I1472" s="23"/>
      <c r="J1472" s="25"/>
      <c r="K1472" s="23"/>
      <c r="L1472" s="23"/>
      <c r="M1472" s="23"/>
      <c r="N1472" s="26"/>
      <c r="O1472" s="26"/>
      <c r="P1472" s="26"/>
      <c r="Q1472" s="26"/>
      <c r="R1472" s="26"/>
      <c r="S1472" s="26"/>
      <c r="T1472" s="26"/>
      <c r="U1472" s="26"/>
      <c r="V1472" s="26"/>
      <c r="W1472" s="27"/>
    </row>
    <row r="1473" spans="1:23" ht="15.75" customHeight="1" x14ac:dyDescent="0.25">
      <c r="A1473" s="23"/>
      <c r="B1473" s="23" t="str">
        <f t="shared" si="6"/>
        <v/>
      </c>
      <c r="C1473" s="23"/>
      <c r="D1473" s="23"/>
      <c r="E1473" s="23"/>
      <c r="F1473" s="24"/>
      <c r="G1473" s="23"/>
      <c r="H1473" s="23"/>
      <c r="I1473" s="23"/>
      <c r="J1473" s="25"/>
      <c r="K1473" s="23"/>
      <c r="L1473" s="23"/>
      <c r="M1473" s="23"/>
      <c r="N1473" s="26"/>
      <c r="O1473" s="26"/>
      <c r="P1473" s="26"/>
      <c r="Q1473" s="26"/>
      <c r="R1473" s="26"/>
      <c r="S1473" s="26"/>
      <c r="T1473" s="26"/>
      <c r="U1473" s="26"/>
      <c r="V1473" s="26"/>
      <c r="W1473" s="27"/>
    </row>
    <row r="1474" spans="1:23" ht="15.75" customHeight="1" x14ac:dyDescent="0.25">
      <c r="A1474" s="23"/>
      <c r="B1474" s="23" t="str">
        <f t="shared" si="6"/>
        <v/>
      </c>
      <c r="C1474" s="23"/>
      <c r="D1474" s="23"/>
      <c r="E1474" s="23"/>
      <c r="F1474" s="24"/>
      <c r="G1474" s="23"/>
      <c r="H1474" s="23"/>
      <c r="I1474" s="23"/>
      <c r="J1474" s="25"/>
      <c r="K1474" s="23"/>
      <c r="L1474" s="23"/>
      <c r="M1474" s="23"/>
      <c r="N1474" s="26"/>
      <c r="O1474" s="26"/>
      <c r="P1474" s="26"/>
      <c r="Q1474" s="26"/>
      <c r="R1474" s="26"/>
      <c r="S1474" s="26"/>
      <c r="T1474" s="26"/>
      <c r="U1474" s="26"/>
      <c r="V1474" s="26"/>
      <c r="W1474" s="27"/>
    </row>
    <row r="1475" spans="1:23" ht="15.75" customHeight="1" x14ac:dyDescent="0.25">
      <c r="A1475" s="23"/>
      <c r="B1475" s="23" t="str">
        <f t="shared" si="6"/>
        <v/>
      </c>
      <c r="C1475" s="23"/>
      <c r="D1475" s="23"/>
      <c r="E1475" s="23"/>
      <c r="F1475" s="24"/>
      <c r="G1475" s="23"/>
      <c r="H1475" s="23"/>
      <c r="I1475" s="23"/>
      <c r="J1475" s="25"/>
      <c r="K1475" s="23"/>
      <c r="L1475" s="23"/>
      <c r="M1475" s="23"/>
      <c r="N1475" s="26"/>
      <c r="O1475" s="26"/>
      <c r="P1475" s="26"/>
      <c r="Q1475" s="26"/>
      <c r="R1475" s="26"/>
      <c r="S1475" s="26"/>
      <c r="T1475" s="26"/>
      <c r="U1475" s="26"/>
      <c r="V1475" s="26"/>
      <c r="W1475" s="27"/>
    </row>
    <row r="1476" spans="1:23" ht="15.75" customHeight="1" x14ac:dyDescent="0.25">
      <c r="A1476" s="23"/>
      <c r="B1476" s="23" t="str">
        <f t="shared" si="6"/>
        <v/>
      </c>
      <c r="C1476" s="23"/>
      <c r="D1476" s="23"/>
      <c r="E1476" s="23"/>
      <c r="F1476" s="24"/>
      <c r="G1476" s="23"/>
      <c r="H1476" s="23"/>
      <c r="I1476" s="23"/>
      <c r="J1476" s="25"/>
      <c r="K1476" s="23"/>
      <c r="L1476" s="23"/>
      <c r="M1476" s="23"/>
      <c r="N1476" s="26"/>
      <c r="O1476" s="26"/>
      <c r="P1476" s="26"/>
      <c r="Q1476" s="26"/>
      <c r="R1476" s="26"/>
      <c r="S1476" s="26"/>
      <c r="T1476" s="26"/>
      <c r="U1476" s="26"/>
      <c r="V1476" s="26"/>
      <c r="W1476" s="27"/>
    </row>
    <row r="1477" spans="1:23" ht="15.75" customHeight="1" x14ac:dyDescent="0.25">
      <c r="A1477" s="23"/>
      <c r="B1477" s="23" t="str">
        <f t="shared" si="6"/>
        <v/>
      </c>
      <c r="C1477" s="23"/>
      <c r="D1477" s="23"/>
      <c r="E1477" s="23"/>
      <c r="F1477" s="24"/>
      <c r="G1477" s="23"/>
      <c r="H1477" s="23"/>
      <c r="I1477" s="23"/>
      <c r="J1477" s="25"/>
      <c r="K1477" s="23"/>
      <c r="L1477" s="23"/>
      <c r="M1477" s="23"/>
      <c r="N1477" s="26"/>
      <c r="O1477" s="26"/>
      <c r="P1477" s="26"/>
      <c r="Q1477" s="26"/>
      <c r="R1477" s="26"/>
      <c r="S1477" s="26"/>
      <c r="T1477" s="26"/>
      <c r="U1477" s="26"/>
      <c r="V1477" s="26"/>
      <c r="W1477" s="27"/>
    </row>
    <row r="1478" spans="1:23" ht="15.75" customHeight="1" x14ac:dyDescent="0.25">
      <c r="A1478" s="23"/>
      <c r="B1478" s="23" t="str">
        <f t="shared" si="6"/>
        <v/>
      </c>
      <c r="C1478" s="23"/>
      <c r="D1478" s="23"/>
      <c r="E1478" s="23"/>
      <c r="F1478" s="24"/>
      <c r="G1478" s="23"/>
      <c r="H1478" s="23"/>
      <c r="I1478" s="23"/>
      <c r="J1478" s="25"/>
      <c r="K1478" s="23"/>
      <c r="L1478" s="23"/>
      <c r="M1478" s="23"/>
      <c r="N1478" s="26"/>
      <c r="O1478" s="26"/>
      <c r="P1478" s="26"/>
      <c r="Q1478" s="26"/>
      <c r="R1478" s="26"/>
      <c r="S1478" s="26"/>
      <c r="T1478" s="26"/>
      <c r="U1478" s="26"/>
      <c r="V1478" s="26"/>
      <c r="W1478" s="27"/>
    </row>
    <row r="1479" spans="1:23" ht="15.75" customHeight="1" x14ac:dyDescent="0.25">
      <c r="A1479" s="23"/>
      <c r="B1479" s="23" t="str">
        <f t="shared" si="6"/>
        <v/>
      </c>
      <c r="C1479" s="23"/>
      <c r="D1479" s="23"/>
      <c r="E1479" s="23"/>
      <c r="F1479" s="24"/>
      <c r="G1479" s="23"/>
      <c r="H1479" s="23"/>
      <c r="I1479" s="23"/>
      <c r="J1479" s="25"/>
      <c r="K1479" s="23"/>
      <c r="L1479" s="23"/>
      <c r="M1479" s="23"/>
      <c r="N1479" s="26"/>
      <c r="O1479" s="26"/>
      <c r="P1479" s="26"/>
      <c r="Q1479" s="26"/>
      <c r="R1479" s="26"/>
      <c r="S1479" s="26"/>
      <c r="T1479" s="26"/>
      <c r="U1479" s="26"/>
      <c r="V1479" s="26"/>
      <c r="W1479" s="27"/>
    </row>
    <row r="1480" spans="1:23" ht="15.75" customHeight="1" x14ac:dyDescent="0.25">
      <c r="A1480" s="23"/>
      <c r="B1480" s="23" t="str">
        <f t="shared" si="6"/>
        <v/>
      </c>
      <c r="C1480" s="23"/>
      <c r="D1480" s="23"/>
      <c r="E1480" s="23"/>
      <c r="F1480" s="24"/>
      <c r="G1480" s="23"/>
      <c r="H1480" s="23"/>
      <c r="I1480" s="23"/>
      <c r="J1480" s="25"/>
      <c r="K1480" s="23"/>
      <c r="L1480" s="23"/>
      <c r="M1480" s="23"/>
      <c r="N1480" s="26"/>
      <c r="O1480" s="26"/>
      <c r="P1480" s="26"/>
      <c r="Q1480" s="26"/>
      <c r="R1480" s="26"/>
      <c r="S1480" s="26"/>
      <c r="T1480" s="26"/>
      <c r="U1480" s="26"/>
      <c r="V1480" s="26"/>
      <c r="W1480" s="27"/>
    </row>
    <row r="1481" spans="1:23" ht="15.75" customHeight="1" x14ac:dyDescent="0.25">
      <c r="A1481" s="23"/>
      <c r="B1481" s="23" t="str">
        <f t="shared" si="6"/>
        <v/>
      </c>
      <c r="C1481" s="23"/>
      <c r="D1481" s="23"/>
      <c r="E1481" s="23"/>
      <c r="F1481" s="24"/>
      <c r="G1481" s="23"/>
      <c r="H1481" s="23"/>
      <c r="I1481" s="23"/>
      <c r="J1481" s="25"/>
      <c r="K1481" s="23"/>
      <c r="L1481" s="23"/>
      <c r="M1481" s="23"/>
      <c r="N1481" s="26"/>
      <c r="O1481" s="26"/>
      <c r="P1481" s="26"/>
      <c r="Q1481" s="26"/>
      <c r="R1481" s="26"/>
      <c r="S1481" s="26"/>
      <c r="T1481" s="26"/>
      <c r="U1481" s="26"/>
      <c r="V1481" s="26"/>
      <c r="W1481" s="27"/>
    </row>
    <row r="1482" spans="1:23" ht="15.75" customHeight="1" x14ac:dyDescent="0.25">
      <c r="A1482" s="23"/>
      <c r="B1482" s="23" t="str">
        <f t="shared" si="6"/>
        <v/>
      </c>
      <c r="C1482" s="23"/>
      <c r="D1482" s="23"/>
      <c r="E1482" s="23"/>
      <c r="F1482" s="24"/>
      <c r="G1482" s="23"/>
      <c r="H1482" s="23"/>
      <c r="I1482" s="23"/>
      <c r="J1482" s="25"/>
      <c r="K1482" s="23"/>
      <c r="L1482" s="23"/>
      <c r="M1482" s="23"/>
      <c r="N1482" s="26"/>
      <c r="O1482" s="26"/>
      <c r="P1482" s="26"/>
      <c r="Q1482" s="26"/>
      <c r="R1482" s="26"/>
      <c r="S1482" s="26"/>
      <c r="T1482" s="26"/>
      <c r="U1482" s="26"/>
      <c r="V1482" s="26"/>
      <c r="W1482" s="27"/>
    </row>
    <row r="1483" spans="1:23" ht="15.75" customHeight="1" x14ac:dyDescent="0.25">
      <c r="A1483" s="23"/>
      <c r="B1483" s="23" t="str">
        <f t="shared" si="6"/>
        <v/>
      </c>
      <c r="C1483" s="23"/>
      <c r="D1483" s="23"/>
      <c r="E1483" s="23"/>
      <c r="F1483" s="24"/>
      <c r="G1483" s="23"/>
      <c r="H1483" s="23"/>
      <c r="I1483" s="23"/>
      <c r="J1483" s="25"/>
      <c r="K1483" s="23"/>
      <c r="L1483" s="23"/>
      <c r="M1483" s="23"/>
      <c r="N1483" s="26"/>
      <c r="O1483" s="26"/>
      <c r="P1483" s="26"/>
      <c r="Q1483" s="26"/>
      <c r="R1483" s="26"/>
      <c r="S1483" s="26"/>
      <c r="T1483" s="26"/>
      <c r="U1483" s="26"/>
      <c r="V1483" s="26"/>
      <c r="W1483" s="27"/>
    </row>
    <row r="1484" spans="1:23" ht="15.75" customHeight="1" x14ac:dyDescent="0.25">
      <c r="A1484" s="23"/>
      <c r="B1484" s="23" t="str">
        <f t="shared" si="6"/>
        <v/>
      </c>
      <c r="C1484" s="23"/>
      <c r="D1484" s="23"/>
      <c r="E1484" s="23"/>
      <c r="F1484" s="24"/>
      <c r="G1484" s="23"/>
      <c r="H1484" s="23"/>
      <c r="I1484" s="23"/>
      <c r="J1484" s="25"/>
      <c r="K1484" s="23"/>
      <c r="L1484" s="23"/>
      <c r="M1484" s="23"/>
      <c r="N1484" s="26"/>
      <c r="O1484" s="26"/>
      <c r="P1484" s="26"/>
      <c r="Q1484" s="26"/>
      <c r="R1484" s="26"/>
      <c r="S1484" s="26"/>
      <c r="T1484" s="26"/>
      <c r="U1484" s="26"/>
      <c r="V1484" s="26"/>
      <c r="W1484" s="27"/>
    </row>
    <row r="1485" spans="1:23" ht="15.75" customHeight="1" x14ac:dyDescent="0.25">
      <c r="A1485" s="23"/>
      <c r="B1485" s="23" t="str">
        <f t="shared" si="6"/>
        <v/>
      </c>
      <c r="C1485" s="23"/>
      <c r="D1485" s="23"/>
      <c r="E1485" s="23"/>
      <c r="F1485" s="24"/>
      <c r="G1485" s="23"/>
      <c r="H1485" s="23"/>
      <c r="I1485" s="23"/>
      <c r="J1485" s="25"/>
      <c r="K1485" s="23"/>
      <c r="L1485" s="23"/>
      <c r="M1485" s="23"/>
      <c r="N1485" s="26"/>
      <c r="O1485" s="26"/>
      <c r="P1485" s="26"/>
      <c r="Q1485" s="26"/>
      <c r="R1485" s="26"/>
      <c r="S1485" s="26"/>
      <c r="T1485" s="26"/>
      <c r="U1485" s="26"/>
      <c r="V1485" s="26"/>
      <c r="W1485" s="27"/>
    </row>
    <row r="1486" spans="1:23" ht="15.75" customHeight="1" x14ac:dyDescent="0.25">
      <c r="A1486" s="23"/>
      <c r="B1486" s="23" t="str">
        <f t="shared" si="6"/>
        <v/>
      </c>
      <c r="C1486" s="23"/>
      <c r="D1486" s="23"/>
      <c r="E1486" s="23"/>
      <c r="F1486" s="24"/>
      <c r="G1486" s="23"/>
      <c r="H1486" s="23"/>
      <c r="I1486" s="23"/>
      <c r="J1486" s="25"/>
      <c r="K1486" s="23"/>
      <c r="L1486" s="23"/>
      <c r="M1486" s="23"/>
      <c r="N1486" s="26"/>
      <c r="O1486" s="26"/>
      <c r="P1486" s="26"/>
      <c r="Q1486" s="26"/>
      <c r="R1486" s="26"/>
      <c r="S1486" s="26"/>
      <c r="T1486" s="26"/>
      <c r="U1486" s="26"/>
      <c r="V1486" s="26"/>
      <c r="W1486" s="27"/>
    </row>
    <row r="1487" spans="1:23" ht="15.75" customHeight="1" x14ac:dyDescent="0.25">
      <c r="A1487" s="23"/>
      <c r="B1487" s="23" t="str">
        <f t="shared" si="6"/>
        <v/>
      </c>
      <c r="C1487" s="23"/>
      <c r="D1487" s="23"/>
      <c r="E1487" s="23"/>
      <c r="F1487" s="24"/>
      <c r="G1487" s="23"/>
      <c r="H1487" s="23"/>
      <c r="I1487" s="23"/>
      <c r="J1487" s="25"/>
      <c r="K1487" s="23"/>
      <c r="L1487" s="23"/>
      <c r="M1487" s="23"/>
      <c r="N1487" s="26"/>
      <c r="O1487" s="26"/>
      <c r="P1487" s="26"/>
      <c r="Q1487" s="26"/>
      <c r="R1487" s="26"/>
      <c r="S1487" s="26"/>
      <c r="T1487" s="26"/>
      <c r="U1487" s="26"/>
      <c r="V1487" s="26"/>
      <c r="W1487" s="27"/>
    </row>
    <row r="1488" spans="1:23" ht="15.75" customHeight="1" x14ac:dyDescent="0.25">
      <c r="A1488" s="23"/>
      <c r="B1488" s="23" t="str">
        <f t="shared" si="6"/>
        <v/>
      </c>
      <c r="C1488" s="23"/>
      <c r="D1488" s="23"/>
      <c r="E1488" s="23"/>
      <c r="F1488" s="24"/>
      <c r="G1488" s="23"/>
      <c r="H1488" s="23"/>
      <c r="I1488" s="23"/>
      <c r="J1488" s="25"/>
      <c r="K1488" s="23"/>
      <c r="L1488" s="23"/>
      <c r="M1488" s="23"/>
      <c r="N1488" s="26"/>
      <c r="O1488" s="26"/>
      <c r="P1488" s="26"/>
      <c r="Q1488" s="26"/>
      <c r="R1488" s="26"/>
      <c r="S1488" s="26"/>
      <c r="T1488" s="26"/>
      <c r="U1488" s="26"/>
      <c r="V1488" s="26"/>
      <c r="W1488" s="27"/>
    </row>
    <row r="1489" spans="1:23" ht="15.75" customHeight="1" x14ac:dyDescent="0.25">
      <c r="A1489" s="23"/>
      <c r="B1489" s="23" t="str">
        <f t="shared" si="6"/>
        <v/>
      </c>
      <c r="C1489" s="23"/>
      <c r="D1489" s="23"/>
      <c r="E1489" s="23"/>
      <c r="F1489" s="24"/>
      <c r="G1489" s="23"/>
      <c r="H1489" s="23"/>
      <c r="I1489" s="23"/>
      <c r="J1489" s="25"/>
      <c r="K1489" s="23"/>
      <c r="L1489" s="23"/>
      <c r="M1489" s="23"/>
      <c r="N1489" s="26"/>
      <c r="O1489" s="26"/>
      <c r="P1489" s="26"/>
      <c r="Q1489" s="26"/>
      <c r="R1489" s="26"/>
      <c r="S1489" s="26"/>
      <c r="T1489" s="26"/>
      <c r="U1489" s="26"/>
      <c r="V1489" s="26"/>
      <c r="W1489" s="27"/>
    </row>
    <row r="1490" spans="1:23" ht="15.75" customHeight="1" x14ac:dyDescent="0.25">
      <c r="A1490" s="23"/>
      <c r="B1490" s="23" t="str">
        <f t="shared" si="6"/>
        <v/>
      </c>
      <c r="C1490" s="23"/>
      <c r="D1490" s="23"/>
      <c r="E1490" s="23"/>
      <c r="F1490" s="24"/>
      <c r="G1490" s="23"/>
      <c r="H1490" s="23"/>
      <c r="I1490" s="23"/>
      <c r="J1490" s="25"/>
      <c r="K1490" s="23"/>
      <c r="L1490" s="23"/>
      <c r="M1490" s="23"/>
      <c r="N1490" s="26"/>
      <c r="O1490" s="26"/>
      <c r="P1490" s="26"/>
      <c r="Q1490" s="26"/>
      <c r="R1490" s="26"/>
      <c r="S1490" s="26"/>
      <c r="T1490" s="26"/>
      <c r="U1490" s="26"/>
      <c r="V1490" s="26"/>
      <c r="W1490" s="27"/>
    </row>
    <row r="1491" spans="1:23" ht="15.75" customHeight="1" x14ac:dyDescent="0.25">
      <c r="A1491" s="23"/>
      <c r="B1491" s="23" t="str">
        <f t="shared" si="6"/>
        <v/>
      </c>
      <c r="C1491" s="23"/>
      <c r="D1491" s="23"/>
      <c r="E1491" s="23"/>
      <c r="F1491" s="24"/>
      <c r="G1491" s="23"/>
      <c r="H1491" s="23"/>
      <c r="I1491" s="23"/>
      <c r="J1491" s="25"/>
      <c r="K1491" s="23"/>
      <c r="L1491" s="23"/>
      <c r="M1491" s="23"/>
      <c r="N1491" s="26"/>
      <c r="O1491" s="26"/>
      <c r="P1491" s="26"/>
      <c r="Q1491" s="26"/>
      <c r="R1491" s="26"/>
      <c r="S1491" s="26"/>
      <c r="T1491" s="26"/>
      <c r="U1491" s="26"/>
      <c r="V1491" s="26"/>
      <c r="W1491" s="27"/>
    </row>
    <row r="1492" spans="1:23" ht="15.75" customHeight="1" x14ac:dyDescent="0.25">
      <c r="A1492" s="23"/>
      <c r="B1492" s="23" t="str">
        <f t="shared" si="6"/>
        <v/>
      </c>
      <c r="C1492" s="23"/>
      <c r="D1492" s="23"/>
      <c r="E1492" s="23"/>
      <c r="F1492" s="24"/>
      <c r="G1492" s="23"/>
      <c r="H1492" s="23"/>
      <c r="I1492" s="23"/>
      <c r="J1492" s="25"/>
      <c r="K1492" s="23"/>
      <c r="L1492" s="23"/>
      <c r="M1492" s="23"/>
      <c r="N1492" s="26"/>
      <c r="O1492" s="26"/>
      <c r="P1492" s="26"/>
      <c r="Q1492" s="26"/>
      <c r="R1492" s="26"/>
      <c r="S1492" s="26"/>
      <c r="T1492" s="26"/>
      <c r="U1492" s="26"/>
      <c r="V1492" s="26"/>
      <c r="W1492" s="27"/>
    </row>
    <row r="1493" spans="1:23" ht="15.75" customHeight="1" x14ac:dyDescent="0.25">
      <c r="A1493" s="23"/>
      <c r="B1493" s="23" t="str">
        <f t="shared" si="6"/>
        <v/>
      </c>
      <c r="C1493" s="23"/>
      <c r="D1493" s="23"/>
      <c r="E1493" s="23"/>
      <c r="F1493" s="24"/>
      <c r="G1493" s="23"/>
      <c r="H1493" s="23"/>
      <c r="I1493" s="23"/>
      <c r="J1493" s="25"/>
      <c r="K1493" s="23"/>
      <c r="L1493" s="23"/>
      <c r="M1493" s="23"/>
      <c r="N1493" s="26"/>
      <c r="O1493" s="26"/>
      <c r="P1493" s="26"/>
      <c r="Q1493" s="26"/>
      <c r="R1493" s="26"/>
      <c r="S1493" s="26"/>
      <c r="T1493" s="26"/>
      <c r="U1493" s="26"/>
      <c r="V1493" s="26"/>
      <c r="W1493" s="27"/>
    </row>
    <row r="1494" spans="1:23" ht="15.75" customHeight="1" x14ac:dyDescent="0.25">
      <c r="A1494" s="23"/>
      <c r="B1494" s="23" t="str">
        <f t="shared" si="6"/>
        <v/>
      </c>
      <c r="C1494" s="23"/>
      <c r="D1494" s="23"/>
      <c r="E1494" s="23"/>
      <c r="F1494" s="24"/>
      <c r="G1494" s="23"/>
      <c r="H1494" s="23"/>
      <c r="I1494" s="23"/>
      <c r="J1494" s="25"/>
      <c r="K1494" s="23"/>
      <c r="L1494" s="23"/>
      <c r="M1494" s="23"/>
      <c r="N1494" s="26"/>
      <c r="O1494" s="26"/>
      <c r="P1494" s="26"/>
      <c r="Q1494" s="26"/>
      <c r="R1494" s="26"/>
      <c r="S1494" s="26"/>
      <c r="T1494" s="26"/>
      <c r="U1494" s="26"/>
      <c r="V1494" s="26"/>
      <c r="W1494" s="27"/>
    </row>
    <row r="1495" spans="1:23" ht="15.75" customHeight="1" x14ac:dyDescent="0.25">
      <c r="A1495" s="23"/>
      <c r="B1495" s="23" t="str">
        <f t="shared" si="6"/>
        <v/>
      </c>
      <c r="C1495" s="23"/>
      <c r="D1495" s="23"/>
      <c r="E1495" s="23"/>
      <c r="F1495" s="24"/>
      <c r="G1495" s="23"/>
      <c r="H1495" s="23"/>
      <c r="I1495" s="23"/>
      <c r="J1495" s="25"/>
      <c r="K1495" s="23"/>
      <c r="L1495" s="23"/>
      <c r="M1495" s="23"/>
      <c r="N1495" s="26"/>
      <c r="O1495" s="26"/>
      <c r="P1495" s="26"/>
      <c r="Q1495" s="26"/>
      <c r="R1495" s="26"/>
      <c r="S1495" s="26"/>
      <c r="T1495" s="26"/>
      <c r="U1495" s="26"/>
      <c r="V1495" s="26"/>
      <c r="W1495" s="27"/>
    </row>
    <row r="1496" spans="1:23" ht="15.75" customHeight="1" x14ac:dyDescent="0.25">
      <c r="A1496" s="23"/>
      <c r="B1496" s="23" t="str">
        <f t="shared" si="6"/>
        <v/>
      </c>
      <c r="C1496" s="23"/>
      <c r="D1496" s="23"/>
      <c r="E1496" s="23"/>
      <c r="F1496" s="24"/>
      <c r="G1496" s="23"/>
      <c r="H1496" s="23"/>
      <c r="I1496" s="23"/>
      <c r="J1496" s="25"/>
      <c r="K1496" s="23"/>
      <c r="L1496" s="23"/>
      <c r="M1496" s="23"/>
      <c r="N1496" s="26"/>
      <c r="O1496" s="26"/>
      <c r="P1496" s="26"/>
      <c r="Q1496" s="26"/>
      <c r="R1496" s="26"/>
      <c r="S1496" s="26"/>
      <c r="T1496" s="26"/>
      <c r="U1496" s="26"/>
      <c r="V1496" s="26"/>
      <c r="W1496" s="27"/>
    </row>
    <row r="1497" spans="1:23" ht="15.75" customHeight="1" x14ac:dyDescent="0.25">
      <c r="A1497" s="23"/>
      <c r="B1497" s="23" t="str">
        <f t="shared" si="6"/>
        <v/>
      </c>
      <c r="C1497" s="23"/>
      <c r="D1497" s="23"/>
      <c r="E1497" s="23"/>
      <c r="F1497" s="24"/>
      <c r="G1497" s="23"/>
      <c r="H1497" s="23"/>
      <c r="I1497" s="23"/>
      <c r="J1497" s="25"/>
      <c r="K1497" s="23"/>
      <c r="L1497" s="23"/>
      <c r="M1497" s="23"/>
      <c r="N1497" s="26"/>
      <c r="O1497" s="26"/>
      <c r="P1497" s="26"/>
      <c r="Q1497" s="26"/>
      <c r="R1497" s="26"/>
      <c r="S1497" s="26"/>
      <c r="T1497" s="26"/>
      <c r="U1497" s="26"/>
      <c r="V1497" s="26"/>
      <c r="W1497" s="27"/>
    </row>
    <row r="1498" spans="1:23" ht="15.75" customHeight="1" x14ac:dyDescent="0.25">
      <c r="A1498" s="23"/>
      <c r="B1498" s="23" t="str">
        <f t="shared" si="6"/>
        <v/>
      </c>
      <c r="C1498" s="23"/>
      <c r="D1498" s="23"/>
      <c r="E1498" s="23"/>
      <c r="F1498" s="24"/>
      <c r="G1498" s="23"/>
      <c r="H1498" s="23"/>
      <c r="I1498" s="23"/>
      <c r="J1498" s="25"/>
      <c r="K1498" s="23"/>
      <c r="L1498" s="23"/>
      <c r="M1498" s="23"/>
      <c r="N1498" s="26"/>
      <c r="O1498" s="26"/>
      <c r="P1498" s="26"/>
      <c r="Q1498" s="26"/>
      <c r="R1498" s="26"/>
      <c r="S1498" s="26"/>
      <c r="T1498" s="26"/>
      <c r="U1498" s="26"/>
      <c r="V1498" s="26"/>
      <c r="W1498" s="27"/>
    </row>
    <row r="1499" spans="1:23" ht="15.75" customHeight="1" x14ac:dyDescent="0.25">
      <c r="A1499" s="23"/>
      <c r="B1499" s="23" t="str">
        <f t="shared" si="6"/>
        <v/>
      </c>
      <c r="C1499" s="23"/>
      <c r="D1499" s="23"/>
      <c r="E1499" s="23"/>
      <c r="F1499" s="24"/>
      <c r="G1499" s="23"/>
      <c r="H1499" s="23"/>
      <c r="I1499" s="23"/>
      <c r="J1499" s="25"/>
      <c r="K1499" s="23"/>
      <c r="L1499" s="23"/>
      <c r="M1499" s="23"/>
      <c r="N1499" s="26"/>
      <c r="O1499" s="26"/>
      <c r="P1499" s="26"/>
      <c r="Q1499" s="26"/>
      <c r="R1499" s="26"/>
      <c r="S1499" s="26"/>
      <c r="T1499" s="26"/>
      <c r="U1499" s="26"/>
      <c r="V1499" s="26"/>
      <c r="W1499" s="27"/>
    </row>
    <row r="1500" spans="1:23" ht="15.75" customHeight="1" x14ac:dyDescent="0.25">
      <c r="A1500" s="23"/>
      <c r="B1500" s="23" t="str">
        <f t="shared" si="6"/>
        <v/>
      </c>
      <c r="C1500" s="23"/>
      <c r="D1500" s="23"/>
      <c r="E1500" s="23"/>
      <c r="F1500" s="24"/>
      <c r="G1500" s="23"/>
      <c r="H1500" s="23"/>
      <c r="I1500" s="23"/>
      <c r="J1500" s="25"/>
      <c r="K1500" s="23"/>
      <c r="L1500" s="23"/>
      <c r="M1500" s="23"/>
      <c r="N1500" s="26"/>
      <c r="O1500" s="26"/>
      <c r="P1500" s="26"/>
      <c r="Q1500" s="26"/>
      <c r="R1500" s="26"/>
      <c r="S1500" s="26"/>
      <c r="T1500" s="26"/>
      <c r="U1500" s="26"/>
      <c r="V1500" s="26"/>
      <c r="W1500" s="27"/>
    </row>
    <row r="1501" spans="1:23" ht="15.75" customHeight="1" x14ac:dyDescent="0.25">
      <c r="A1501" s="23"/>
      <c r="B1501" s="23" t="str">
        <f t="shared" si="6"/>
        <v/>
      </c>
      <c r="C1501" s="23"/>
      <c r="D1501" s="23"/>
      <c r="E1501" s="23"/>
      <c r="F1501" s="24"/>
      <c r="G1501" s="23"/>
      <c r="H1501" s="23"/>
      <c r="I1501" s="23"/>
      <c r="J1501" s="25"/>
      <c r="K1501" s="23"/>
      <c r="L1501" s="23"/>
      <c r="M1501" s="23"/>
      <c r="N1501" s="26"/>
      <c r="O1501" s="26"/>
      <c r="P1501" s="26"/>
      <c r="Q1501" s="26"/>
      <c r="R1501" s="26"/>
      <c r="S1501" s="26"/>
      <c r="T1501" s="26"/>
      <c r="U1501" s="26"/>
      <c r="V1501" s="26"/>
      <c r="W1501" s="27"/>
    </row>
    <row r="1502" spans="1:23" ht="15.75" customHeight="1" x14ac:dyDescent="0.25">
      <c r="A1502" s="23"/>
      <c r="B1502" s="23" t="str">
        <f t="shared" si="6"/>
        <v/>
      </c>
      <c r="C1502" s="23"/>
      <c r="D1502" s="23"/>
      <c r="E1502" s="23"/>
      <c r="F1502" s="24"/>
      <c r="G1502" s="23"/>
      <c r="H1502" s="23"/>
      <c r="I1502" s="23"/>
      <c r="J1502" s="25"/>
      <c r="K1502" s="23"/>
      <c r="L1502" s="23"/>
      <c r="M1502" s="23"/>
      <c r="N1502" s="26"/>
      <c r="O1502" s="26"/>
      <c r="P1502" s="26"/>
      <c r="Q1502" s="26"/>
      <c r="R1502" s="26"/>
      <c r="S1502" s="26"/>
      <c r="T1502" s="26"/>
      <c r="U1502" s="26"/>
      <c r="V1502" s="26"/>
      <c r="W1502" s="27"/>
    </row>
    <row r="1503" spans="1:23" ht="15.75" customHeight="1" x14ac:dyDescent="0.25">
      <c r="A1503" s="23"/>
      <c r="B1503" s="23" t="str">
        <f t="shared" si="6"/>
        <v/>
      </c>
      <c r="C1503" s="23"/>
      <c r="D1503" s="23"/>
      <c r="E1503" s="23"/>
      <c r="F1503" s="24"/>
      <c r="G1503" s="23"/>
      <c r="H1503" s="23"/>
      <c r="I1503" s="23"/>
      <c r="J1503" s="25"/>
      <c r="K1503" s="23"/>
      <c r="L1503" s="23"/>
      <c r="M1503" s="23"/>
      <c r="N1503" s="26"/>
      <c r="O1503" s="26"/>
      <c r="P1503" s="26"/>
      <c r="Q1503" s="26"/>
      <c r="R1503" s="26"/>
      <c r="S1503" s="26"/>
      <c r="T1503" s="26"/>
      <c r="U1503" s="26"/>
      <c r="V1503" s="26"/>
      <c r="W1503" s="27"/>
    </row>
    <row r="1504" spans="1:23" ht="15.75" customHeight="1" x14ac:dyDescent="0.25">
      <c r="A1504" s="23"/>
      <c r="B1504" s="23" t="str">
        <f t="shared" si="6"/>
        <v/>
      </c>
      <c r="C1504" s="23"/>
      <c r="D1504" s="23"/>
      <c r="E1504" s="23"/>
      <c r="F1504" s="24"/>
      <c r="G1504" s="23"/>
      <c r="H1504" s="23"/>
      <c r="I1504" s="23"/>
      <c r="J1504" s="25"/>
      <c r="K1504" s="23"/>
      <c r="L1504" s="23"/>
      <c r="M1504" s="23"/>
      <c r="N1504" s="26"/>
      <c r="O1504" s="26"/>
      <c r="P1504" s="26"/>
      <c r="Q1504" s="26"/>
      <c r="R1504" s="26"/>
      <c r="S1504" s="26"/>
      <c r="T1504" s="26"/>
      <c r="U1504" s="26"/>
      <c r="V1504" s="26"/>
      <c r="W1504" s="27"/>
    </row>
    <row r="1505" spans="1:23" ht="15.75" customHeight="1" x14ac:dyDescent="0.25">
      <c r="A1505" s="23"/>
      <c r="B1505" s="23" t="str">
        <f t="shared" si="6"/>
        <v/>
      </c>
      <c r="C1505" s="23"/>
      <c r="D1505" s="23"/>
      <c r="E1505" s="23"/>
      <c r="F1505" s="24"/>
      <c r="G1505" s="23"/>
      <c r="H1505" s="23"/>
      <c r="I1505" s="23"/>
      <c r="J1505" s="25"/>
      <c r="K1505" s="23"/>
      <c r="L1505" s="23"/>
      <c r="M1505" s="23"/>
      <c r="N1505" s="26"/>
      <c r="O1505" s="26"/>
      <c r="P1505" s="26"/>
      <c r="Q1505" s="26"/>
      <c r="R1505" s="26"/>
      <c r="S1505" s="26"/>
      <c r="T1505" s="26"/>
      <c r="U1505" s="26"/>
      <c r="V1505" s="26"/>
      <c r="W1505" s="27"/>
    </row>
    <row r="1506" spans="1:23" ht="15.75" customHeight="1" x14ac:dyDescent="0.25">
      <c r="A1506" s="23"/>
      <c r="B1506" s="23" t="str">
        <f t="shared" si="6"/>
        <v/>
      </c>
      <c r="C1506" s="23"/>
      <c r="D1506" s="23"/>
      <c r="E1506" s="23"/>
      <c r="F1506" s="24"/>
      <c r="G1506" s="23"/>
      <c r="H1506" s="23"/>
      <c r="I1506" s="23"/>
      <c r="J1506" s="25"/>
      <c r="K1506" s="23"/>
      <c r="L1506" s="23"/>
      <c r="M1506" s="23"/>
      <c r="N1506" s="26"/>
      <c r="O1506" s="26"/>
      <c r="P1506" s="26"/>
      <c r="Q1506" s="26"/>
      <c r="R1506" s="26"/>
      <c r="S1506" s="26"/>
      <c r="T1506" s="26"/>
      <c r="U1506" s="26"/>
      <c r="V1506" s="26"/>
      <c r="W1506" s="27"/>
    </row>
    <row r="1507" spans="1:23" ht="15.75" customHeight="1" x14ac:dyDescent="0.25">
      <c r="A1507" s="23"/>
      <c r="B1507" s="23" t="str">
        <f t="shared" si="6"/>
        <v/>
      </c>
      <c r="C1507" s="23"/>
      <c r="D1507" s="23"/>
      <c r="E1507" s="23"/>
      <c r="F1507" s="24"/>
      <c r="G1507" s="23"/>
      <c r="H1507" s="23"/>
      <c r="I1507" s="23"/>
      <c r="J1507" s="25"/>
      <c r="K1507" s="23"/>
      <c r="L1507" s="23"/>
      <c r="M1507" s="23"/>
      <c r="N1507" s="26"/>
      <c r="O1507" s="26"/>
      <c r="P1507" s="26"/>
      <c r="Q1507" s="26"/>
      <c r="R1507" s="26"/>
      <c r="S1507" s="26"/>
      <c r="T1507" s="26"/>
      <c r="U1507" s="26"/>
      <c r="V1507" s="26"/>
      <c r="W1507" s="27"/>
    </row>
    <row r="1508" spans="1:23" ht="15.75" customHeight="1" x14ac:dyDescent="0.25">
      <c r="A1508" s="23"/>
      <c r="B1508" s="23" t="str">
        <f t="shared" si="6"/>
        <v/>
      </c>
      <c r="C1508" s="23"/>
      <c r="D1508" s="23"/>
      <c r="E1508" s="23"/>
      <c r="F1508" s="24"/>
      <c r="G1508" s="23"/>
      <c r="H1508" s="23"/>
      <c r="I1508" s="23"/>
      <c r="J1508" s="25"/>
      <c r="K1508" s="23"/>
      <c r="L1508" s="23"/>
      <c r="M1508" s="23"/>
      <c r="N1508" s="26"/>
      <c r="O1508" s="26"/>
      <c r="P1508" s="26"/>
      <c r="Q1508" s="26"/>
      <c r="R1508" s="26"/>
      <c r="S1508" s="26"/>
      <c r="T1508" s="26"/>
      <c r="U1508" s="26"/>
      <c r="V1508" s="26"/>
      <c r="W1508" s="27"/>
    </row>
    <row r="1509" spans="1:23" ht="15.75" customHeight="1" x14ac:dyDescent="0.25">
      <c r="A1509" s="23"/>
      <c r="B1509" s="23" t="str">
        <f t="shared" si="6"/>
        <v/>
      </c>
      <c r="C1509" s="23"/>
      <c r="D1509" s="23"/>
      <c r="E1509" s="23"/>
      <c r="F1509" s="24"/>
      <c r="G1509" s="23"/>
      <c r="H1509" s="23"/>
      <c r="I1509" s="23"/>
      <c r="J1509" s="25"/>
      <c r="K1509" s="23"/>
      <c r="L1509" s="23"/>
      <c r="M1509" s="23"/>
      <c r="N1509" s="26"/>
      <c r="O1509" s="26"/>
      <c r="P1509" s="26"/>
      <c r="Q1509" s="26"/>
      <c r="R1509" s="26"/>
      <c r="S1509" s="26"/>
      <c r="T1509" s="26"/>
      <c r="U1509" s="26"/>
      <c r="V1509" s="26"/>
      <c r="W1509" s="27"/>
    </row>
    <row r="1510" spans="1:23" ht="15.75" customHeight="1" x14ac:dyDescent="0.25">
      <c r="A1510" s="23"/>
      <c r="B1510" s="23" t="str">
        <f t="shared" si="6"/>
        <v/>
      </c>
      <c r="C1510" s="23"/>
      <c r="D1510" s="23"/>
      <c r="E1510" s="23"/>
      <c r="F1510" s="24"/>
      <c r="G1510" s="23"/>
      <c r="H1510" s="23"/>
      <c r="I1510" s="23"/>
      <c r="J1510" s="25"/>
      <c r="K1510" s="23"/>
      <c r="L1510" s="23"/>
      <c r="M1510" s="23"/>
      <c r="N1510" s="26"/>
      <c r="O1510" s="26"/>
      <c r="P1510" s="26"/>
      <c r="Q1510" s="26"/>
      <c r="R1510" s="26"/>
      <c r="S1510" s="26"/>
      <c r="T1510" s="26"/>
      <c r="U1510" s="26"/>
      <c r="V1510" s="26"/>
      <c r="W1510" s="27"/>
    </row>
    <row r="1511" spans="1:23" ht="15.75" customHeight="1" x14ac:dyDescent="0.25">
      <c r="A1511" s="23"/>
      <c r="B1511" s="23" t="str">
        <f t="shared" si="6"/>
        <v/>
      </c>
      <c r="C1511" s="23"/>
      <c r="D1511" s="23"/>
      <c r="E1511" s="23"/>
      <c r="F1511" s="24"/>
      <c r="G1511" s="23"/>
      <c r="H1511" s="23"/>
      <c r="I1511" s="23"/>
      <c r="J1511" s="25"/>
      <c r="K1511" s="23"/>
      <c r="L1511" s="23"/>
      <c r="M1511" s="23"/>
      <c r="N1511" s="26"/>
      <c r="O1511" s="26"/>
      <c r="P1511" s="26"/>
      <c r="Q1511" s="26"/>
      <c r="R1511" s="26"/>
      <c r="S1511" s="26"/>
      <c r="T1511" s="26"/>
      <c r="U1511" s="26"/>
      <c r="V1511" s="26"/>
      <c r="W1511" s="27"/>
    </row>
    <row r="1512" spans="1:23" ht="15.75" customHeight="1" x14ac:dyDescent="0.25">
      <c r="A1512" s="23"/>
      <c r="B1512" s="23" t="str">
        <f t="shared" si="6"/>
        <v/>
      </c>
      <c r="C1512" s="23"/>
      <c r="D1512" s="23"/>
      <c r="E1512" s="23"/>
      <c r="F1512" s="24"/>
      <c r="G1512" s="23"/>
      <c r="H1512" s="23"/>
      <c r="I1512" s="23"/>
      <c r="J1512" s="25"/>
      <c r="K1512" s="23"/>
      <c r="L1512" s="23"/>
      <c r="M1512" s="23"/>
      <c r="N1512" s="26"/>
      <c r="O1512" s="26"/>
      <c r="P1512" s="26"/>
      <c r="Q1512" s="26"/>
      <c r="R1512" s="26"/>
      <c r="S1512" s="26"/>
      <c r="T1512" s="26"/>
      <c r="U1512" s="26"/>
      <c r="V1512" s="26"/>
      <c r="W1512" s="27"/>
    </row>
    <row r="1513" spans="1:23" ht="15.75" customHeight="1" x14ac:dyDescent="0.25">
      <c r="A1513" s="23"/>
      <c r="B1513" s="23" t="str">
        <f t="shared" si="6"/>
        <v/>
      </c>
      <c r="C1513" s="23"/>
      <c r="D1513" s="23"/>
      <c r="E1513" s="23"/>
      <c r="F1513" s="24"/>
      <c r="G1513" s="23"/>
      <c r="H1513" s="23"/>
      <c r="I1513" s="23"/>
      <c r="J1513" s="25"/>
      <c r="K1513" s="23"/>
      <c r="L1513" s="23"/>
      <c r="M1513" s="23"/>
      <c r="N1513" s="26"/>
      <c r="O1513" s="26"/>
      <c r="P1513" s="26"/>
      <c r="Q1513" s="26"/>
      <c r="R1513" s="26"/>
      <c r="S1513" s="26"/>
      <c r="T1513" s="26"/>
      <c r="U1513" s="26"/>
      <c r="V1513" s="26"/>
      <c r="W1513" s="27"/>
    </row>
    <row r="1514" spans="1:23" ht="15.75" customHeight="1" x14ac:dyDescent="0.25">
      <c r="A1514" s="23"/>
      <c r="B1514" s="23" t="str">
        <f t="shared" si="6"/>
        <v/>
      </c>
      <c r="C1514" s="23"/>
      <c r="D1514" s="23"/>
      <c r="E1514" s="23"/>
      <c r="F1514" s="24"/>
      <c r="G1514" s="23"/>
      <c r="H1514" s="23"/>
      <c r="I1514" s="23"/>
      <c r="J1514" s="25"/>
      <c r="K1514" s="23"/>
      <c r="L1514" s="23"/>
      <c r="M1514" s="23"/>
      <c r="N1514" s="26"/>
      <c r="O1514" s="26"/>
      <c r="P1514" s="26"/>
      <c r="Q1514" s="26"/>
      <c r="R1514" s="26"/>
      <c r="S1514" s="26"/>
      <c r="T1514" s="26"/>
      <c r="U1514" s="26"/>
      <c r="V1514" s="26"/>
      <c r="W1514" s="27"/>
    </row>
    <row r="1515" spans="1:23" ht="15.75" customHeight="1" x14ac:dyDescent="0.25">
      <c r="A1515" s="23"/>
      <c r="B1515" s="23" t="str">
        <f t="shared" si="6"/>
        <v/>
      </c>
      <c r="C1515" s="23"/>
      <c r="D1515" s="23"/>
      <c r="E1515" s="23"/>
      <c r="F1515" s="24"/>
      <c r="G1515" s="23"/>
      <c r="H1515" s="23"/>
      <c r="I1515" s="23"/>
      <c r="J1515" s="25"/>
      <c r="K1515" s="23"/>
      <c r="L1515" s="23"/>
      <c r="M1515" s="23"/>
      <c r="N1515" s="26"/>
      <c r="O1515" s="26"/>
      <c r="P1515" s="26"/>
      <c r="Q1515" s="26"/>
      <c r="R1515" s="26"/>
      <c r="S1515" s="26"/>
      <c r="T1515" s="26"/>
      <c r="U1515" s="26"/>
      <c r="V1515" s="26"/>
      <c r="W1515" s="27"/>
    </row>
    <row r="1516" spans="1:23" ht="15.75" customHeight="1" x14ac:dyDescent="0.25">
      <c r="A1516" s="23"/>
      <c r="B1516" s="23" t="str">
        <f t="shared" si="6"/>
        <v/>
      </c>
      <c r="C1516" s="23"/>
      <c r="D1516" s="23"/>
      <c r="E1516" s="23"/>
      <c r="F1516" s="24"/>
      <c r="G1516" s="23"/>
      <c r="H1516" s="23"/>
      <c r="I1516" s="23"/>
      <c r="J1516" s="25"/>
      <c r="K1516" s="23"/>
      <c r="L1516" s="23"/>
      <c r="M1516" s="23"/>
      <c r="N1516" s="26"/>
      <c r="O1516" s="26"/>
      <c r="P1516" s="26"/>
      <c r="Q1516" s="26"/>
      <c r="R1516" s="26"/>
      <c r="S1516" s="26"/>
      <c r="T1516" s="26"/>
      <c r="U1516" s="26"/>
      <c r="V1516" s="26"/>
      <c r="W1516" s="27"/>
    </row>
    <row r="1517" spans="1:23" ht="15.75" customHeight="1" x14ac:dyDescent="0.25">
      <c r="A1517" s="23"/>
      <c r="B1517" s="23" t="str">
        <f t="shared" si="6"/>
        <v/>
      </c>
      <c r="C1517" s="23"/>
      <c r="D1517" s="23"/>
      <c r="E1517" s="23"/>
      <c r="F1517" s="24"/>
      <c r="G1517" s="23"/>
      <c r="H1517" s="23"/>
      <c r="I1517" s="23"/>
      <c r="J1517" s="25"/>
      <c r="K1517" s="23"/>
      <c r="L1517" s="23"/>
      <c r="M1517" s="23"/>
      <c r="N1517" s="26"/>
      <c r="O1517" s="26"/>
      <c r="P1517" s="26"/>
      <c r="Q1517" s="26"/>
      <c r="R1517" s="26"/>
      <c r="S1517" s="26"/>
      <c r="T1517" s="26"/>
      <c r="U1517" s="26"/>
      <c r="V1517" s="26"/>
      <c r="W1517" s="27"/>
    </row>
    <row r="1518" spans="1:23" ht="15.75" customHeight="1" x14ac:dyDescent="0.25">
      <c r="A1518" s="23"/>
      <c r="B1518" s="23" t="str">
        <f t="shared" si="6"/>
        <v/>
      </c>
      <c r="C1518" s="23"/>
      <c r="D1518" s="23"/>
      <c r="E1518" s="23"/>
      <c r="F1518" s="24"/>
      <c r="G1518" s="23"/>
      <c r="H1518" s="23"/>
      <c r="I1518" s="23"/>
      <c r="J1518" s="25"/>
      <c r="K1518" s="23"/>
      <c r="L1518" s="23"/>
      <c r="M1518" s="23"/>
      <c r="N1518" s="26"/>
      <c r="O1518" s="26"/>
      <c r="P1518" s="26"/>
      <c r="Q1518" s="26"/>
      <c r="R1518" s="26"/>
      <c r="S1518" s="26"/>
      <c r="T1518" s="26"/>
      <c r="U1518" s="26"/>
      <c r="V1518" s="26"/>
      <c r="W1518" s="27"/>
    </row>
    <row r="1519" spans="1:23" ht="15.75" customHeight="1" x14ac:dyDescent="0.25">
      <c r="A1519" s="23"/>
      <c r="B1519" s="23" t="str">
        <f t="shared" si="6"/>
        <v/>
      </c>
      <c r="C1519" s="23"/>
      <c r="D1519" s="23"/>
      <c r="E1519" s="23"/>
      <c r="F1519" s="24"/>
      <c r="G1519" s="23"/>
      <c r="H1519" s="23"/>
      <c r="I1519" s="23"/>
      <c r="J1519" s="25"/>
      <c r="K1519" s="23"/>
      <c r="L1519" s="23"/>
      <c r="M1519" s="23"/>
      <c r="N1519" s="26"/>
      <c r="O1519" s="26"/>
      <c r="P1519" s="26"/>
      <c r="Q1519" s="26"/>
      <c r="R1519" s="26"/>
      <c r="S1519" s="26"/>
      <c r="T1519" s="26"/>
      <c r="U1519" s="26"/>
      <c r="V1519" s="26"/>
      <c r="W1519" s="27"/>
    </row>
    <row r="1520" spans="1:23" ht="15.75" customHeight="1" x14ac:dyDescent="0.25">
      <c r="A1520" s="23"/>
      <c r="B1520" s="23" t="str">
        <f t="shared" si="6"/>
        <v/>
      </c>
      <c r="C1520" s="23"/>
      <c r="D1520" s="23"/>
      <c r="E1520" s="23"/>
      <c r="F1520" s="24"/>
      <c r="G1520" s="23"/>
      <c r="H1520" s="23"/>
      <c r="I1520" s="23"/>
      <c r="J1520" s="25"/>
      <c r="K1520" s="23"/>
      <c r="L1520" s="23"/>
      <c r="M1520" s="23"/>
      <c r="N1520" s="26"/>
      <c r="O1520" s="26"/>
      <c r="P1520" s="26"/>
      <c r="Q1520" s="26"/>
      <c r="R1520" s="26"/>
      <c r="S1520" s="26"/>
      <c r="T1520" s="26"/>
      <c r="U1520" s="26"/>
      <c r="V1520" s="26"/>
      <c r="W1520" s="27"/>
    </row>
    <row r="1521" spans="1:23" ht="15.75" customHeight="1" x14ac:dyDescent="0.25">
      <c r="A1521" s="23"/>
      <c r="B1521" s="23" t="str">
        <f t="shared" si="6"/>
        <v/>
      </c>
      <c r="C1521" s="23"/>
      <c r="D1521" s="23"/>
      <c r="E1521" s="23"/>
      <c r="F1521" s="24"/>
      <c r="G1521" s="23"/>
      <c r="H1521" s="23"/>
      <c r="I1521" s="23"/>
      <c r="J1521" s="25"/>
      <c r="K1521" s="23"/>
      <c r="L1521" s="23"/>
      <c r="M1521" s="23"/>
      <c r="N1521" s="26"/>
      <c r="O1521" s="26"/>
      <c r="P1521" s="26"/>
      <c r="Q1521" s="26"/>
      <c r="R1521" s="26"/>
      <c r="S1521" s="26"/>
      <c r="T1521" s="26"/>
      <c r="U1521" s="26"/>
      <c r="V1521" s="26"/>
      <c r="W1521" s="27"/>
    </row>
    <row r="1522" spans="1:23" ht="15.75" customHeight="1" x14ac:dyDescent="0.25">
      <c r="A1522" s="23"/>
      <c r="B1522" s="23" t="str">
        <f t="shared" si="6"/>
        <v/>
      </c>
      <c r="C1522" s="23"/>
      <c r="D1522" s="23"/>
      <c r="E1522" s="23"/>
      <c r="F1522" s="24"/>
      <c r="G1522" s="23"/>
      <c r="H1522" s="23"/>
      <c r="I1522" s="23"/>
      <c r="J1522" s="25"/>
      <c r="K1522" s="23"/>
      <c r="L1522" s="23"/>
      <c r="M1522" s="23"/>
      <c r="N1522" s="26"/>
      <c r="O1522" s="26"/>
      <c r="P1522" s="26"/>
      <c r="Q1522" s="26"/>
      <c r="R1522" s="26"/>
      <c r="S1522" s="26"/>
      <c r="T1522" s="26"/>
      <c r="U1522" s="26"/>
      <c r="V1522" s="26"/>
      <c r="W1522" s="27"/>
    </row>
    <row r="1523" spans="1:23" ht="15.75" customHeight="1" x14ac:dyDescent="0.25">
      <c r="A1523" s="23"/>
      <c r="B1523" s="23" t="str">
        <f t="shared" si="6"/>
        <v/>
      </c>
      <c r="C1523" s="23"/>
      <c r="D1523" s="23"/>
      <c r="E1523" s="23"/>
      <c r="F1523" s="24"/>
      <c r="G1523" s="23"/>
      <c r="H1523" s="23"/>
      <c r="I1523" s="23"/>
      <c r="J1523" s="25"/>
      <c r="K1523" s="23"/>
      <c r="L1523" s="23"/>
      <c r="M1523" s="23"/>
      <c r="N1523" s="26"/>
      <c r="O1523" s="26"/>
      <c r="P1523" s="26"/>
      <c r="Q1523" s="26"/>
      <c r="R1523" s="26"/>
      <c r="S1523" s="26"/>
      <c r="T1523" s="26"/>
      <c r="U1523" s="26"/>
      <c r="V1523" s="26"/>
      <c r="W1523" s="27"/>
    </row>
    <row r="1524" spans="1:23" ht="15.75" customHeight="1" x14ac:dyDescent="0.25">
      <c r="A1524" s="23"/>
      <c r="B1524" s="23" t="str">
        <f t="shared" si="6"/>
        <v/>
      </c>
      <c r="C1524" s="23"/>
      <c r="D1524" s="23"/>
      <c r="E1524" s="23"/>
      <c r="F1524" s="24"/>
      <c r="G1524" s="23"/>
      <c r="H1524" s="23"/>
      <c r="I1524" s="23"/>
      <c r="J1524" s="25"/>
      <c r="K1524" s="23"/>
      <c r="L1524" s="23"/>
      <c r="M1524" s="23"/>
      <c r="N1524" s="26"/>
      <c r="O1524" s="26"/>
      <c r="P1524" s="26"/>
      <c r="Q1524" s="26"/>
      <c r="R1524" s="26"/>
      <c r="S1524" s="26"/>
      <c r="T1524" s="26"/>
      <c r="U1524" s="26"/>
      <c r="V1524" s="26"/>
      <c r="W1524" s="27"/>
    </row>
    <row r="1525" spans="1:23" ht="15.75" customHeight="1" x14ac:dyDescent="0.25">
      <c r="A1525" s="23"/>
      <c r="B1525" s="23" t="str">
        <f t="shared" si="6"/>
        <v/>
      </c>
      <c r="C1525" s="23"/>
      <c r="D1525" s="23"/>
      <c r="E1525" s="23"/>
      <c r="F1525" s="24"/>
      <c r="G1525" s="23"/>
      <c r="H1525" s="23"/>
      <c r="I1525" s="23"/>
      <c r="J1525" s="25"/>
      <c r="K1525" s="23"/>
      <c r="L1525" s="23"/>
      <c r="M1525" s="23"/>
      <c r="N1525" s="26"/>
      <c r="O1525" s="26"/>
      <c r="P1525" s="26"/>
      <c r="Q1525" s="26"/>
      <c r="R1525" s="26"/>
      <c r="S1525" s="26"/>
      <c r="T1525" s="26"/>
      <c r="U1525" s="26"/>
      <c r="V1525" s="26"/>
      <c r="W1525" s="27"/>
    </row>
    <row r="1526" spans="1:23" ht="15.75" customHeight="1" x14ac:dyDescent="0.25">
      <c r="A1526" s="23"/>
      <c r="B1526" s="23" t="str">
        <f t="shared" si="6"/>
        <v/>
      </c>
      <c r="C1526" s="23"/>
      <c r="D1526" s="23"/>
      <c r="E1526" s="23"/>
      <c r="F1526" s="24"/>
      <c r="G1526" s="23"/>
      <c r="H1526" s="23"/>
      <c r="I1526" s="23"/>
      <c r="J1526" s="25"/>
      <c r="K1526" s="23"/>
      <c r="L1526" s="23"/>
      <c r="M1526" s="23"/>
      <c r="N1526" s="26"/>
      <c r="O1526" s="26"/>
      <c r="P1526" s="26"/>
      <c r="Q1526" s="26"/>
      <c r="R1526" s="26"/>
      <c r="S1526" s="26"/>
      <c r="T1526" s="26"/>
      <c r="U1526" s="26"/>
      <c r="V1526" s="26"/>
      <c r="W1526" s="27"/>
    </row>
    <row r="1527" spans="1:23" ht="15.75" customHeight="1" x14ac:dyDescent="0.25">
      <c r="A1527" s="23"/>
      <c r="B1527" s="23" t="str">
        <f t="shared" si="6"/>
        <v/>
      </c>
      <c r="C1527" s="23"/>
      <c r="D1527" s="23"/>
      <c r="E1527" s="23"/>
      <c r="F1527" s="24"/>
      <c r="G1527" s="23"/>
      <c r="H1527" s="23"/>
      <c r="I1527" s="23"/>
      <c r="J1527" s="25"/>
      <c r="K1527" s="23"/>
      <c r="L1527" s="23"/>
      <c r="M1527" s="23"/>
      <c r="N1527" s="26"/>
      <c r="O1527" s="26"/>
      <c r="P1527" s="26"/>
      <c r="Q1527" s="26"/>
      <c r="R1527" s="26"/>
      <c r="S1527" s="26"/>
      <c r="T1527" s="26"/>
      <c r="U1527" s="26"/>
      <c r="V1527" s="26"/>
      <c r="W1527" s="27"/>
    </row>
    <row r="1528" spans="1:23" ht="15.75" customHeight="1" x14ac:dyDescent="0.25">
      <c r="A1528" s="23"/>
      <c r="B1528" s="23" t="str">
        <f t="shared" si="6"/>
        <v/>
      </c>
      <c r="C1528" s="23"/>
      <c r="D1528" s="23"/>
      <c r="E1528" s="23"/>
      <c r="F1528" s="24"/>
      <c r="G1528" s="23"/>
      <c r="H1528" s="23"/>
      <c r="I1528" s="23"/>
      <c r="J1528" s="25"/>
      <c r="K1528" s="23"/>
      <c r="L1528" s="23"/>
      <c r="M1528" s="23"/>
      <c r="N1528" s="26"/>
      <c r="O1528" s="26"/>
      <c r="P1528" s="26"/>
      <c r="Q1528" s="26"/>
      <c r="R1528" s="26"/>
      <c r="S1528" s="26"/>
      <c r="T1528" s="26"/>
      <c r="U1528" s="26"/>
      <c r="V1528" s="26"/>
      <c r="W1528" s="27"/>
    </row>
    <row r="1529" spans="1:23" ht="15.75" customHeight="1" x14ac:dyDescent="0.25">
      <c r="A1529" s="23"/>
      <c r="B1529" s="23" t="str">
        <f t="shared" si="6"/>
        <v/>
      </c>
      <c r="C1529" s="23"/>
      <c r="D1529" s="23"/>
      <c r="E1529" s="23"/>
      <c r="F1529" s="24"/>
      <c r="G1529" s="23"/>
      <c r="H1529" s="23"/>
      <c r="I1529" s="23"/>
      <c r="J1529" s="25"/>
      <c r="K1529" s="23"/>
      <c r="L1529" s="23"/>
      <c r="M1529" s="23"/>
      <c r="N1529" s="26"/>
      <c r="O1529" s="26"/>
      <c r="P1529" s="26"/>
      <c r="Q1529" s="26"/>
      <c r="R1529" s="26"/>
      <c r="S1529" s="26"/>
      <c r="T1529" s="26"/>
      <c r="U1529" s="26"/>
      <c r="V1529" s="26"/>
      <c r="W1529" s="27"/>
    </row>
    <row r="1530" spans="1:23" ht="15.75" customHeight="1" x14ac:dyDescent="0.25">
      <c r="A1530" s="23"/>
      <c r="B1530" s="23" t="str">
        <f t="shared" si="6"/>
        <v/>
      </c>
      <c r="C1530" s="23"/>
      <c r="D1530" s="23"/>
      <c r="E1530" s="23"/>
      <c r="F1530" s="24"/>
      <c r="G1530" s="23"/>
      <c r="H1530" s="23"/>
      <c r="I1530" s="23"/>
      <c r="J1530" s="25"/>
      <c r="K1530" s="23"/>
      <c r="L1530" s="23"/>
      <c r="M1530" s="23"/>
      <c r="N1530" s="26"/>
      <c r="O1530" s="26"/>
      <c r="P1530" s="26"/>
      <c r="Q1530" s="26"/>
      <c r="R1530" s="26"/>
      <c r="S1530" s="26"/>
      <c r="T1530" s="26"/>
      <c r="U1530" s="26"/>
      <c r="V1530" s="26"/>
      <c r="W1530" s="27"/>
    </row>
    <row r="1531" spans="1:23" ht="15.75" customHeight="1" x14ac:dyDescent="0.25">
      <c r="A1531" s="23"/>
      <c r="B1531" s="23" t="str">
        <f t="shared" si="6"/>
        <v/>
      </c>
      <c r="C1531" s="23"/>
      <c r="D1531" s="23"/>
      <c r="E1531" s="23"/>
      <c r="F1531" s="24"/>
      <c r="G1531" s="23"/>
      <c r="H1531" s="23"/>
      <c r="I1531" s="23"/>
      <c r="J1531" s="25"/>
      <c r="K1531" s="23"/>
      <c r="L1531" s="23"/>
      <c r="M1531" s="23"/>
      <c r="N1531" s="26"/>
      <c r="O1531" s="26"/>
      <c r="P1531" s="26"/>
      <c r="Q1531" s="26"/>
      <c r="R1531" s="26"/>
      <c r="S1531" s="26"/>
      <c r="T1531" s="26"/>
      <c r="U1531" s="26"/>
      <c r="V1531" s="26"/>
      <c r="W1531" s="27"/>
    </row>
    <row r="1532" spans="1:23" ht="15.75" customHeight="1" x14ac:dyDescent="0.25">
      <c r="A1532" s="23"/>
      <c r="B1532" s="23" t="str">
        <f t="shared" si="6"/>
        <v/>
      </c>
      <c r="C1532" s="23"/>
      <c r="D1532" s="23"/>
      <c r="E1532" s="23"/>
      <c r="F1532" s="24"/>
      <c r="G1532" s="23"/>
      <c r="H1532" s="23"/>
      <c r="I1532" s="23"/>
      <c r="J1532" s="25"/>
      <c r="K1532" s="23"/>
      <c r="L1532" s="23"/>
      <c r="M1532" s="23"/>
      <c r="N1532" s="26"/>
      <c r="O1532" s="26"/>
      <c r="P1532" s="26"/>
      <c r="Q1532" s="26"/>
      <c r="R1532" s="26"/>
      <c r="S1532" s="26"/>
      <c r="T1532" s="26"/>
      <c r="U1532" s="26"/>
      <c r="V1532" s="26"/>
      <c r="W1532" s="27"/>
    </row>
    <row r="1533" spans="1:23" ht="15.75" customHeight="1" x14ac:dyDescent="0.25">
      <c r="A1533" s="23"/>
      <c r="B1533" s="23" t="str">
        <f t="shared" si="6"/>
        <v/>
      </c>
      <c r="C1533" s="23"/>
      <c r="D1533" s="23"/>
      <c r="E1533" s="23"/>
      <c r="F1533" s="24"/>
      <c r="G1533" s="23"/>
      <c r="H1533" s="23"/>
      <c r="I1533" s="23"/>
      <c r="J1533" s="25"/>
      <c r="K1533" s="23"/>
      <c r="L1533" s="23"/>
      <c r="M1533" s="23"/>
      <c r="N1533" s="26"/>
      <c r="O1533" s="26"/>
      <c r="P1533" s="26"/>
      <c r="Q1533" s="26"/>
      <c r="R1533" s="26"/>
      <c r="S1533" s="26"/>
      <c r="T1533" s="26"/>
      <c r="U1533" s="26"/>
      <c r="V1533" s="26"/>
      <c r="W1533" s="27"/>
    </row>
    <row r="1534" spans="1:23" ht="15.75" customHeight="1" x14ac:dyDescent="0.25">
      <c r="A1534" s="23"/>
      <c r="B1534" s="23" t="str">
        <f t="shared" si="6"/>
        <v/>
      </c>
      <c r="C1534" s="23"/>
      <c r="D1534" s="23"/>
      <c r="E1534" s="23"/>
      <c r="F1534" s="24"/>
      <c r="G1534" s="23"/>
      <c r="H1534" s="23"/>
      <c r="I1534" s="23"/>
      <c r="J1534" s="25"/>
      <c r="K1534" s="23"/>
      <c r="L1534" s="23"/>
      <c r="M1534" s="23"/>
      <c r="N1534" s="26"/>
      <c r="O1534" s="26"/>
      <c r="P1534" s="26"/>
      <c r="Q1534" s="26"/>
      <c r="R1534" s="26"/>
      <c r="S1534" s="26"/>
      <c r="T1534" s="26"/>
      <c r="U1534" s="26"/>
      <c r="V1534" s="26"/>
      <c r="W1534" s="27"/>
    </row>
    <row r="1535" spans="1:23" ht="15.75" customHeight="1" x14ac:dyDescent="0.25">
      <c r="A1535" s="23"/>
      <c r="B1535" s="23" t="str">
        <f t="shared" si="6"/>
        <v/>
      </c>
      <c r="C1535" s="23"/>
      <c r="D1535" s="23"/>
      <c r="E1535" s="23"/>
      <c r="F1535" s="24"/>
      <c r="G1535" s="23"/>
      <c r="H1535" s="23"/>
      <c r="I1535" s="23"/>
      <c r="J1535" s="25"/>
      <c r="K1535" s="23"/>
      <c r="L1535" s="23"/>
      <c r="M1535" s="23"/>
      <c r="N1535" s="26"/>
      <c r="O1535" s="26"/>
      <c r="P1535" s="26"/>
      <c r="Q1535" s="26"/>
      <c r="R1535" s="26"/>
      <c r="S1535" s="26"/>
      <c r="T1535" s="26"/>
      <c r="U1535" s="26"/>
      <c r="V1535" s="26"/>
      <c r="W1535" s="27"/>
    </row>
    <row r="1536" spans="1:23" ht="15.75" customHeight="1" x14ac:dyDescent="0.25">
      <c r="A1536" s="23"/>
      <c r="B1536" s="23" t="str">
        <f t="shared" si="6"/>
        <v/>
      </c>
      <c r="C1536" s="23"/>
      <c r="D1536" s="23"/>
      <c r="E1536" s="23"/>
      <c r="F1536" s="24"/>
      <c r="G1536" s="23"/>
      <c r="H1536" s="23"/>
      <c r="I1536" s="23"/>
      <c r="J1536" s="25"/>
      <c r="K1536" s="23"/>
      <c r="L1536" s="23"/>
      <c r="M1536" s="23"/>
      <c r="N1536" s="26"/>
      <c r="O1536" s="26"/>
      <c r="P1536" s="26"/>
      <c r="Q1536" s="26"/>
      <c r="R1536" s="26"/>
      <c r="S1536" s="26"/>
      <c r="T1536" s="26"/>
      <c r="U1536" s="26"/>
      <c r="V1536" s="26"/>
      <c r="W1536" s="27"/>
    </row>
    <row r="1537" spans="1:23" ht="15.75" customHeight="1" x14ac:dyDescent="0.25">
      <c r="A1537" s="23"/>
      <c r="B1537" s="23" t="str">
        <f t="shared" si="6"/>
        <v/>
      </c>
      <c r="C1537" s="23"/>
      <c r="D1537" s="23"/>
      <c r="E1537" s="23"/>
      <c r="F1537" s="24"/>
      <c r="G1537" s="23"/>
      <c r="H1537" s="23"/>
      <c r="I1537" s="23"/>
      <c r="J1537" s="25"/>
      <c r="K1537" s="23"/>
      <c r="L1537" s="23"/>
      <c r="M1537" s="23"/>
      <c r="N1537" s="26"/>
      <c r="O1537" s="26"/>
      <c r="P1537" s="26"/>
      <c r="Q1537" s="26"/>
      <c r="R1537" s="26"/>
      <c r="S1537" s="26"/>
      <c r="T1537" s="26"/>
      <c r="U1537" s="26"/>
      <c r="V1537" s="26"/>
      <c r="W1537" s="27"/>
    </row>
    <row r="1538" spans="1:23" ht="15.75" customHeight="1" x14ac:dyDescent="0.25">
      <c r="A1538" s="23"/>
      <c r="B1538" s="23" t="str">
        <f t="shared" si="6"/>
        <v/>
      </c>
      <c r="C1538" s="23"/>
      <c r="D1538" s="23"/>
      <c r="E1538" s="23"/>
      <c r="F1538" s="24"/>
      <c r="G1538" s="23"/>
      <c r="H1538" s="23"/>
      <c r="I1538" s="23"/>
      <c r="J1538" s="25"/>
      <c r="K1538" s="23"/>
      <c r="L1538" s="23"/>
      <c r="M1538" s="23"/>
      <c r="N1538" s="26"/>
      <c r="O1538" s="26"/>
      <c r="P1538" s="26"/>
      <c r="Q1538" s="26"/>
      <c r="R1538" s="26"/>
      <c r="S1538" s="26"/>
      <c r="T1538" s="26"/>
      <c r="U1538" s="26"/>
      <c r="V1538" s="26"/>
      <c r="W1538" s="27"/>
    </row>
    <row r="1539" spans="1:23" ht="15.75" customHeight="1" x14ac:dyDescent="0.25">
      <c r="A1539" s="23"/>
      <c r="B1539" s="23" t="str">
        <f t="shared" si="6"/>
        <v/>
      </c>
      <c r="C1539" s="23"/>
      <c r="D1539" s="23"/>
      <c r="E1539" s="23"/>
      <c r="F1539" s="24"/>
      <c r="G1539" s="23"/>
      <c r="H1539" s="23"/>
      <c r="I1539" s="23"/>
      <c r="J1539" s="25"/>
      <c r="K1539" s="23"/>
      <c r="L1539" s="23"/>
      <c r="M1539" s="23"/>
      <c r="N1539" s="26"/>
      <c r="O1539" s="26"/>
      <c r="P1539" s="26"/>
      <c r="Q1539" s="26"/>
      <c r="R1539" s="26"/>
      <c r="S1539" s="26"/>
      <c r="T1539" s="26"/>
      <c r="U1539" s="26"/>
      <c r="V1539" s="26"/>
      <c r="W1539" s="27"/>
    </row>
    <row r="1540" spans="1:23" ht="15.75" customHeight="1" x14ac:dyDescent="0.25">
      <c r="A1540" s="23"/>
      <c r="B1540" s="23" t="str">
        <f t="shared" si="6"/>
        <v/>
      </c>
      <c r="C1540" s="23"/>
      <c r="D1540" s="23"/>
      <c r="E1540" s="23"/>
      <c r="F1540" s="24"/>
      <c r="G1540" s="23"/>
      <c r="H1540" s="23"/>
      <c r="I1540" s="23"/>
      <c r="J1540" s="25"/>
      <c r="K1540" s="23"/>
      <c r="L1540" s="23"/>
      <c r="M1540" s="23"/>
      <c r="N1540" s="26"/>
      <c r="O1540" s="26"/>
      <c r="P1540" s="26"/>
      <c r="Q1540" s="26"/>
      <c r="R1540" s="26"/>
      <c r="S1540" s="26"/>
      <c r="T1540" s="26"/>
      <c r="U1540" s="26"/>
      <c r="V1540" s="26"/>
      <c r="W1540" s="27"/>
    </row>
    <row r="1541" spans="1:23" ht="15.75" customHeight="1" x14ac:dyDescent="0.25">
      <c r="A1541" s="23"/>
      <c r="B1541" s="23" t="str">
        <f t="shared" si="6"/>
        <v/>
      </c>
      <c r="C1541" s="23"/>
      <c r="D1541" s="23"/>
      <c r="E1541" s="23"/>
      <c r="F1541" s="24"/>
      <c r="G1541" s="23"/>
      <c r="H1541" s="23"/>
      <c r="I1541" s="23"/>
      <c r="J1541" s="25"/>
      <c r="K1541" s="23"/>
      <c r="L1541" s="23"/>
      <c r="M1541" s="23"/>
      <c r="N1541" s="26"/>
      <c r="O1541" s="26"/>
      <c r="P1541" s="26"/>
      <c r="Q1541" s="26"/>
      <c r="R1541" s="26"/>
      <c r="S1541" s="26"/>
      <c r="T1541" s="26"/>
      <c r="U1541" s="26"/>
      <c r="V1541" s="26"/>
      <c r="W1541" s="27"/>
    </row>
    <row r="1542" spans="1:23" ht="15.75" customHeight="1" x14ac:dyDescent="0.25">
      <c r="A1542" s="23"/>
      <c r="B1542" s="23" t="str">
        <f t="shared" si="6"/>
        <v/>
      </c>
      <c r="C1542" s="23"/>
      <c r="D1542" s="23"/>
      <c r="E1542" s="23"/>
      <c r="F1542" s="24"/>
      <c r="G1542" s="23"/>
      <c r="H1542" s="23"/>
      <c r="I1542" s="23"/>
      <c r="J1542" s="25"/>
      <c r="K1542" s="23"/>
      <c r="L1542" s="23"/>
      <c r="M1542" s="23"/>
      <c r="N1542" s="26"/>
      <c r="O1542" s="26"/>
      <c r="P1542" s="26"/>
      <c r="Q1542" s="26"/>
      <c r="R1542" s="26"/>
      <c r="S1542" s="26"/>
      <c r="T1542" s="26"/>
      <c r="U1542" s="26"/>
      <c r="V1542" s="26"/>
      <c r="W1542" s="27"/>
    </row>
    <row r="1543" spans="1:23" ht="15.75" customHeight="1" x14ac:dyDescent="0.25">
      <c r="A1543" s="23"/>
      <c r="B1543" s="23" t="str">
        <f t="shared" si="6"/>
        <v/>
      </c>
      <c r="C1543" s="23"/>
      <c r="D1543" s="23"/>
      <c r="E1543" s="23"/>
      <c r="F1543" s="24"/>
      <c r="G1543" s="23"/>
      <c r="H1543" s="23"/>
      <c r="I1543" s="23"/>
      <c r="J1543" s="25"/>
      <c r="K1543" s="23"/>
      <c r="L1543" s="23"/>
      <c r="M1543" s="23"/>
      <c r="N1543" s="26"/>
      <c r="O1543" s="26"/>
      <c r="P1543" s="26"/>
      <c r="Q1543" s="26"/>
      <c r="R1543" s="26"/>
      <c r="S1543" s="26"/>
      <c r="T1543" s="26"/>
      <c r="U1543" s="26"/>
      <c r="V1543" s="26"/>
      <c r="W1543" s="27"/>
    </row>
    <row r="1544" spans="1:23" ht="15.75" customHeight="1" x14ac:dyDescent="0.25">
      <c r="A1544" s="23"/>
      <c r="B1544" s="23" t="str">
        <f t="shared" si="6"/>
        <v/>
      </c>
      <c r="C1544" s="23"/>
      <c r="D1544" s="23"/>
      <c r="E1544" s="23"/>
      <c r="F1544" s="24"/>
      <c r="G1544" s="23"/>
      <c r="H1544" s="23"/>
      <c r="I1544" s="23"/>
      <c r="J1544" s="25"/>
      <c r="K1544" s="23"/>
      <c r="L1544" s="23"/>
      <c r="M1544" s="23"/>
      <c r="N1544" s="26"/>
      <c r="O1544" s="26"/>
      <c r="P1544" s="26"/>
      <c r="Q1544" s="26"/>
      <c r="R1544" s="26"/>
      <c r="S1544" s="26"/>
      <c r="T1544" s="26"/>
      <c r="U1544" s="26"/>
      <c r="V1544" s="26"/>
      <c r="W1544" s="27"/>
    </row>
    <row r="1545" spans="1:23" ht="15.75" customHeight="1" x14ac:dyDescent="0.25">
      <c r="A1545" s="23"/>
      <c r="B1545" s="23" t="str">
        <f t="shared" si="6"/>
        <v/>
      </c>
      <c r="C1545" s="23"/>
      <c r="D1545" s="23"/>
      <c r="E1545" s="23"/>
      <c r="F1545" s="24"/>
      <c r="G1545" s="23"/>
      <c r="H1545" s="23"/>
      <c r="I1545" s="23"/>
      <c r="J1545" s="25"/>
      <c r="K1545" s="23"/>
      <c r="L1545" s="23"/>
      <c r="M1545" s="23"/>
      <c r="N1545" s="26"/>
      <c r="O1545" s="26"/>
      <c r="P1545" s="26"/>
      <c r="Q1545" s="26"/>
      <c r="R1545" s="26"/>
      <c r="S1545" s="26"/>
      <c r="T1545" s="26"/>
      <c r="U1545" s="26"/>
      <c r="V1545" s="26"/>
      <c r="W1545" s="27"/>
    </row>
    <row r="1546" spans="1:23" ht="15.75" customHeight="1" x14ac:dyDescent="0.25">
      <c r="A1546" s="23"/>
      <c r="B1546" s="23" t="str">
        <f t="shared" si="6"/>
        <v/>
      </c>
      <c r="C1546" s="23"/>
      <c r="D1546" s="23"/>
      <c r="E1546" s="23"/>
      <c r="F1546" s="24"/>
      <c r="G1546" s="23"/>
      <c r="H1546" s="23"/>
      <c r="I1546" s="23"/>
      <c r="J1546" s="25"/>
      <c r="K1546" s="23"/>
      <c r="L1546" s="23"/>
      <c r="M1546" s="23"/>
      <c r="N1546" s="26"/>
      <c r="O1546" s="26"/>
      <c r="P1546" s="26"/>
      <c r="Q1546" s="26"/>
      <c r="R1546" s="26"/>
      <c r="S1546" s="26"/>
      <c r="T1546" s="26"/>
      <c r="U1546" s="26"/>
      <c r="V1546" s="26"/>
      <c r="W1546" s="27"/>
    </row>
    <row r="1547" spans="1:23" ht="15.75" customHeight="1" x14ac:dyDescent="0.25">
      <c r="A1547" s="23"/>
      <c r="B1547" s="23" t="str">
        <f t="shared" si="6"/>
        <v/>
      </c>
      <c r="C1547" s="23"/>
      <c r="D1547" s="23"/>
      <c r="E1547" s="23"/>
      <c r="F1547" s="24"/>
      <c r="G1547" s="23"/>
      <c r="H1547" s="23"/>
      <c r="I1547" s="23"/>
      <c r="J1547" s="25"/>
      <c r="K1547" s="23"/>
      <c r="L1547" s="23"/>
      <c r="M1547" s="23"/>
      <c r="N1547" s="26"/>
      <c r="O1547" s="26"/>
      <c r="P1547" s="26"/>
      <c r="Q1547" s="26"/>
      <c r="R1547" s="26"/>
      <c r="S1547" s="26"/>
      <c r="T1547" s="26"/>
      <c r="U1547" s="26"/>
      <c r="V1547" s="26"/>
      <c r="W1547" s="27"/>
    </row>
    <row r="1548" spans="1:23" ht="15.75" customHeight="1" x14ac:dyDescent="0.25">
      <c r="A1548" s="23"/>
      <c r="B1548" s="23" t="str">
        <f t="shared" si="6"/>
        <v/>
      </c>
      <c r="C1548" s="23"/>
      <c r="D1548" s="23"/>
      <c r="E1548" s="23"/>
      <c r="F1548" s="24"/>
      <c r="G1548" s="23"/>
      <c r="H1548" s="23"/>
      <c r="I1548" s="23"/>
      <c r="J1548" s="25"/>
      <c r="K1548" s="23"/>
      <c r="L1548" s="23"/>
      <c r="M1548" s="23"/>
      <c r="N1548" s="26"/>
      <c r="O1548" s="26"/>
      <c r="P1548" s="26"/>
      <c r="Q1548" s="26"/>
      <c r="R1548" s="26"/>
      <c r="S1548" s="26"/>
      <c r="T1548" s="26"/>
      <c r="U1548" s="26"/>
      <c r="V1548" s="26"/>
      <c r="W1548" s="27"/>
    </row>
    <row r="1549" spans="1:23" ht="15.75" customHeight="1" x14ac:dyDescent="0.25">
      <c r="A1549" s="23"/>
      <c r="B1549" s="23" t="str">
        <f t="shared" si="6"/>
        <v/>
      </c>
      <c r="C1549" s="23"/>
      <c r="D1549" s="23"/>
      <c r="E1549" s="23"/>
      <c r="F1549" s="24"/>
      <c r="G1549" s="23"/>
      <c r="H1549" s="23"/>
      <c r="I1549" s="23"/>
      <c r="J1549" s="25"/>
      <c r="K1549" s="23"/>
      <c r="L1549" s="23"/>
      <c r="M1549" s="23"/>
      <c r="N1549" s="26"/>
      <c r="O1549" s="26"/>
      <c r="P1549" s="26"/>
      <c r="Q1549" s="26"/>
      <c r="R1549" s="26"/>
      <c r="S1549" s="26"/>
      <c r="T1549" s="26"/>
      <c r="U1549" s="26"/>
      <c r="V1549" s="26"/>
      <c r="W1549" s="27"/>
    </row>
    <row r="1550" spans="1:23" ht="15.75" customHeight="1" x14ac:dyDescent="0.25">
      <c r="A1550" s="23"/>
      <c r="B1550" s="23" t="str">
        <f t="shared" ref="B1550:B1804" si="7">MID(X1550,18,30)</f>
        <v/>
      </c>
      <c r="C1550" s="23"/>
      <c r="D1550" s="23"/>
      <c r="E1550" s="23"/>
      <c r="F1550" s="24"/>
      <c r="G1550" s="23"/>
      <c r="H1550" s="23"/>
      <c r="I1550" s="23"/>
      <c r="J1550" s="25"/>
      <c r="K1550" s="23"/>
      <c r="L1550" s="23"/>
      <c r="M1550" s="23"/>
      <c r="N1550" s="26"/>
      <c r="O1550" s="26"/>
      <c r="P1550" s="26"/>
      <c r="Q1550" s="26"/>
      <c r="R1550" s="26"/>
      <c r="S1550" s="26"/>
      <c r="T1550" s="26"/>
      <c r="U1550" s="26"/>
      <c r="V1550" s="26"/>
      <c r="W1550" s="27"/>
    </row>
    <row r="1551" spans="1:23" ht="15.75" customHeight="1" x14ac:dyDescent="0.25">
      <c r="A1551" s="23"/>
      <c r="B1551" s="23" t="str">
        <f t="shared" si="7"/>
        <v/>
      </c>
      <c r="C1551" s="23"/>
      <c r="D1551" s="23"/>
      <c r="E1551" s="23"/>
      <c r="F1551" s="24"/>
      <c r="G1551" s="23"/>
      <c r="H1551" s="23"/>
      <c r="I1551" s="23"/>
      <c r="J1551" s="25"/>
      <c r="K1551" s="23"/>
      <c r="L1551" s="23"/>
      <c r="M1551" s="23"/>
      <c r="N1551" s="26"/>
      <c r="O1551" s="26"/>
      <c r="P1551" s="26"/>
      <c r="Q1551" s="26"/>
      <c r="R1551" s="26"/>
      <c r="S1551" s="26"/>
      <c r="T1551" s="26"/>
      <c r="U1551" s="26"/>
      <c r="V1551" s="26"/>
      <c r="W1551" s="27"/>
    </row>
    <row r="1552" spans="1:23" ht="15.75" customHeight="1" x14ac:dyDescent="0.25">
      <c r="A1552" s="23"/>
      <c r="B1552" s="23" t="str">
        <f t="shared" si="7"/>
        <v/>
      </c>
      <c r="C1552" s="23"/>
      <c r="D1552" s="23"/>
      <c r="E1552" s="23"/>
      <c r="F1552" s="24"/>
      <c r="G1552" s="23"/>
      <c r="H1552" s="23"/>
      <c r="I1552" s="23"/>
      <c r="J1552" s="25"/>
      <c r="K1552" s="23"/>
      <c r="L1552" s="23"/>
      <c r="M1552" s="23"/>
      <c r="N1552" s="26"/>
      <c r="O1552" s="26"/>
      <c r="P1552" s="26"/>
      <c r="Q1552" s="26"/>
      <c r="R1552" s="26"/>
      <c r="S1552" s="26"/>
      <c r="T1552" s="26"/>
      <c r="U1552" s="26"/>
      <c r="V1552" s="26"/>
      <c r="W1552" s="27"/>
    </row>
    <row r="1553" spans="1:23" ht="15.75" customHeight="1" x14ac:dyDescent="0.25">
      <c r="A1553" s="23"/>
      <c r="B1553" s="23" t="str">
        <f t="shared" si="7"/>
        <v/>
      </c>
      <c r="C1553" s="23"/>
      <c r="D1553" s="23"/>
      <c r="E1553" s="23"/>
      <c r="F1553" s="24"/>
      <c r="G1553" s="23"/>
      <c r="H1553" s="23"/>
      <c r="I1553" s="23"/>
      <c r="J1553" s="25"/>
      <c r="K1553" s="23"/>
      <c r="L1553" s="23"/>
      <c r="M1553" s="23"/>
      <c r="N1553" s="26"/>
      <c r="O1553" s="26"/>
      <c r="P1553" s="26"/>
      <c r="Q1553" s="26"/>
      <c r="R1553" s="26"/>
      <c r="S1553" s="26"/>
      <c r="T1553" s="26"/>
      <c r="U1553" s="26"/>
      <c r="V1553" s="26"/>
      <c r="W1553" s="27"/>
    </row>
    <row r="1554" spans="1:23" ht="15.75" customHeight="1" x14ac:dyDescent="0.25">
      <c r="A1554" s="23"/>
      <c r="B1554" s="23" t="str">
        <f t="shared" si="7"/>
        <v/>
      </c>
      <c r="C1554" s="23"/>
      <c r="D1554" s="23"/>
      <c r="E1554" s="23"/>
      <c r="F1554" s="24"/>
      <c r="G1554" s="23"/>
      <c r="H1554" s="23"/>
      <c r="I1554" s="23"/>
      <c r="J1554" s="25"/>
      <c r="K1554" s="23"/>
      <c r="L1554" s="23"/>
      <c r="M1554" s="23"/>
      <c r="N1554" s="26"/>
      <c r="O1554" s="26"/>
      <c r="P1554" s="26"/>
      <c r="Q1554" s="26"/>
      <c r="R1554" s="26"/>
      <c r="S1554" s="26"/>
      <c r="T1554" s="26"/>
      <c r="U1554" s="26"/>
      <c r="V1554" s="26"/>
      <c r="W1554" s="27"/>
    </row>
    <row r="1555" spans="1:23" ht="15.75" customHeight="1" x14ac:dyDescent="0.25">
      <c r="A1555" s="23"/>
      <c r="B1555" s="23" t="str">
        <f t="shared" si="7"/>
        <v/>
      </c>
      <c r="C1555" s="23"/>
      <c r="D1555" s="23"/>
      <c r="E1555" s="23"/>
      <c r="F1555" s="24"/>
      <c r="G1555" s="23"/>
      <c r="H1555" s="23"/>
      <c r="I1555" s="23"/>
      <c r="J1555" s="25"/>
      <c r="K1555" s="23"/>
      <c r="L1555" s="23"/>
      <c r="M1555" s="23"/>
      <c r="N1555" s="26"/>
      <c r="O1555" s="26"/>
      <c r="P1555" s="26"/>
      <c r="Q1555" s="26"/>
      <c r="R1555" s="26"/>
      <c r="S1555" s="26"/>
      <c r="T1555" s="26"/>
      <c r="U1555" s="26"/>
      <c r="V1555" s="26"/>
      <c r="W1555" s="27"/>
    </row>
    <row r="1556" spans="1:23" ht="15.75" customHeight="1" x14ac:dyDescent="0.25">
      <c r="A1556" s="23"/>
      <c r="B1556" s="23" t="str">
        <f t="shared" si="7"/>
        <v/>
      </c>
      <c r="C1556" s="23"/>
      <c r="D1556" s="23"/>
      <c r="E1556" s="23"/>
      <c r="F1556" s="24"/>
      <c r="G1556" s="23"/>
      <c r="H1556" s="23"/>
      <c r="I1556" s="23"/>
      <c r="J1556" s="25"/>
      <c r="K1556" s="23"/>
      <c r="L1556" s="23"/>
      <c r="M1556" s="23"/>
      <c r="N1556" s="26"/>
      <c r="O1556" s="26"/>
      <c r="P1556" s="26"/>
      <c r="Q1556" s="26"/>
      <c r="R1556" s="26"/>
      <c r="S1556" s="26"/>
      <c r="T1556" s="26"/>
      <c r="U1556" s="26"/>
      <c r="V1556" s="26"/>
      <c r="W1556" s="27"/>
    </row>
    <row r="1557" spans="1:23" ht="15.75" customHeight="1" x14ac:dyDescent="0.25">
      <c r="A1557" s="23"/>
      <c r="B1557" s="23" t="str">
        <f t="shared" si="7"/>
        <v/>
      </c>
      <c r="C1557" s="23"/>
      <c r="D1557" s="23"/>
      <c r="E1557" s="23"/>
      <c r="F1557" s="24"/>
      <c r="G1557" s="23"/>
      <c r="H1557" s="23"/>
      <c r="I1557" s="23"/>
      <c r="J1557" s="25"/>
      <c r="K1557" s="23"/>
      <c r="L1557" s="23"/>
      <c r="M1557" s="23"/>
      <c r="N1557" s="26"/>
      <c r="O1557" s="26"/>
      <c r="P1557" s="26"/>
      <c r="Q1557" s="26"/>
      <c r="R1557" s="26"/>
      <c r="S1557" s="26"/>
      <c r="T1557" s="26"/>
      <c r="U1557" s="26"/>
      <c r="V1557" s="26"/>
      <c r="W1557" s="27"/>
    </row>
    <row r="1558" spans="1:23" ht="15.75" customHeight="1" x14ac:dyDescent="0.25">
      <c r="A1558" s="23"/>
      <c r="B1558" s="23" t="str">
        <f t="shared" si="7"/>
        <v/>
      </c>
      <c r="C1558" s="23"/>
      <c r="D1558" s="23"/>
      <c r="E1558" s="23"/>
      <c r="F1558" s="24"/>
      <c r="G1558" s="23"/>
      <c r="H1558" s="23"/>
      <c r="I1558" s="23"/>
      <c r="J1558" s="25"/>
      <c r="K1558" s="23"/>
      <c r="L1558" s="23"/>
      <c r="M1558" s="23"/>
      <c r="N1558" s="26"/>
      <c r="O1558" s="26"/>
      <c r="P1558" s="26"/>
      <c r="Q1558" s="26"/>
      <c r="R1558" s="26"/>
      <c r="S1558" s="26"/>
      <c r="T1558" s="26"/>
      <c r="U1558" s="26"/>
      <c r="V1558" s="26"/>
      <c r="W1558" s="27"/>
    </row>
    <row r="1559" spans="1:23" ht="15.75" customHeight="1" x14ac:dyDescent="0.25">
      <c r="A1559" s="23"/>
      <c r="B1559" s="23" t="str">
        <f t="shared" si="7"/>
        <v/>
      </c>
      <c r="C1559" s="23"/>
      <c r="D1559" s="23"/>
      <c r="E1559" s="23"/>
      <c r="F1559" s="24"/>
      <c r="G1559" s="23"/>
      <c r="H1559" s="23"/>
      <c r="I1559" s="23"/>
      <c r="J1559" s="25"/>
      <c r="K1559" s="23"/>
      <c r="L1559" s="23"/>
      <c r="M1559" s="23"/>
      <c r="N1559" s="26"/>
      <c r="O1559" s="26"/>
      <c r="P1559" s="26"/>
      <c r="Q1559" s="26"/>
      <c r="R1559" s="26"/>
      <c r="S1559" s="26"/>
      <c r="T1559" s="26"/>
      <c r="U1559" s="26"/>
      <c r="V1559" s="26"/>
      <c r="W1559" s="27"/>
    </row>
    <row r="1560" spans="1:23" ht="15.75" customHeight="1" x14ac:dyDescent="0.25">
      <c r="A1560" s="23"/>
      <c r="B1560" s="23" t="str">
        <f t="shared" si="7"/>
        <v/>
      </c>
      <c r="C1560" s="23"/>
      <c r="D1560" s="23"/>
      <c r="E1560" s="23"/>
      <c r="F1560" s="24"/>
      <c r="G1560" s="23"/>
      <c r="H1560" s="23"/>
      <c r="I1560" s="23"/>
      <c r="J1560" s="25"/>
      <c r="K1560" s="23"/>
      <c r="L1560" s="23"/>
      <c r="M1560" s="23"/>
      <c r="N1560" s="26"/>
      <c r="O1560" s="26"/>
      <c r="P1560" s="26"/>
      <c r="Q1560" s="26"/>
      <c r="R1560" s="26"/>
      <c r="S1560" s="26"/>
      <c r="T1560" s="26"/>
      <c r="U1560" s="26"/>
      <c r="V1560" s="26"/>
      <c r="W1560" s="27"/>
    </row>
    <row r="1561" spans="1:23" ht="15.75" customHeight="1" x14ac:dyDescent="0.25">
      <c r="A1561" s="23"/>
      <c r="B1561" s="23" t="str">
        <f t="shared" si="7"/>
        <v/>
      </c>
      <c r="C1561" s="23"/>
      <c r="D1561" s="23"/>
      <c r="E1561" s="23"/>
      <c r="F1561" s="24"/>
      <c r="G1561" s="23"/>
      <c r="H1561" s="23"/>
      <c r="I1561" s="23"/>
      <c r="J1561" s="25"/>
      <c r="K1561" s="23"/>
      <c r="L1561" s="23"/>
      <c r="M1561" s="23"/>
      <c r="N1561" s="26"/>
      <c r="O1561" s="26"/>
      <c r="P1561" s="26"/>
      <c r="Q1561" s="26"/>
      <c r="R1561" s="26"/>
      <c r="S1561" s="26"/>
      <c r="T1561" s="26"/>
      <c r="U1561" s="26"/>
      <c r="V1561" s="26"/>
      <c r="W1561" s="27"/>
    </row>
    <row r="1562" spans="1:23" ht="15.75" customHeight="1" x14ac:dyDescent="0.25">
      <c r="A1562" s="23"/>
      <c r="B1562" s="23" t="str">
        <f t="shared" si="7"/>
        <v/>
      </c>
      <c r="C1562" s="23"/>
      <c r="D1562" s="23"/>
      <c r="E1562" s="23"/>
      <c r="F1562" s="24"/>
      <c r="G1562" s="23"/>
      <c r="H1562" s="23"/>
      <c r="I1562" s="23"/>
      <c r="J1562" s="25"/>
      <c r="K1562" s="23"/>
      <c r="L1562" s="23"/>
      <c r="M1562" s="23"/>
      <c r="N1562" s="26"/>
      <c r="O1562" s="26"/>
      <c r="P1562" s="26"/>
      <c r="Q1562" s="26"/>
      <c r="R1562" s="26"/>
      <c r="S1562" s="26"/>
      <c r="T1562" s="26"/>
      <c r="U1562" s="26"/>
      <c r="V1562" s="26"/>
      <c r="W1562" s="27"/>
    </row>
    <row r="1563" spans="1:23" ht="15.75" customHeight="1" x14ac:dyDescent="0.25">
      <c r="A1563" s="23"/>
      <c r="B1563" s="23" t="str">
        <f t="shared" si="7"/>
        <v/>
      </c>
      <c r="C1563" s="23"/>
      <c r="D1563" s="23"/>
      <c r="E1563" s="23"/>
      <c r="F1563" s="24"/>
      <c r="G1563" s="23"/>
      <c r="H1563" s="23"/>
      <c r="I1563" s="23"/>
      <c r="J1563" s="25"/>
      <c r="K1563" s="23"/>
      <c r="L1563" s="23"/>
      <c r="M1563" s="23"/>
      <c r="N1563" s="26"/>
      <c r="O1563" s="26"/>
      <c r="P1563" s="26"/>
      <c r="Q1563" s="26"/>
      <c r="R1563" s="26"/>
      <c r="S1563" s="26"/>
      <c r="T1563" s="26"/>
      <c r="U1563" s="26"/>
      <c r="V1563" s="26"/>
      <c r="W1563" s="27"/>
    </row>
    <row r="1564" spans="1:23" ht="15.75" customHeight="1" x14ac:dyDescent="0.25">
      <c r="A1564" s="23"/>
      <c r="B1564" s="23" t="str">
        <f t="shared" si="7"/>
        <v/>
      </c>
      <c r="C1564" s="23"/>
      <c r="D1564" s="23"/>
      <c r="E1564" s="23"/>
      <c r="F1564" s="24"/>
      <c r="G1564" s="23"/>
      <c r="H1564" s="23"/>
      <c r="I1564" s="23"/>
      <c r="J1564" s="25"/>
      <c r="K1564" s="23"/>
      <c r="L1564" s="23"/>
      <c r="M1564" s="23"/>
      <c r="N1564" s="26"/>
      <c r="O1564" s="26"/>
      <c r="P1564" s="26"/>
      <c r="Q1564" s="26"/>
      <c r="R1564" s="26"/>
      <c r="S1564" s="26"/>
      <c r="T1564" s="26"/>
      <c r="U1564" s="26"/>
      <c r="V1564" s="26"/>
      <c r="W1564" s="27"/>
    </row>
    <row r="1565" spans="1:23" ht="15.75" customHeight="1" x14ac:dyDescent="0.25">
      <c r="A1565" s="23"/>
      <c r="B1565" s="23" t="str">
        <f t="shared" si="7"/>
        <v/>
      </c>
      <c r="C1565" s="23"/>
      <c r="D1565" s="23"/>
      <c r="E1565" s="23"/>
      <c r="F1565" s="24"/>
      <c r="G1565" s="23"/>
      <c r="H1565" s="23"/>
      <c r="I1565" s="23"/>
      <c r="J1565" s="25"/>
      <c r="K1565" s="23"/>
      <c r="L1565" s="23"/>
      <c r="M1565" s="23"/>
      <c r="N1565" s="26"/>
      <c r="O1565" s="26"/>
      <c r="P1565" s="26"/>
      <c r="Q1565" s="26"/>
      <c r="R1565" s="26"/>
      <c r="S1565" s="26"/>
      <c r="T1565" s="26"/>
      <c r="U1565" s="26"/>
      <c r="V1565" s="26"/>
      <c r="W1565" s="27"/>
    </row>
    <row r="1566" spans="1:23" ht="15.75" customHeight="1" x14ac:dyDescent="0.25">
      <c r="A1566" s="23"/>
      <c r="B1566" s="23" t="str">
        <f t="shared" si="7"/>
        <v/>
      </c>
      <c r="C1566" s="23"/>
      <c r="D1566" s="23"/>
      <c r="E1566" s="23"/>
      <c r="F1566" s="24"/>
      <c r="G1566" s="23"/>
      <c r="H1566" s="23"/>
      <c r="I1566" s="23"/>
      <c r="J1566" s="25"/>
      <c r="K1566" s="23"/>
      <c r="L1566" s="23"/>
      <c r="M1566" s="23"/>
      <c r="N1566" s="26"/>
      <c r="O1566" s="26"/>
      <c r="P1566" s="26"/>
      <c r="Q1566" s="26"/>
      <c r="R1566" s="26"/>
      <c r="S1566" s="26"/>
      <c r="T1566" s="26"/>
      <c r="U1566" s="26"/>
      <c r="V1566" s="26"/>
      <c r="W1566" s="27"/>
    </row>
    <row r="1567" spans="1:23" ht="15.75" customHeight="1" x14ac:dyDescent="0.25">
      <c r="A1567" s="23"/>
      <c r="B1567" s="23" t="str">
        <f t="shared" si="7"/>
        <v/>
      </c>
      <c r="C1567" s="23"/>
      <c r="D1567" s="23"/>
      <c r="E1567" s="23"/>
      <c r="F1567" s="24"/>
      <c r="G1567" s="23"/>
      <c r="H1567" s="23"/>
      <c r="I1567" s="23"/>
      <c r="J1567" s="25"/>
      <c r="K1567" s="23"/>
      <c r="L1567" s="23"/>
      <c r="M1567" s="23"/>
      <c r="N1567" s="26"/>
      <c r="O1567" s="26"/>
      <c r="P1567" s="26"/>
      <c r="Q1567" s="26"/>
      <c r="R1567" s="26"/>
      <c r="S1567" s="26"/>
      <c r="T1567" s="26"/>
      <c r="U1567" s="26"/>
      <c r="V1567" s="26"/>
      <c r="W1567" s="27"/>
    </row>
    <row r="1568" spans="1:23" ht="15.75" customHeight="1" x14ac:dyDescent="0.25">
      <c r="A1568" s="23"/>
      <c r="B1568" s="23" t="str">
        <f t="shared" si="7"/>
        <v/>
      </c>
      <c r="C1568" s="23"/>
      <c r="D1568" s="23"/>
      <c r="E1568" s="23"/>
      <c r="F1568" s="24"/>
      <c r="G1568" s="23"/>
      <c r="H1568" s="23"/>
      <c r="I1568" s="23"/>
      <c r="J1568" s="25"/>
      <c r="K1568" s="23"/>
      <c r="L1568" s="23"/>
      <c r="M1568" s="23"/>
      <c r="N1568" s="26"/>
      <c r="O1568" s="26"/>
      <c r="P1568" s="26"/>
      <c r="Q1568" s="26"/>
      <c r="R1568" s="26"/>
      <c r="S1568" s="26"/>
      <c r="T1568" s="26"/>
      <c r="U1568" s="26"/>
      <c r="V1568" s="26"/>
      <c r="W1568" s="27"/>
    </row>
    <row r="1569" spans="1:23" ht="15.75" customHeight="1" x14ac:dyDescent="0.25">
      <c r="A1569" s="23"/>
      <c r="B1569" s="23" t="str">
        <f t="shared" si="7"/>
        <v/>
      </c>
      <c r="C1569" s="23"/>
      <c r="D1569" s="23"/>
      <c r="E1569" s="23"/>
      <c r="F1569" s="24"/>
      <c r="G1569" s="23"/>
      <c r="H1569" s="23"/>
      <c r="I1569" s="23"/>
      <c r="J1569" s="25"/>
      <c r="K1569" s="23"/>
      <c r="L1569" s="23"/>
      <c r="M1569" s="23"/>
      <c r="N1569" s="26"/>
      <c r="O1569" s="26"/>
      <c r="P1569" s="26"/>
      <c r="Q1569" s="26"/>
      <c r="R1569" s="26"/>
      <c r="S1569" s="26"/>
      <c r="T1569" s="26"/>
      <c r="U1569" s="26"/>
      <c r="V1569" s="26"/>
      <c r="W1569" s="27"/>
    </row>
    <row r="1570" spans="1:23" ht="15.75" customHeight="1" x14ac:dyDescent="0.25">
      <c r="A1570" s="23"/>
      <c r="B1570" s="23" t="str">
        <f t="shared" si="7"/>
        <v/>
      </c>
      <c r="C1570" s="23"/>
      <c r="D1570" s="23"/>
      <c r="E1570" s="23"/>
      <c r="F1570" s="24"/>
      <c r="G1570" s="23"/>
      <c r="H1570" s="23"/>
      <c r="I1570" s="23"/>
      <c r="J1570" s="25"/>
      <c r="K1570" s="23"/>
      <c r="L1570" s="23"/>
      <c r="M1570" s="23"/>
      <c r="N1570" s="26"/>
      <c r="O1570" s="26"/>
      <c r="P1570" s="26"/>
      <c r="Q1570" s="26"/>
      <c r="R1570" s="26"/>
      <c r="S1570" s="26"/>
      <c r="T1570" s="26"/>
      <c r="U1570" s="26"/>
      <c r="V1570" s="26"/>
      <c r="W1570" s="27"/>
    </row>
    <row r="1571" spans="1:23" ht="15.75" customHeight="1" x14ac:dyDescent="0.25">
      <c r="A1571" s="23"/>
      <c r="B1571" s="23" t="str">
        <f t="shared" si="7"/>
        <v/>
      </c>
      <c r="C1571" s="23"/>
      <c r="D1571" s="23"/>
      <c r="E1571" s="23"/>
      <c r="F1571" s="24"/>
      <c r="G1571" s="23"/>
      <c r="H1571" s="23"/>
      <c r="I1571" s="23"/>
      <c r="J1571" s="25"/>
      <c r="K1571" s="23"/>
      <c r="L1571" s="23"/>
      <c r="M1571" s="23"/>
      <c r="N1571" s="26"/>
      <c r="O1571" s="26"/>
      <c r="P1571" s="26"/>
      <c r="Q1571" s="26"/>
      <c r="R1571" s="26"/>
      <c r="S1571" s="26"/>
      <c r="T1571" s="26"/>
      <c r="U1571" s="26"/>
      <c r="V1571" s="26"/>
      <c r="W1571" s="27"/>
    </row>
    <row r="1572" spans="1:23" ht="15.75" customHeight="1" x14ac:dyDescent="0.25">
      <c r="A1572" s="23"/>
      <c r="B1572" s="23" t="str">
        <f t="shared" si="7"/>
        <v/>
      </c>
      <c r="C1572" s="23"/>
      <c r="D1572" s="23"/>
      <c r="E1572" s="23"/>
      <c r="F1572" s="24"/>
      <c r="G1572" s="23"/>
      <c r="H1572" s="23"/>
      <c r="I1572" s="23"/>
      <c r="J1572" s="25"/>
      <c r="K1572" s="23"/>
      <c r="L1572" s="23"/>
      <c r="M1572" s="23"/>
      <c r="N1572" s="26"/>
      <c r="O1572" s="26"/>
      <c r="P1572" s="26"/>
      <c r="Q1572" s="26"/>
      <c r="R1572" s="26"/>
      <c r="S1572" s="26"/>
      <c r="T1572" s="26"/>
      <c r="U1572" s="26"/>
      <c r="V1572" s="26"/>
      <c r="W1572" s="27"/>
    </row>
    <row r="1573" spans="1:23" ht="15.75" customHeight="1" x14ac:dyDescent="0.25">
      <c r="A1573" s="23"/>
      <c r="B1573" s="23" t="str">
        <f t="shared" si="7"/>
        <v/>
      </c>
      <c r="C1573" s="23"/>
      <c r="D1573" s="23"/>
      <c r="E1573" s="23"/>
      <c r="F1573" s="24"/>
      <c r="G1573" s="23"/>
      <c r="H1573" s="23"/>
      <c r="I1573" s="23"/>
      <c r="J1573" s="25"/>
      <c r="K1573" s="23"/>
      <c r="L1573" s="23"/>
      <c r="M1573" s="23"/>
      <c r="N1573" s="26"/>
      <c r="O1573" s="26"/>
      <c r="P1573" s="26"/>
      <c r="Q1573" s="26"/>
      <c r="R1573" s="26"/>
      <c r="S1573" s="26"/>
      <c r="T1573" s="26"/>
      <c r="U1573" s="26"/>
      <c r="V1573" s="26"/>
      <c r="W1573" s="27"/>
    </row>
    <row r="1574" spans="1:23" ht="15.75" customHeight="1" x14ac:dyDescent="0.25">
      <c r="A1574" s="23"/>
      <c r="B1574" s="23" t="str">
        <f t="shared" si="7"/>
        <v/>
      </c>
      <c r="C1574" s="23"/>
      <c r="D1574" s="23"/>
      <c r="E1574" s="23"/>
      <c r="F1574" s="24"/>
      <c r="G1574" s="23"/>
      <c r="H1574" s="23"/>
      <c r="I1574" s="23"/>
      <c r="J1574" s="25"/>
      <c r="K1574" s="23"/>
      <c r="L1574" s="23"/>
      <c r="M1574" s="23"/>
      <c r="N1574" s="26"/>
      <c r="O1574" s="26"/>
      <c r="P1574" s="26"/>
      <c r="Q1574" s="26"/>
      <c r="R1574" s="26"/>
      <c r="S1574" s="26"/>
      <c r="T1574" s="26"/>
      <c r="U1574" s="26"/>
      <c r="V1574" s="26"/>
      <c r="W1574" s="27"/>
    </row>
    <row r="1575" spans="1:23" ht="15.75" customHeight="1" x14ac:dyDescent="0.25">
      <c r="A1575" s="23"/>
      <c r="B1575" s="23" t="str">
        <f t="shared" si="7"/>
        <v/>
      </c>
      <c r="C1575" s="23"/>
      <c r="D1575" s="23"/>
      <c r="E1575" s="23"/>
      <c r="F1575" s="24"/>
      <c r="G1575" s="23"/>
      <c r="H1575" s="23"/>
      <c r="I1575" s="23"/>
      <c r="J1575" s="25"/>
      <c r="K1575" s="23"/>
      <c r="L1575" s="23"/>
      <c r="M1575" s="23"/>
      <c r="N1575" s="26"/>
      <c r="O1575" s="26"/>
      <c r="P1575" s="26"/>
      <c r="Q1575" s="26"/>
      <c r="R1575" s="26"/>
      <c r="S1575" s="26"/>
      <c r="T1575" s="26"/>
      <c r="U1575" s="26"/>
      <c r="V1575" s="26"/>
      <c r="W1575" s="27"/>
    </row>
    <row r="1576" spans="1:23" ht="15.75" customHeight="1" x14ac:dyDescent="0.25">
      <c r="A1576" s="23"/>
      <c r="B1576" s="23" t="str">
        <f t="shared" si="7"/>
        <v/>
      </c>
      <c r="C1576" s="23"/>
      <c r="D1576" s="23"/>
      <c r="E1576" s="23"/>
      <c r="F1576" s="24"/>
      <c r="G1576" s="23"/>
      <c r="H1576" s="23"/>
      <c r="I1576" s="23"/>
      <c r="J1576" s="25"/>
      <c r="K1576" s="23"/>
      <c r="L1576" s="23"/>
      <c r="M1576" s="23"/>
      <c r="N1576" s="26"/>
      <c r="O1576" s="26"/>
      <c r="P1576" s="26"/>
      <c r="Q1576" s="26"/>
      <c r="R1576" s="26"/>
      <c r="S1576" s="26"/>
      <c r="T1576" s="26"/>
      <c r="U1576" s="26"/>
      <c r="V1576" s="26"/>
      <c r="W1576" s="27"/>
    </row>
    <row r="1577" spans="1:23" ht="15.75" customHeight="1" x14ac:dyDescent="0.25">
      <c r="A1577" s="23"/>
      <c r="B1577" s="23" t="str">
        <f t="shared" si="7"/>
        <v/>
      </c>
      <c r="C1577" s="23"/>
      <c r="D1577" s="23"/>
      <c r="E1577" s="23"/>
      <c r="F1577" s="24"/>
      <c r="G1577" s="23"/>
      <c r="H1577" s="23"/>
      <c r="I1577" s="23"/>
      <c r="J1577" s="25"/>
      <c r="K1577" s="23"/>
      <c r="L1577" s="23"/>
      <c r="M1577" s="23"/>
      <c r="N1577" s="26"/>
      <c r="O1577" s="26"/>
      <c r="P1577" s="26"/>
      <c r="Q1577" s="26"/>
      <c r="R1577" s="26"/>
      <c r="S1577" s="26"/>
      <c r="T1577" s="26"/>
      <c r="U1577" s="26"/>
      <c r="V1577" s="26"/>
      <c r="W1577" s="27"/>
    </row>
    <row r="1578" spans="1:23" ht="15.75" customHeight="1" x14ac:dyDescent="0.25">
      <c r="A1578" s="23"/>
      <c r="B1578" s="23" t="str">
        <f t="shared" si="7"/>
        <v/>
      </c>
      <c r="C1578" s="23"/>
      <c r="D1578" s="23"/>
      <c r="E1578" s="23"/>
      <c r="F1578" s="24"/>
      <c r="G1578" s="23"/>
      <c r="H1578" s="23"/>
      <c r="I1578" s="23"/>
      <c r="J1578" s="25"/>
      <c r="K1578" s="23"/>
      <c r="L1578" s="23"/>
      <c r="M1578" s="23"/>
      <c r="N1578" s="26"/>
      <c r="O1578" s="26"/>
      <c r="P1578" s="26"/>
      <c r="Q1578" s="26"/>
      <c r="R1578" s="26"/>
      <c r="S1578" s="26"/>
      <c r="T1578" s="26"/>
      <c r="U1578" s="26"/>
      <c r="V1578" s="26"/>
      <c r="W1578" s="27"/>
    </row>
    <row r="1579" spans="1:23" ht="15.75" customHeight="1" x14ac:dyDescent="0.25">
      <c r="A1579" s="23"/>
      <c r="B1579" s="23" t="str">
        <f t="shared" si="7"/>
        <v/>
      </c>
      <c r="C1579" s="23"/>
      <c r="D1579" s="23"/>
      <c r="E1579" s="23"/>
      <c r="F1579" s="24"/>
      <c r="G1579" s="23"/>
      <c r="H1579" s="23"/>
      <c r="I1579" s="23"/>
      <c r="J1579" s="25"/>
      <c r="K1579" s="23"/>
      <c r="L1579" s="23"/>
      <c r="M1579" s="23"/>
      <c r="N1579" s="26"/>
      <c r="O1579" s="26"/>
      <c r="P1579" s="26"/>
      <c r="Q1579" s="26"/>
      <c r="R1579" s="26"/>
      <c r="S1579" s="26"/>
      <c r="T1579" s="26"/>
      <c r="U1579" s="26"/>
      <c r="V1579" s="26"/>
      <c r="W1579" s="27"/>
    </row>
    <row r="1580" spans="1:23" ht="15.75" customHeight="1" x14ac:dyDescent="0.25">
      <c r="A1580" s="23"/>
      <c r="B1580" s="23" t="str">
        <f t="shared" si="7"/>
        <v/>
      </c>
      <c r="C1580" s="23"/>
      <c r="D1580" s="23"/>
      <c r="E1580" s="23"/>
      <c r="F1580" s="24"/>
      <c r="G1580" s="23"/>
      <c r="H1580" s="23"/>
      <c r="I1580" s="23"/>
      <c r="J1580" s="25"/>
      <c r="K1580" s="23"/>
      <c r="L1580" s="23"/>
      <c r="M1580" s="23"/>
      <c r="N1580" s="26"/>
      <c r="O1580" s="26"/>
      <c r="P1580" s="26"/>
      <c r="Q1580" s="26"/>
      <c r="R1580" s="26"/>
      <c r="S1580" s="26"/>
      <c r="T1580" s="26"/>
      <c r="U1580" s="26"/>
      <c r="V1580" s="26"/>
      <c r="W1580" s="27"/>
    </row>
    <row r="1581" spans="1:23" ht="15.75" customHeight="1" x14ac:dyDescent="0.25">
      <c r="A1581" s="23"/>
      <c r="B1581" s="23" t="str">
        <f t="shared" si="7"/>
        <v/>
      </c>
      <c r="C1581" s="23"/>
      <c r="D1581" s="23"/>
      <c r="E1581" s="23"/>
      <c r="F1581" s="24"/>
      <c r="G1581" s="23"/>
      <c r="H1581" s="23"/>
      <c r="I1581" s="23"/>
      <c r="J1581" s="25"/>
      <c r="K1581" s="23"/>
      <c r="L1581" s="23"/>
      <c r="M1581" s="23"/>
      <c r="N1581" s="26"/>
      <c r="O1581" s="26"/>
      <c r="P1581" s="26"/>
      <c r="Q1581" s="26"/>
      <c r="R1581" s="26"/>
      <c r="S1581" s="26"/>
      <c r="T1581" s="26"/>
      <c r="U1581" s="26"/>
      <c r="V1581" s="26"/>
      <c r="W1581" s="27"/>
    </row>
    <row r="1582" spans="1:23" ht="15.75" customHeight="1" x14ac:dyDescent="0.25">
      <c r="A1582" s="23"/>
      <c r="B1582" s="23" t="str">
        <f t="shared" si="7"/>
        <v/>
      </c>
      <c r="C1582" s="23"/>
      <c r="D1582" s="23"/>
      <c r="E1582" s="23"/>
      <c r="F1582" s="24"/>
      <c r="G1582" s="23"/>
      <c r="H1582" s="23"/>
      <c r="I1582" s="23"/>
      <c r="J1582" s="25"/>
      <c r="K1582" s="23"/>
      <c r="L1582" s="23"/>
      <c r="M1582" s="23"/>
      <c r="N1582" s="26"/>
      <c r="O1582" s="26"/>
      <c r="P1582" s="26"/>
      <c r="Q1582" s="26"/>
      <c r="R1582" s="26"/>
      <c r="S1582" s="26"/>
      <c r="T1582" s="26"/>
      <c r="U1582" s="26"/>
      <c r="V1582" s="26"/>
      <c r="W1582" s="27"/>
    </row>
    <row r="1583" spans="1:23" ht="15.75" customHeight="1" x14ac:dyDescent="0.25">
      <c r="A1583" s="23"/>
      <c r="B1583" s="23" t="str">
        <f t="shared" si="7"/>
        <v/>
      </c>
      <c r="C1583" s="23"/>
      <c r="D1583" s="23"/>
      <c r="E1583" s="23"/>
      <c r="F1583" s="24"/>
      <c r="G1583" s="23"/>
      <c r="H1583" s="23"/>
      <c r="I1583" s="23"/>
      <c r="J1583" s="25"/>
      <c r="K1583" s="23"/>
      <c r="L1583" s="23"/>
      <c r="M1583" s="23"/>
      <c r="N1583" s="26"/>
      <c r="O1583" s="26"/>
      <c r="P1583" s="26"/>
      <c r="Q1583" s="26"/>
      <c r="R1583" s="26"/>
      <c r="S1583" s="26"/>
      <c r="T1583" s="26"/>
      <c r="U1583" s="26"/>
      <c r="V1583" s="26"/>
      <c r="W1583" s="27"/>
    </row>
    <row r="1584" spans="1:23" ht="15.75" customHeight="1" x14ac:dyDescent="0.25">
      <c r="A1584" s="23"/>
      <c r="B1584" s="23" t="str">
        <f t="shared" si="7"/>
        <v/>
      </c>
      <c r="C1584" s="23"/>
      <c r="D1584" s="23"/>
      <c r="E1584" s="23"/>
      <c r="F1584" s="24"/>
      <c r="G1584" s="23"/>
      <c r="H1584" s="23"/>
      <c r="I1584" s="23"/>
      <c r="J1584" s="25"/>
      <c r="K1584" s="23"/>
      <c r="L1584" s="23"/>
      <c r="M1584" s="23"/>
      <c r="N1584" s="26"/>
      <c r="O1584" s="26"/>
      <c r="P1584" s="26"/>
      <c r="Q1584" s="26"/>
      <c r="R1584" s="26"/>
      <c r="S1584" s="26"/>
      <c r="T1584" s="26"/>
      <c r="U1584" s="26"/>
      <c r="V1584" s="26"/>
      <c r="W1584" s="27"/>
    </row>
    <row r="1585" spans="1:23" ht="15.75" customHeight="1" x14ac:dyDescent="0.25">
      <c r="A1585" s="23"/>
      <c r="B1585" s="23" t="str">
        <f t="shared" si="7"/>
        <v/>
      </c>
      <c r="C1585" s="23"/>
      <c r="D1585" s="23"/>
      <c r="E1585" s="23"/>
      <c r="F1585" s="24"/>
      <c r="G1585" s="23"/>
      <c r="H1585" s="23"/>
      <c r="I1585" s="23"/>
      <c r="J1585" s="25"/>
      <c r="K1585" s="23"/>
      <c r="L1585" s="23"/>
      <c r="M1585" s="23"/>
      <c r="N1585" s="26"/>
      <c r="O1585" s="26"/>
      <c r="P1585" s="26"/>
      <c r="Q1585" s="26"/>
      <c r="R1585" s="26"/>
      <c r="S1585" s="26"/>
      <c r="T1585" s="26"/>
      <c r="U1585" s="26"/>
      <c r="V1585" s="26"/>
      <c r="W1585" s="27"/>
    </row>
    <row r="1586" spans="1:23" ht="15.75" customHeight="1" x14ac:dyDescent="0.25">
      <c r="A1586" s="23"/>
      <c r="B1586" s="23" t="str">
        <f t="shared" si="7"/>
        <v/>
      </c>
      <c r="C1586" s="23"/>
      <c r="D1586" s="23"/>
      <c r="E1586" s="23"/>
      <c r="F1586" s="24"/>
      <c r="G1586" s="23"/>
      <c r="H1586" s="23"/>
      <c r="I1586" s="23"/>
      <c r="J1586" s="25"/>
      <c r="K1586" s="23"/>
      <c r="L1586" s="23"/>
      <c r="M1586" s="23"/>
      <c r="N1586" s="26"/>
      <c r="O1586" s="26"/>
      <c r="P1586" s="26"/>
      <c r="Q1586" s="26"/>
      <c r="R1586" s="26"/>
      <c r="S1586" s="26"/>
      <c r="T1586" s="26"/>
      <c r="U1586" s="26"/>
      <c r="V1586" s="26"/>
      <c r="W1586" s="27"/>
    </row>
    <row r="1587" spans="1:23" ht="15.75" customHeight="1" x14ac:dyDescent="0.25">
      <c r="A1587" s="23"/>
      <c r="B1587" s="23" t="str">
        <f t="shared" si="7"/>
        <v/>
      </c>
      <c r="C1587" s="23"/>
      <c r="D1587" s="23"/>
      <c r="E1587" s="23"/>
      <c r="F1587" s="24"/>
      <c r="G1587" s="23"/>
      <c r="H1587" s="23"/>
      <c r="I1587" s="23"/>
      <c r="J1587" s="25"/>
      <c r="K1587" s="23"/>
      <c r="L1587" s="23"/>
      <c r="M1587" s="23"/>
      <c r="N1587" s="26"/>
      <c r="O1587" s="26"/>
      <c r="P1587" s="26"/>
      <c r="Q1587" s="26"/>
      <c r="R1587" s="26"/>
      <c r="S1587" s="26"/>
      <c r="T1587" s="26"/>
      <c r="U1587" s="26"/>
      <c r="V1587" s="26"/>
      <c r="W1587" s="27"/>
    </row>
    <row r="1588" spans="1:23" ht="15.75" customHeight="1" x14ac:dyDescent="0.25">
      <c r="A1588" s="23"/>
      <c r="B1588" s="23" t="str">
        <f t="shared" si="7"/>
        <v/>
      </c>
      <c r="C1588" s="23"/>
      <c r="D1588" s="23"/>
      <c r="E1588" s="23"/>
      <c r="F1588" s="24"/>
      <c r="G1588" s="23"/>
      <c r="H1588" s="23"/>
      <c r="I1588" s="23"/>
      <c r="J1588" s="25"/>
      <c r="K1588" s="23"/>
      <c r="L1588" s="23"/>
      <c r="M1588" s="23"/>
      <c r="N1588" s="26"/>
      <c r="O1588" s="26"/>
      <c r="P1588" s="26"/>
      <c r="Q1588" s="26"/>
      <c r="R1588" s="26"/>
      <c r="S1588" s="26"/>
      <c r="T1588" s="26"/>
      <c r="U1588" s="26"/>
      <c r="V1588" s="26"/>
      <c r="W1588" s="27"/>
    </row>
    <row r="1589" spans="1:23" ht="15.75" customHeight="1" x14ac:dyDescent="0.25">
      <c r="A1589" s="23"/>
      <c r="B1589" s="23" t="str">
        <f t="shared" si="7"/>
        <v/>
      </c>
      <c r="C1589" s="23"/>
      <c r="D1589" s="23"/>
      <c r="E1589" s="23"/>
      <c r="F1589" s="24"/>
      <c r="G1589" s="23"/>
      <c r="H1589" s="23"/>
      <c r="I1589" s="23"/>
      <c r="J1589" s="25"/>
      <c r="K1589" s="23"/>
      <c r="L1589" s="23"/>
      <c r="M1589" s="23"/>
      <c r="N1589" s="26"/>
      <c r="O1589" s="26"/>
      <c r="P1589" s="26"/>
      <c r="Q1589" s="26"/>
      <c r="R1589" s="26"/>
      <c r="S1589" s="26"/>
      <c r="T1589" s="26"/>
      <c r="U1589" s="26"/>
      <c r="V1589" s="26"/>
      <c r="W1589" s="27"/>
    </row>
    <row r="1590" spans="1:23" ht="15.75" customHeight="1" x14ac:dyDescent="0.25">
      <c r="A1590" s="23"/>
      <c r="B1590" s="23" t="str">
        <f t="shared" si="7"/>
        <v/>
      </c>
      <c r="C1590" s="23"/>
      <c r="D1590" s="23"/>
      <c r="E1590" s="23"/>
      <c r="F1590" s="24"/>
      <c r="G1590" s="23"/>
      <c r="H1590" s="23"/>
      <c r="I1590" s="23"/>
      <c r="J1590" s="25"/>
      <c r="K1590" s="23"/>
      <c r="L1590" s="23"/>
      <c r="M1590" s="23"/>
      <c r="N1590" s="26"/>
      <c r="O1590" s="26"/>
      <c r="P1590" s="26"/>
      <c r="Q1590" s="26"/>
      <c r="R1590" s="26"/>
      <c r="S1590" s="26"/>
      <c r="T1590" s="26"/>
      <c r="U1590" s="26"/>
      <c r="V1590" s="26"/>
      <c r="W1590" s="27"/>
    </row>
    <row r="1591" spans="1:23" ht="15.75" customHeight="1" x14ac:dyDescent="0.25">
      <c r="A1591" s="23"/>
      <c r="B1591" s="23" t="str">
        <f t="shared" si="7"/>
        <v/>
      </c>
      <c r="C1591" s="23"/>
      <c r="D1591" s="23"/>
      <c r="E1591" s="23"/>
      <c r="F1591" s="24"/>
      <c r="G1591" s="23"/>
      <c r="H1591" s="23"/>
      <c r="I1591" s="23"/>
      <c r="J1591" s="25"/>
      <c r="K1591" s="23"/>
      <c r="L1591" s="23"/>
      <c r="M1591" s="23"/>
      <c r="N1591" s="26"/>
      <c r="O1591" s="26"/>
      <c r="P1591" s="26"/>
      <c r="Q1591" s="26"/>
      <c r="R1591" s="26"/>
      <c r="S1591" s="26"/>
      <c r="T1591" s="26"/>
      <c r="U1591" s="26"/>
      <c r="V1591" s="26"/>
      <c r="W1591" s="27"/>
    </row>
    <row r="1592" spans="1:23" ht="15.75" customHeight="1" x14ac:dyDescent="0.25">
      <c r="A1592" s="23"/>
      <c r="B1592" s="23" t="str">
        <f t="shared" si="7"/>
        <v/>
      </c>
      <c r="C1592" s="23"/>
      <c r="D1592" s="23"/>
      <c r="E1592" s="23"/>
      <c r="F1592" s="24"/>
      <c r="G1592" s="23"/>
      <c r="H1592" s="23"/>
      <c r="I1592" s="23"/>
      <c r="J1592" s="25"/>
      <c r="K1592" s="23"/>
      <c r="L1592" s="23"/>
      <c r="M1592" s="23"/>
      <c r="N1592" s="26"/>
      <c r="O1592" s="26"/>
      <c r="P1592" s="26"/>
      <c r="Q1592" s="26"/>
      <c r="R1592" s="26"/>
      <c r="S1592" s="26"/>
      <c r="T1592" s="26"/>
      <c r="U1592" s="26"/>
      <c r="V1592" s="26"/>
      <c r="W1592" s="27"/>
    </row>
    <row r="1593" spans="1:23" ht="15.75" customHeight="1" x14ac:dyDescent="0.25">
      <c r="A1593" s="23"/>
      <c r="B1593" s="23" t="str">
        <f t="shared" si="7"/>
        <v/>
      </c>
      <c r="C1593" s="23"/>
      <c r="D1593" s="23"/>
      <c r="E1593" s="23"/>
      <c r="F1593" s="24"/>
      <c r="G1593" s="23"/>
      <c r="H1593" s="23"/>
      <c r="I1593" s="23"/>
      <c r="J1593" s="25"/>
      <c r="K1593" s="23"/>
      <c r="L1593" s="23"/>
      <c r="M1593" s="23"/>
      <c r="N1593" s="26"/>
      <c r="O1593" s="26"/>
      <c r="P1593" s="26"/>
      <c r="Q1593" s="26"/>
      <c r="R1593" s="26"/>
      <c r="S1593" s="26"/>
      <c r="T1593" s="26"/>
      <c r="U1593" s="26"/>
      <c r="V1593" s="26"/>
      <c r="W1593" s="27"/>
    </row>
    <row r="1594" spans="1:23" ht="15.75" customHeight="1" x14ac:dyDescent="0.25">
      <c r="A1594" s="23"/>
      <c r="B1594" s="23" t="str">
        <f t="shared" si="7"/>
        <v/>
      </c>
      <c r="C1594" s="23"/>
      <c r="D1594" s="23"/>
      <c r="E1594" s="23"/>
      <c r="F1594" s="24"/>
      <c r="G1594" s="23"/>
      <c r="H1594" s="23"/>
      <c r="I1594" s="23"/>
      <c r="J1594" s="25"/>
      <c r="K1594" s="23"/>
      <c r="L1594" s="23"/>
      <c r="M1594" s="23"/>
      <c r="N1594" s="26"/>
      <c r="O1594" s="26"/>
      <c r="P1594" s="26"/>
      <c r="Q1594" s="26"/>
      <c r="R1594" s="26"/>
      <c r="S1594" s="26"/>
      <c r="T1594" s="26"/>
      <c r="U1594" s="26"/>
      <c r="V1594" s="26"/>
      <c r="W1594" s="27"/>
    </row>
    <row r="1595" spans="1:23" ht="15.75" customHeight="1" x14ac:dyDescent="0.25">
      <c r="A1595" s="23"/>
      <c r="B1595" s="23" t="str">
        <f t="shared" si="7"/>
        <v/>
      </c>
      <c r="C1595" s="23"/>
      <c r="D1595" s="23"/>
      <c r="E1595" s="23"/>
      <c r="F1595" s="24"/>
      <c r="G1595" s="23"/>
      <c r="H1595" s="23"/>
      <c r="I1595" s="23"/>
      <c r="J1595" s="25"/>
      <c r="K1595" s="23"/>
      <c r="L1595" s="23"/>
      <c r="M1595" s="23"/>
      <c r="N1595" s="26"/>
      <c r="O1595" s="26"/>
      <c r="P1595" s="26"/>
      <c r="Q1595" s="26"/>
      <c r="R1595" s="26"/>
      <c r="S1595" s="26"/>
      <c r="T1595" s="26"/>
      <c r="U1595" s="26"/>
      <c r="V1595" s="26"/>
      <c r="W1595" s="27"/>
    </row>
    <row r="1596" spans="1:23" ht="15.75" customHeight="1" x14ac:dyDescent="0.25">
      <c r="A1596" s="23"/>
      <c r="B1596" s="23" t="str">
        <f t="shared" si="7"/>
        <v/>
      </c>
      <c r="C1596" s="23"/>
      <c r="D1596" s="23"/>
      <c r="E1596" s="23"/>
      <c r="F1596" s="24"/>
      <c r="G1596" s="23"/>
      <c r="H1596" s="23"/>
      <c r="I1596" s="23"/>
      <c r="J1596" s="25"/>
      <c r="K1596" s="23"/>
      <c r="L1596" s="23"/>
      <c r="M1596" s="23"/>
      <c r="N1596" s="26"/>
      <c r="O1596" s="26"/>
      <c r="P1596" s="26"/>
      <c r="Q1596" s="26"/>
      <c r="R1596" s="26"/>
      <c r="S1596" s="26"/>
      <c r="T1596" s="26"/>
      <c r="U1596" s="26"/>
      <c r="V1596" s="26"/>
      <c r="W1596" s="27"/>
    </row>
    <row r="1597" spans="1:23" ht="15.75" customHeight="1" x14ac:dyDescent="0.25">
      <c r="A1597" s="23"/>
      <c r="B1597" s="23" t="str">
        <f t="shared" si="7"/>
        <v/>
      </c>
      <c r="C1597" s="23"/>
      <c r="D1597" s="23"/>
      <c r="E1597" s="23"/>
      <c r="F1597" s="24"/>
      <c r="G1597" s="23"/>
      <c r="H1597" s="23"/>
      <c r="I1597" s="23"/>
      <c r="J1597" s="25"/>
      <c r="K1597" s="23"/>
      <c r="L1597" s="23"/>
      <c r="M1597" s="23"/>
      <c r="N1597" s="26"/>
      <c r="O1597" s="26"/>
      <c r="P1597" s="26"/>
      <c r="Q1597" s="26"/>
      <c r="R1597" s="26"/>
      <c r="S1597" s="26"/>
      <c r="T1597" s="26"/>
      <c r="U1597" s="26"/>
      <c r="V1597" s="26"/>
      <c r="W1597" s="27"/>
    </row>
    <row r="1598" spans="1:23" ht="15.75" customHeight="1" x14ac:dyDescent="0.25">
      <c r="A1598" s="23"/>
      <c r="B1598" s="23" t="str">
        <f t="shared" si="7"/>
        <v/>
      </c>
      <c r="C1598" s="23"/>
      <c r="D1598" s="23"/>
      <c r="E1598" s="23"/>
      <c r="F1598" s="24"/>
      <c r="G1598" s="23"/>
      <c r="H1598" s="23"/>
      <c r="I1598" s="23"/>
      <c r="J1598" s="25"/>
      <c r="K1598" s="23"/>
      <c r="L1598" s="23"/>
      <c r="M1598" s="23"/>
      <c r="N1598" s="26"/>
      <c r="O1598" s="26"/>
      <c r="P1598" s="26"/>
      <c r="Q1598" s="26"/>
      <c r="R1598" s="26"/>
      <c r="S1598" s="26"/>
      <c r="T1598" s="26"/>
      <c r="U1598" s="26"/>
      <c r="V1598" s="26"/>
      <c r="W1598" s="27"/>
    </row>
    <row r="1599" spans="1:23" ht="15.75" customHeight="1" x14ac:dyDescent="0.25">
      <c r="A1599" s="23"/>
      <c r="B1599" s="23" t="str">
        <f t="shared" si="7"/>
        <v/>
      </c>
      <c r="C1599" s="23"/>
      <c r="D1599" s="23"/>
      <c r="E1599" s="23"/>
      <c r="F1599" s="24"/>
      <c r="G1599" s="23"/>
      <c r="H1599" s="23"/>
      <c r="I1599" s="23"/>
      <c r="J1599" s="25"/>
      <c r="K1599" s="23"/>
      <c r="L1599" s="23"/>
      <c r="M1599" s="23"/>
      <c r="N1599" s="26"/>
      <c r="O1599" s="26"/>
      <c r="P1599" s="26"/>
      <c r="Q1599" s="26"/>
      <c r="R1599" s="26"/>
      <c r="S1599" s="26"/>
      <c r="T1599" s="26"/>
      <c r="U1599" s="26"/>
      <c r="V1599" s="26"/>
      <c r="W1599" s="27"/>
    </row>
    <row r="1600" spans="1:23" ht="15.75" customHeight="1" x14ac:dyDescent="0.25">
      <c r="A1600" s="23"/>
      <c r="B1600" s="23" t="str">
        <f t="shared" si="7"/>
        <v/>
      </c>
      <c r="C1600" s="23"/>
      <c r="D1600" s="23"/>
      <c r="E1600" s="23"/>
      <c r="F1600" s="24"/>
      <c r="G1600" s="23"/>
      <c r="H1600" s="23"/>
      <c r="I1600" s="23"/>
      <c r="J1600" s="25"/>
      <c r="K1600" s="23"/>
      <c r="L1600" s="23"/>
      <c r="M1600" s="23"/>
      <c r="N1600" s="26"/>
      <c r="O1600" s="26"/>
      <c r="P1600" s="26"/>
      <c r="Q1600" s="26"/>
      <c r="R1600" s="26"/>
      <c r="S1600" s="26"/>
      <c r="T1600" s="26"/>
      <c r="U1600" s="26"/>
      <c r="V1600" s="26"/>
      <c r="W1600" s="27"/>
    </row>
    <row r="1601" spans="1:23" ht="15.75" customHeight="1" x14ac:dyDescent="0.25">
      <c r="A1601" s="23"/>
      <c r="B1601" s="23" t="str">
        <f t="shared" si="7"/>
        <v/>
      </c>
      <c r="C1601" s="23"/>
      <c r="D1601" s="23"/>
      <c r="E1601" s="23"/>
      <c r="F1601" s="24"/>
      <c r="G1601" s="23"/>
      <c r="H1601" s="23"/>
      <c r="I1601" s="23"/>
      <c r="J1601" s="25"/>
      <c r="K1601" s="23"/>
      <c r="L1601" s="23"/>
      <c r="M1601" s="23"/>
      <c r="N1601" s="26"/>
      <c r="O1601" s="26"/>
      <c r="P1601" s="26"/>
      <c r="Q1601" s="26"/>
      <c r="R1601" s="26"/>
      <c r="S1601" s="26"/>
      <c r="T1601" s="26"/>
      <c r="U1601" s="26"/>
      <c r="V1601" s="26"/>
      <c r="W1601" s="27"/>
    </row>
    <row r="1602" spans="1:23" ht="15.75" customHeight="1" x14ac:dyDescent="0.25">
      <c r="A1602" s="23"/>
      <c r="B1602" s="23" t="str">
        <f t="shared" si="7"/>
        <v/>
      </c>
      <c r="C1602" s="23"/>
      <c r="D1602" s="23"/>
      <c r="E1602" s="23"/>
      <c r="F1602" s="24"/>
      <c r="G1602" s="23"/>
      <c r="H1602" s="23"/>
      <c r="I1602" s="23"/>
      <c r="J1602" s="25"/>
      <c r="K1602" s="23"/>
      <c r="L1602" s="23"/>
      <c r="M1602" s="23"/>
      <c r="N1602" s="26"/>
      <c r="O1602" s="26"/>
      <c r="P1602" s="26"/>
      <c r="Q1602" s="26"/>
      <c r="R1602" s="26"/>
      <c r="S1602" s="26"/>
      <c r="T1602" s="26"/>
      <c r="U1602" s="26"/>
      <c r="V1602" s="26"/>
      <c r="W1602" s="27"/>
    </row>
    <row r="1603" spans="1:23" ht="15.75" customHeight="1" x14ac:dyDescent="0.25">
      <c r="A1603" s="23"/>
      <c r="B1603" s="23" t="str">
        <f t="shared" si="7"/>
        <v/>
      </c>
      <c r="C1603" s="23"/>
      <c r="D1603" s="23"/>
      <c r="E1603" s="23"/>
      <c r="F1603" s="24"/>
      <c r="G1603" s="23"/>
      <c r="H1603" s="23"/>
      <c r="I1603" s="23"/>
      <c r="J1603" s="25"/>
      <c r="K1603" s="23"/>
      <c r="L1603" s="23"/>
      <c r="M1603" s="23"/>
      <c r="N1603" s="26"/>
      <c r="O1603" s="26"/>
      <c r="P1603" s="26"/>
      <c r="Q1603" s="26"/>
      <c r="R1603" s="26"/>
      <c r="S1603" s="26"/>
      <c r="T1603" s="26"/>
      <c r="U1603" s="26"/>
      <c r="V1603" s="26"/>
      <c r="W1603" s="27"/>
    </row>
    <row r="1604" spans="1:23" ht="15.75" customHeight="1" x14ac:dyDescent="0.25">
      <c r="A1604" s="23"/>
      <c r="B1604" s="23" t="str">
        <f t="shared" si="7"/>
        <v/>
      </c>
      <c r="C1604" s="23"/>
      <c r="D1604" s="23"/>
      <c r="E1604" s="23"/>
      <c r="F1604" s="24"/>
      <c r="G1604" s="23"/>
      <c r="H1604" s="23"/>
      <c r="I1604" s="23"/>
      <c r="J1604" s="25"/>
      <c r="K1604" s="23"/>
      <c r="L1604" s="23"/>
      <c r="M1604" s="23"/>
      <c r="N1604" s="26"/>
      <c r="O1604" s="26"/>
      <c r="P1604" s="26"/>
      <c r="Q1604" s="26"/>
      <c r="R1604" s="26"/>
      <c r="S1604" s="26"/>
      <c r="T1604" s="26"/>
      <c r="U1604" s="26"/>
      <c r="V1604" s="26"/>
      <c r="W1604" s="27"/>
    </row>
    <row r="1605" spans="1:23" ht="15.75" customHeight="1" x14ac:dyDescent="0.25">
      <c r="A1605" s="23"/>
      <c r="B1605" s="23" t="str">
        <f t="shared" si="7"/>
        <v/>
      </c>
      <c r="C1605" s="23"/>
      <c r="D1605" s="23"/>
      <c r="E1605" s="23"/>
      <c r="F1605" s="24"/>
      <c r="G1605" s="23"/>
      <c r="H1605" s="23"/>
      <c r="I1605" s="23"/>
      <c r="J1605" s="25"/>
      <c r="K1605" s="23"/>
      <c r="L1605" s="23"/>
      <c r="M1605" s="23"/>
      <c r="N1605" s="26"/>
      <c r="O1605" s="26"/>
      <c r="P1605" s="26"/>
      <c r="Q1605" s="26"/>
      <c r="R1605" s="26"/>
      <c r="S1605" s="26"/>
      <c r="T1605" s="26"/>
      <c r="U1605" s="26"/>
      <c r="V1605" s="26"/>
      <c r="W1605" s="27"/>
    </row>
    <row r="1606" spans="1:23" ht="15.75" customHeight="1" x14ac:dyDescent="0.25">
      <c r="A1606" s="23"/>
      <c r="B1606" s="23" t="str">
        <f t="shared" si="7"/>
        <v/>
      </c>
      <c r="C1606" s="23"/>
      <c r="D1606" s="23"/>
      <c r="E1606" s="23"/>
      <c r="F1606" s="24"/>
      <c r="G1606" s="23"/>
      <c r="H1606" s="23"/>
      <c r="I1606" s="23"/>
      <c r="J1606" s="25"/>
      <c r="K1606" s="23"/>
      <c r="L1606" s="23"/>
      <c r="M1606" s="23"/>
      <c r="N1606" s="26"/>
      <c r="O1606" s="26"/>
      <c r="P1606" s="26"/>
      <c r="Q1606" s="26"/>
      <c r="R1606" s="26"/>
      <c r="S1606" s="26"/>
      <c r="T1606" s="26"/>
      <c r="U1606" s="26"/>
      <c r="V1606" s="26"/>
      <c r="W1606" s="27"/>
    </row>
    <row r="1607" spans="1:23" ht="15.75" customHeight="1" x14ac:dyDescent="0.25">
      <c r="A1607" s="23"/>
      <c r="B1607" s="23" t="str">
        <f t="shared" si="7"/>
        <v/>
      </c>
      <c r="C1607" s="23"/>
      <c r="D1607" s="23"/>
      <c r="E1607" s="23"/>
      <c r="F1607" s="24"/>
      <c r="G1607" s="23"/>
      <c r="H1607" s="23"/>
      <c r="I1607" s="23"/>
      <c r="J1607" s="25"/>
      <c r="K1607" s="23"/>
      <c r="L1607" s="23"/>
      <c r="M1607" s="23"/>
      <c r="N1607" s="26"/>
      <c r="O1607" s="26"/>
      <c r="P1607" s="26"/>
      <c r="Q1607" s="26"/>
      <c r="R1607" s="26"/>
      <c r="S1607" s="26"/>
      <c r="T1607" s="26"/>
      <c r="U1607" s="26"/>
      <c r="V1607" s="26"/>
      <c r="W1607" s="27"/>
    </row>
    <row r="1608" spans="1:23" ht="15.75" customHeight="1" x14ac:dyDescent="0.25">
      <c r="A1608" s="23"/>
      <c r="B1608" s="23" t="str">
        <f t="shared" si="7"/>
        <v/>
      </c>
      <c r="C1608" s="23"/>
      <c r="D1608" s="23"/>
      <c r="E1608" s="23"/>
      <c r="F1608" s="24"/>
      <c r="G1608" s="23"/>
      <c r="H1608" s="23"/>
      <c r="I1608" s="23"/>
      <c r="J1608" s="25"/>
      <c r="K1608" s="23"/>
      <c r="L1608" s="23"/>
      <c r="M1608" s="23"/>
      <c r="N1608" s="26"/>
      <c r="O1608" s="26"/>
      <c r="P1608" s="26"/>
      <c r="Q1608" s="26"/>
      <c r="R1608" s="26"/>
      <c r="S1608" s="26"/>
      <c r="T1608" s="26"/>
      <c r="U1608" s="26"/>
      <c r="V1608" s="26"/>
      <c r="W1608" s="27"/>
    </row>
    <row r="1609" spans="1:23" ht="15.75" customHeight="1" x14ac:dyDescent="0.25">
      <c r="A1609" s="23"/>
      <c r="B1609" s="23" t="str">
        <f t="shared" si="7"/>
        <v/>
      </c>
      <c r="C1609" s="23"/>
      <c r="D1609" s="23"/>
      <c r="E1609" s="23"/>
      <c r="F1609" s="24"/>
      <c r="G1609" s="23"/>
      <c r="H1609" s="23"/>
      <c r="I1609" s="23"/>
      <c r="J1609" s="25"/>
      <c r="K1609" s="23"/>
      <c r="L1609" s="23"/>
      <c r="M1609" s="23"/>
      <c r="N1609" s="26"/>
      <c r="O1609" s="26"/>
      <c r="P1609" s="26"/>
      <c r="Q1609" s="26"/>
      <c r="R1609" s="26"/>
      <c r="S1609" s="26"/>
      <c r="T1609" s="26"/>
      <c r="U1609" s="26"/>
      <c r="V1609" s="26"/>
      <c r="W1609" s="27"/>
    </row>
    <row r="1610" spans="1:23" ht="15.75" customHeight="1" x14ac:dyDescent="0.25">
      <c r="A1610" s="23"/>
      <c r="B1610" s="23" t="str">
        <f t="shared" si="7"/>
        <v/>
      </c>
      <c r="C1610" s="23"/>
      <c r="D1610" s="23"/>
      <c r="E1610" s="23"/>
      <c r="F1610" s="24"/>
      <c r="G1610" s="23"/>
      <c r="H1610" s="23"/>
      <c r="I1610" s="23"/>
      <c r="J1610" s="25"/>
      <c r="K1610" s="23"/>
      <c r="L1610" s="23"/>
      <c r="M1610" s="23"/>
      <c r="N1610" s="26"/>
      <c r="O1610" s="26"/>
      <c r="P1610" s="26"/>
      <c r="Q1610" s="26"/>
      <c r="R1610" s="26"/>
      <c r="S1610" s="26"/>
      <c r="T1610" s="26"/>
      <c r="U1610" s="26"/>
      <c r="V1610" s="26"/>
      <c r="W1610" s="27"/>
    </row>
    <row r="1611" spans="1:23" ht="15.75" customHeight="1" x14ac:dyDescent="0.25">
      <c r="A1611" s="23"/>
      <c r="B1611" s="23" t="str">
        <f t="shared" si="7"/>
        <v/>
      </c>
      <c r="C1611" s="23"/>
      <c r="D1611" s="23"/>
      <c r="E1611" s="23"/>
      <c r="F1611" s="24"/>
      <c r="G1611" s="23"/>
      <c r="H1611" s="23"/>
      <c r="I1611" s="23"/>
      <c r="J1611" s="25"/>
      <c r="K1611" s="23"/>
      <c r="L1611" s="23"/>
      <c r="M1611" s="23"/>
      <c r="N1611" s="26"/>
      <c r="O1611" s="26"/>
      <c r="P1611" s="26"/>
      <c r="Q1611" s="26"/>
      <c r="R1611" s="26"/>
      <c r="S1611" s="26"/>
      <c r="T1611" s="26"/>
      <c r="U1611" s="26"/>
      <c r="V1611" s="26"/>
      <c r="W1611" s="27"/>
    </row>
    <row r="1612" spans="1:23" ht="15.75" customHeight="1" x14ac:dyDescent="0.25">
      <c r="A1612" s="23"/>
      <c r="B1612" s="23" t="str">
        <f t="shared" si="7"/>
        <v/>
      </c>
      <c r="C1612" s="23"/>
      <c r="D1612" s="23"/>
      <c r="E1612" s="23"/>
      <c r="F1612" s="24"/>
      <c r="G1612" s="23"/>
      <c r="H1612" s="23"/>
      <c r="I1612" s="23"/>
      <c r="J1612" s="25"/>
      <c r="K1612" s="23"/>
      <c r="L1612" s="23"/>
      <c r="M1612" s="23"/>
      <c r="N1612" s="26"/>
      <c r="O1612" s="26"/>
      <c r="P1612" s="26"/>
      <c r="Q1612" s="26"/>
      <c r="R1612" s="26"/>
      <c r="S1612" s="26"/>
      <c r="T1612" s="26"/>
      <c r="U1612" s="26"/>
      <c r="V1612" s="26"/>
      <c r="W1612" s="27"/>
    </row>
    <row r="1613" spans="1:23" ht="15.75" customHeight="1" x14ac:dyDescent="0.25">
      <c r="A1613" s="23"/>
      <c r="B1613" s="23" t="str">
        <f t="shared" si="7"/>
        <v/>
      </c>
      <c r="C1613" s="23"/>
      <c r="D1613" s="23"/>
      <c r="E1613" s="23"/>
      <c r="F1613" s="24"/>
      <c r="G1613" s="23"/>
      <c r="H1613" s="23"/>
      <c r="I1613" s="23"/>
      <c r="J1613" s="25"/>
      <c r="K1613" s="23"/>
      <c r="L1613" s="23"/>
      <c r="M1613" s="23"/>
      <c r="N1613" s="26"/>
      <c r="O1613" s="26"/>
      <c r="P1613" s="26"/>
      <c r="Q1613" s="26"/>
      <c r="R1613" s="26"/>
      <c r="S1613" s="26"/>
      <c r="T1613" s="26"/>
      <c r="U1613" s="26"/>
      <c r="V1613" s="26"/>
      <c r="W1613" s="27"/>
    </row>
    <row r="1614" spans="1:23" ht="15.75" customHeight="1" x14ac:dyDescent="0.25">
      <c r="A1614" s="23"/>
      <c r="B1614" s="23" t="str">
        <f t="shared" si="7"/>
        <v/>
      </c>
      <c r="C1614" s="23"/>
      <c r="D1614" s="23"/>
      <c r="E1614" s="23"/>
      <c r="F1614" s="24"/>
      <c r="G1614" s="23"/>
      <c r="H1614" s="23"/>
      <c r="I1614" s="23"/>
      <c r="J1614" s="25"/>
      <c r="K1614" s="23"/>
      <c r="L1614" s="23"/>
      <c r="M1614" s="23"/>
      <c r="N1614" s="26"/>
      <c r="O1614" s="26"/>
      <c r="P1614" s="26"/>
      <c r="Q1614" s="26"/>
      <c r="R1614" s="26"/>
      <c r="S1614" s="26"/>
      <c r="T1614" s="26"/>
      <c r="U1614" s="26"/>
      <c r="V1614" s="26"/>
      <c r="W1614" s="27"/>
    </row>
    <row r="1615" spans="1:23" ht="15.75" customHeight="1" x14ac:dyDescent="0.25">
      <c r="A1615" s="23"/>
      <c r="B1615" s="23" t="str">
        <f t="shared" si="7"/>
        <v/>
      </c>
      <c r="C1615" s="23"/>
      <c r="D1615" s="23"/>
      <c r="E1615" s="23"/>
      <c r="F1615" s="24"/>
      <c r="G1615" s="23"/>
      <c r="H1615" s="23"/>
      <c r="I1615" s="23"/>
      <c r="J1615" s="25"/>
      <c r="K1615" s="23"/>
      <c r="L1615" s="23"/>
      <c r="M1615" s="23"/>
      <c r="N1615" s="26"/>
      <c r="O1615" s="26"/>
      <c r="P1615" s="26"/>
      <c r="Q1615" s="26"/>
      <c r="R1615" s="26"/>
      <c r="S1615" s="26"/>
      <c r="T1615" s="26"/>
      <c r="U1615" s="26"/>
      <c r="V1615" s="26"/>
      <c r="W1615" s="27"/>
    </row>
    <row r="1616" spans="1:23" ht="15.75" customHeight="1" x14ac:dyDescent="0.25">
      <c r="A1616" s="23"/>
      <c r="B1616" s="23" t="str">
        <f t="shared" si="7"/>
        <v/>
      </c>
      <c r="C1616" s="23"/>
      <c r="D1616" s="23"/>
      <c r="E1616" s="23"/>
      <c r="F1616" s="24"/>
      <c r="G1616" s="23"/>
      <c r="H1616" s="23"/>
      <c r="I1616" s="23"/>
      <c r="J1616" s="25"/>
      <c r="K1616" s="23"/>
      <c r="L1616" s="23"/>
      <c r="M1616" s="23"/>
      <c r="N1616" s="26"/>
      <c r="O1616" s="26"/>
      <c r="P1616" s="26"/>
      <c r="Q1616" s="26"/>
      <c r="R1616" s="26"/>
      <c r="S1616" s="26"/>
      <c r="T1616" s="26"/>
      <c r="U1616" s="26"/>
      <c r="V1616" s="26"/>
      <c r="W1616" s="27"/>
    </row>
    <row r="1617" spans="1:23" ht="15.75" customHeight="1" x14ac:dyDescent="0.25">
      <c r="A1617" s="23"/>
      <c r="B1617" s="23" t="str">
        <f t="shared" si="7"/>
        <v/>
      </c>
      <c r="C1617" s="23"/>
      <c r="D1617" s="23"/>
      <c r="E1617" s="23"/>
      <c r="F1617" s="24"/>
      <c r="G1617" s="23"/>
      <c r="H1617" s="23"/>
      <c r="I1617" s="23"/>
      <c r="J1617" s="25"/>
      <c r="K1617" s="23"/>
      <c r="L1617" s="23"/>
      <c r="M1617" s="23"/>
      <c r="N1617" s="26"/>
      <c r="O1617" s="26"/>
      <c r="P1617" s="26"/>
      <c r="Q1617" s="26"/>
      <c r="R1617" s="26"/>
      <c r="S1617" s="26"/>
      <c r="T1617" s="26"/>
      <c r="U1617" s="26"/>
      <c r="V1617" s="26"/>
      <c r="W1617" s="27"/>
    </row>
    <row r="1618" spans="1:23" ht="15.75" customHeight="1" x14ac:dyDescent="0.25">
      <c r="A1618" s="23"/>
      <c r="B1618" s="23" t="str">
        <f t="shared" si="7"/>
        <v/>
      </c>
      <c r="C1618" s="23"/>
      <c r="D1618" s="23"/>
      <c r="E1618" s="23"/>
      <c r="F1618" s="24"/>
      <c r="G1618" s="23"/>
      <c r="H1618" s="23"/>
      <c r="I1618" s="23"/>
      <c r="J1618" s="25"/>
      <c r="K1618" s="23"/>
      <c r="L1618" s="23"/>
      <c r="M1618" s="23"/>
      <c r="N1618" s="26"/>
      <c r="O1618" s="26"/>
      <c r="P1618" s="26"/>
      <c r="Q1618" s="26"/>
      <c r="R1618" s="26"/>
      <c r="S1618" s="26"/>
      <c r="T1618" s="26"/>
      <c r="U1618" s="26"/>
      <c r="V1618" s="26"/>
      <c r="W1618" s="27"/>
    </row>
    <row r="1619" spans="1:23" ht="15.75" customHeight="1" x14ac:dyDescent="0.25">
      <c r="A1619" s="23"/>
      <c r="B1619" s="23" t="str">
        <f t="shared" si="7"/>
        <v/>
      </c>
      <c r="C1619" s="23"/>
      <c r="D1619" s="23"/>
      <c r="E1619" s="23"/>
      <c r="F1619" s="24"/>
      <c r="G1619" s="23"/>
      <c r="H1619" s="23"/>
      <c r="I1619" s="23"/>
      <c r="J1619" s="25"/>
      <c r="K1619" s="23"/>
      <c r="L1619" s="23"/>
      <c r="M1619" s="23"/>
      <c r="N1619" s="26"/>
      <c r="O1619" s="26"/>
      <c r="P1619" s="26"/>
      <c r="Q1619" s="26"/>
      <c r="R1619" s="26"/>
      <c r="S1619" s="26"/>
      <c r="T1619" s="26"/>
      <c r="U1619" s="26"/>
      <c r="V1619" s="26"/>
      <c r="W1619" s="27"/>
    </row>
    <row r="1620" spans="1:23" ht="15.75" customHeight="1" x14ac:dyDescent="0.25">
      <c r="A1620" s="23"/>
      <c r="B1620" s="23" t="str">
        <f t="shared" si="7"/>
        <v/>
      </c>
      <c r="C1620" s="23"/>
      <c r="D1620" s="23"/>
      <c r="E1620" s="23"/>
      <c r="F1620" s="24"/>
      <c r="G1620" s="23"/>
      <c r="H1620" s="23"/>
      <c r="I1620" s="23"/>
      <c r="J1620" s="25"/>
      <c r="K1620" s="23"/>
      <c r="L1620" s="23"/>
      <c r="M1620" s="23"/>
      <c r="N1620" s="26"/>
      <c r="O1620" s="26"/>
      <c r="P1620" s="26"/>
      <c r="Q1620" s="26"/>
      <c r="R1620" s="26"/>
      <c r="S1620" s="26"/>
      <c r="T1620" s="26"/>
      <c r="U1620" s="26"/>
      <c r="V1620" s="26"/>
      <c r="W1620" s="27"/>
    </row>
    <row r="1621" spans="1:23" ht="15.75" customHeight="1" x14ac:dyDescent="0.25">
      <c r="A1621" s="23"/>
      <c r="B1621" s="23" t="str">
        <f t="shared" si="7"/>
        <v/>
      </c>
      <c r="C1621" s="23"/>
      <c r="D1621" s="23"/>
      <c r="E1621" s="23"/>
      <c r="F1621" s="24"/>
      <c r="G1621" s="23"/>
      <c r="H1621" s="23"/>
      <c r="I1621" s="23"/>
      <c r="J1621" s="25"/>
      <c r="K1621" s="23"/>
      <c r="L1621" s="23"/>
      <c r="M1621" s="23"/>
      <c r="N1621" s="26"/>
      <c r="O1621" s="26"/>
      <c r="P1621" s="26"/>
      <c r="Q1621" s="26"/>
      <c r="R1621" s="26"/>
      <c r="S1621" s="26"/>
      <c r="T1621" s="26"/>
      <c r="U1621" s="26"/>
      <c r="V1621" s="26"/>
      <c r="W1621" s="27"/>
    </row>
    <row r="1622" spans="1:23" ht="15.75" customHeight="1" x14ac:dyDescent="0.25">
      <c r="A1622" s="23"/>
      <c r="B1622" s="23" t="str">
        <f t="shared" si="7"/>
        <v/>
      </c>
      <c r="C1622" s="23"/>
      <c r="D1622" s="23"/>
      <c r="E1622" s="23"/>
      <c r="F1622" s="24"/>
      <c r="G1622" s="23"/>
      <c r="H1622" s="23"/>
      <c r="I1622" s="23"/>
      <c r="J1622" s="25"/>
      <c r="K1622" s="23"/>
      <c r="L1622" s="23"/>
      <c r="M1622" s="23"/>
      <c r="N1622" s="26"/>
      <c r="O1622" s="26"/>
      <c r="P1622" s="26"/>
      <c r="Q1622" s="26"/>
      <c r="R1622" s="26"/>
      <c r="S1622" s="26"/>
      <c r="T1622" s="26"/>
      <c r="U1622" s="26"/>
      <c r="V1622" s="26"/>
      <c r="W1622" s="27"/>
    </row>
    <row r="1623" spans="1:23" ht="15.75" customHeight="1" x14ac:dyDescent="0.25">
      <c r="A1623" s="23"/>
      <c r="B1623" s="23" t="str">
        <f t="shared" si="7"/>
        <v/>
      </c>
      <c r="C1623" s="23"/>
      <c r="D1623" s="23"/>
      <c r="E1623" s="23"/>
      <c r="F1623" s="24"/>
      <c r="G1623" s="23"/>
      <c r="H1623" s="23"/>
      <c r="I1623" s="23"/>
      <c r="J1623" s="25"/>
      <c r="K1623" s="23"/>
      <c r="L1623" s="23"/>
      <c r="M1623" s="23"/>
      <c r="N1623" s="26"/>
      <c r="O1623" s="26"/>
      <c r="P1623" s="26"/>
      <c r="Q1623" s="26"/>
      <c r="R1623" s="26"/>
      <c r="S1623" s="26"/>
      <c r="T1623" s="26"/>
      <c r="U1623" s="26"/>
      <c r="V1623" s="26"/>
      <c r="W1623" s="27"/>
    </row>
    <row r="1624" spans="1:23" ht="15.75" customHeight="1" x14ac:dyDescent="0.25">
      <c r="A1624" s="23"/>
      <c r="B1624" s="23" t="str">
        <f t="shared" si="7"/>
        <v/>
      </c>
      <c r="C1624" s="23"/>
      <c r="D1624" s="23"/>
      <c r="E1624" s="23"/>
      <c r="F1624" s="24"/>
      <c r="G1624" s="23"/>
      <c r="H1624" s="23"/>
      <c r="I1624" s="23"/>
      <c r="J1624" s="25"/>
      <c r="K1624" s="23"/>
      <c r="L1624" s="23"/>
      <c r="M1624" s="23"/>
      <c r="N1624" s="26"/>
      <c r="O1624" s="26"/>
      <c r="P1624" s="26"/>
      <c r="Q1624" s="26"/>
      <c r="R1624" s="26"/>
      <c r="S1624" s="26"/>
      <c r="T1624" s="26"/>
      <c r="U1624" s="26"/>
      <c r="V1624" s="26"/>
      <c r="W1624" s="27"/>
    </row>
    <row r="1625" spans="1:23" ht="15.75" customHeight="1" x14ac:dyDescent="0.25">
      <c r="A1625" s="23"/>
      <c r="B1625" s="23" t="str">
        <f t="shared" si="7"/>
        <v/>
      </c>
      <c r="C1625" s="23"/>
      <c r="D1625" s="23"/>
      <c r="E1625" s="23"/>
      <c r="F1625" s="24"/>
      <c r="G1625" s="23"/>
      <c r="H1625" s="23"/>
      <c r="I1625" s="23"/>
      <c r="J1625" s="25"/>
      <c r="K1625" s="23"/>
      <c r="L1625" s="23"/>
      <c r="M1625" s="23"/>
      <c r="N1625" s="26"/>
      <c r="O1625" s="26"/>
      <c r="P1625" s="26"/>
      <c r="Q1625" s="26"/>
      <c r="R1625" s="26"/>
      <c r="S1625" s="26"/>
      <c r="T1625" s="26"/>
      <c r="U1625" s="26"/>
      <c r="V1625" s="26"/>
      <c r="W1625" s="27"/>
    </row>
    <row r="1626" spans="1:23" ht="15.75" customHeight="1" x14ac:dyDescent="0.25">
      <c r="A1626" s="23"/>
      <c r="B1626" s="23" t="str">
        <f t="shared" si="7"/>
        <v/>
      </c>
      <c r="C1626" s="23"/>
      <c r="D1626" s="23"/>
      <c r="E1626" s="23"/>
      <c r="F1626" s="24"/>
      <c r="G1626" s="23"/>
      <c r="H1626" s="23"/>
      <c r="I1626" s="23"/>
      <c r="J1626" s="25"/>
      <c r="K1626" s="23"/>
      <c r="L1626" s="23"/>
      <c r="M1626" s="23"/>
      <c r="N1626" s="26"/>
      <c r="O1626" s="26"/>
      <c r="P1626" s="26"/>
      <c r="Q1626" s="26"/>
      <c r="R1626" s="26"/>
      <c r="S1626" s="26"/>
      <c r="T1626" s="26"/>
      <c r="U1626" s="26"/>
      <c r="V1626" s="26"/>
      <c r="W1626" s="27"/>
    </row>
    <row r="1627" spans="1:23" ht="15.75" customHeight="1" x14ac:dyDescent="0.25">
      <c r="A1627" s="23"/>
      <c r="B1627" s="23" t="str">
        <f t="shared" si="7"/>
        <v/>
      </c>
      <c r="C1627" s="23"/>
      <c r="D1627" s="23"/>
      <c r="E1627" s="23"/>
      <c r="F1627" s="24"/>
      <c r="G1627" s="23"/>
      <c r="H1627" s="23"/>
      <c r="I1627" s="23"/>
      <c r="J1627" s="25"/>
      <c r="K1627" s="23"/>
      <c r="L1627" s="23"/>
      <c r="M1627" s="23"/>
      <c r="N1627" s="26"/>
      <c r="O1627" s="26"/>
      <c r="P1627" s="26"/>
      <c r="Q1627" s="26"/>
      <c r="R1627" s="26"/>
      <c r="S1627" s="26"/>
      <c r="T1627" s="26"/>
      <c r="U1627" s="26"/>
      <c r="V1627" s="26"/>
      <c r="W1627" s="27"/>
    </row>
    <row r="1628" spans="1:23" ht="15.75" customHeight="1" x14ac:dyDescent="0.25">
      <c r="A1628" s="23"/>
      <c r="B1628" s="23" t="str">
        <f t="shared" si="7"/>
        <v/>
      </c>
      <c r="C1628" s="23"/>
      <c r="D1628" s="23"/>
      <c r="E1628" s="23"/>
      <c r="F1628" s="24"/>
      <c r="G1628" s="23"/>
      <c r="H1628" s="23"/>
      <c r="I1628" s="23"/>
      <c r="J1628" s="25"/>
      <c r="K1628" s="23"/>
      <c r="L1628" s="23"/>
      <c r="M1628" s="23"/>
      <c r="N1628" s="26"/>
      <c r="O1628" s="26"/>
      <c r="P1628" s="26"/>
      <c r="Q1628" s="26"/>
      <c r="R1628" s="26"/>
      <c r="S1628" s="26"/>
      <c r="T1628" s="26"/>
      <c r="U1628" s="26"/>
      <c r="V1628" s="26"/>
      <c r="W1628" s="27"/>
    </row>
    <row r="1629" spans="1:23" ht="15.75" customHeight="1" x14ac:dyDescent="0.25">
      <c r="A1629" s="23"/>
      <c r="B1629" s="23" t="str">
        <f t="shared" si="7"/>
        <v/>
      </c>
      <c r="C1629" s="23"/>
      <c r="D1629" s="23"/>
      <c r="E1629" s="23"/>
      <c r="F1629" s="24"/>
      <c r="G1629" s="23"/>
      <c r="H1629" s="23"/>
      <c r="I1629" s="23"/>
      <c r="J1629" s="25"/>
      <c r="K1629" s="23"/>
      <c r="L1629" s="23"/>
      <c r="M1629" s="23"/>
      <c r="N1629" s="26"/>
      <c r="O1629" s="26"/>
      <c r="P1629" s="26"/>
      <c r="Q1629" s="26"/>
      <c r="R1629" s="26"/>
      <c r="S1629" s="26"/>
      <c r="T1629" s="26"/>
      <c r="U1629" s="26"/>
      <c r="V1629" s="26"/>
      <c r="W1629" s="27"/>
    </row>
    <row r="1630" spans="1:23" ht="15.75" customHeight="1" x14ac:dyDescent="0.25">
      <c r="A1630" s="23"/>
      <c r="B1630" s="23" t="str">
        <f t="shared" si="7"/>
        <v/>
      </c>
      <c r="C1630" s="23"/>
      <c r="D1630" s="23"/>
      <c r="E1630" s="23"/>
      <c r="F1630" s="24"/>
      <c r="G1630" s="23"/>
      <c r="H1630" s="23"/>
      <c r="I1630" s="23"/>
      <c r="J1630" s="25"/>
      <c r="K1630" s="23"/>
      <c r="L1630" s="23"/>
      <c r="M1630" s="23"/>
      <c r="N1630" s="26"/>
      <c r="O1630" s="26"/>
      <c r="P1630" s="26"/>
      <c r="Q1630" s="26"/>
      <c r="R1630" s="26"/>
      <c r="S1630" s="26"/>
      <c r="T1630" s="26"/>
      <c r="U1630" s="26"/>
      <c r="V1630" s="26"/>
      <c r="W1630" s="27"/>
    </row>
    <row r="1631" spans="1:23" ht="15.75" customHeight="1" x14ac:dyDescent="0.25">
      <c r="A1631" s="23"/>
      <c r="B1631" s="23" t="str">
        <f t="shared" si="7"/>
        <v/>
      </c>
      <c r="C1631" s="23"/>
      <c r="D1631" s="23"/>
      <c r="E1631" s="23"/>
      <c r="F1631" s="24"/>
      <c r="G1631" s="23"/>
      <c r="H1631" s="23"/>
      <c r="I1631" s="23"/>
      <c r="J1631" s="25"/>
      <c r="K1631" s="23"/>
      <c r="L1631" s="23"/>
      <c r="M1631" s="23"/>
      <c r="N1631" s="26"/>
      <c r="O1631" s="26"/>
      <c r="P1631" s="26"/>
      <c r="Q1631" s="26"/>
      <c r="R1631" s="26"/>
      <c r="S1631" s="26"/>
      <c r="T1631" s="26"/>
      <c r="U1631" s="26"/>
      <c r="V1631" s="26"/>
      <c r="W1631" s="27"/>
    </row>
    <row r="1632" spans="1:23" ht="15.75" customHeight="1" x14ac:dyDescent="0.25">
      <c r="A1632" s="23"/>
      <c r="B1632" s="23" t="str">
        <f t="shared" si="7"/>
        <v/>
      </c>
      <c r="C1632" s="23"/>
      <c r="D1632" s="23"/>
      <c r="E1632" s="23"/>
      <c r="F1632" s="24"/>
      <c r="G1632" s="23"/>
      <c r="H1632" s="23"/>
      <c r="I1632" s="23"/>
      <c r="J1632" s="25"/>
      <c r="K1632" s="23"/>
      <c r="L1632" s="23"/>
      <c r="M1632" s="23"/>
      <c r="N1632" s="26"/>
      <c r="O1632" s="26"/>
      <c r="P1632" s="26"/>
      <c r="Q1632" s="26"/>
      <c r="R1632" s="26"/>
      <c r="S1632" s="26"/>
      <c r="T1632" s="26"/>
      <c r="U1632" s="26"/>
      <c r="V1632" s="26"/>
      <c r="W1632" s="27"/>
    </row>
    <row r="1633" spans="1:23" ht="15.75" customHeight="1" x14ac:dyDescent="0.25">
      <c r="A1633" s="23"/>
      <c r="B1633" s="23" t="str">
        <f t="shared" si="7"/>
        <v/>
      </c>
      <c r="C1633" s="23"/>
      <c r="D1633" s="23"/>
      <c r="E1633" s="23"/>
      <c r="F1633" s="24"/>
      <c r="G1633" s="23"/>
      <c r="H1633" s="23"/>
      <c r="I1633" s="23"/>
      <c r="J1633" s="25"/>
      <c r="K1633" s="23"/>
      <c r="L1633" s="23"/>
      <c r="M1633" s="23"/>
      <c r="N1633" s="26"/>
      <c r="O1633" s="26"/>
      <c r="P1633" s="26"/>
      <c r="Q1633" s="26"/>
      <c r="R1633" s="26"/>
      <c r="S1633" s="26"/>
      <c r="T1633" s="26"/>
      <c r="U1633" s="26"/>
      <c r="V1633" s="26"/>
      <c r="W1633" s="27"/>
    </row>
    <row r="1634" spans="1:23" ht="15.75" customHeight="1" x14ac:dyDescent="0.25">
      <c r="A1634" s="23"/>
      <c r="B1634" s="23" t="str">
        <f t="shared" si="7"/>
        <v/>
      </c>
      <c r="C1634" s="23"/>
      <c r="D1634" s="23"/>
      <c r="E1634" s="23"/>
      <c r="F1634" s="24"/>
      <c r="G1634" s="23"/>
      <c r="H1634" s="23"/>
      <c r="I1634" s="23"/>
      <c r="J1634" s="25"/>
      <c r="K1634" s="23"/>
      <c r="L1634" s="23"/>
      <c r="M1634" s="23"/>
      <c r="N1634" s="26"/>
      <c r="O1634" s="26"/>
      <c r="P1634" s="26"/>
      <c r="Q1634" s="26"/>
      <c r="R1634" s="26"/>
      <c r="S1634" s="26"/>
      <c r="T1634" s="26"/>
      <c r="U1634" s="26"/>
      <c r="V1634" s="26"/>
      <c r="W1634" s="27"/>
    </row>
    <row r="1635" spans="1:23" ht="15.75" customHeight="1" x14ac:dyDescent="0.25">
      <c r="A1635" s="23"/>
      <c r="B1635" s="23" t="str">
        <f t="shared" si="7"/>
        <v/>
      </c>
      <c r="C1635" s="23"/>
      <c r="D1635" s="23"/>
      <c r="E1635" s="23"/>
      <c r="F1635" s="24"/>
      <c r="G1635" s="23"/>
      <c r="H1635" s="23"/>
      <c r="I1635" s="23"/>
      <c r="J1635" s="25"/>
      <c r="K1635" s="23"/>
      <c r="L1635" s="23"/>
      <c r="M1635" s="23"/>
      <c r="N1635" s="26"/>
      <c r="O1635" s="26"/>
      <c r="P1635" s="26"/>
      <c r="Q1635" s="26"/>
      <c r="R1635" s="26"/>
      <c r="S1635" s="26"/>
      <c r="T1635" s="26"/>
      <c r="U1635" s="26"/>
      <c r="V1635" s="26"/>
      <c r="W1635" s="27"/>
    </row>
    <row r="1636" spans="1:23" ht="15.75" customHeight="1" x14ac:dyDescent="0.25">
      <c r="A1636" s="23"/>
      <c r="B1636" s="23" t="str">
        <f t="shared" si="7"/>
        <v/>
      </c>
      <c r="C1636" s="23"/>
      <c r="D1636" s="23"/>
      <c r="E1636" s="23"/>
      <c r="F1636" s="24"/>
      <c r="G1636" s="23"/>
      <c r="H1636" s="23"/>
      <c r="I1636" s="23"/>
      <c r="J1636" s="25"/>
      <c r="K1636" s="23"/>
      <c r="L1636" s="23"/>
      <c r="M1636" s="23"/>
      <c r="N1636" s="26"/>
      <c r="O1636" s="26"/>
      <c r="P1636" s="26"/>
      <c r="Q1636" s="26"/>
      <c r="R1636" s="26"/>
      <c r="S1636" s="26"/>
      <c r="T1636" s="26"/>
      <c r="U1636" s="26"/>
      <c r="V1636" s="26"/>
      <c r="W1636" s="27"/>
    </row>
    <row r="1637" spans="1:23" ht="15.75" customHeight="1" x14ac:dyDescent="0.25">
      <c r="A1637" s="23"/>
      <c r="B1637" s="23" t="str">
        <f t="shared" si="7"/>
        <v/>
      </c>
      <c r="C1637" s="23"/>
      <c r="D1637" s="23"/>
      <c r="E1637" s="23"/>
      <c r="F1637" s="24"/>
      <c r="G1637" s="23"/>
      <c r="H1637" s="23"/>
      <c r="I1637" s="23"/>
      <c r="J1637" s="25"/>
      <c r="K1637" s="23"/>
      <c r="L1637" s="23"/>
      <c r="M1637" s="23"/>
      <c r="N1637" s="26"/>
      <c r="O1637" s="26"/>
      <c r="P1637" s="26"/>
      <c r="Q1637" s="26"/>
      <c r="R1637" s="26"/>
      <c r="S1637" s="26"/>
      <c r="T1637" s="26"/>
      <c r="U1637" s="26"/>
      <c r="V1637" s="26"/>
      <c r="W1637" s="27"/>
    </row>
    <row r="1638" spans="1:23" ht="15.75" customHeight="1" x14ac:dyDescent="0.25">
      <c r="A1638" s="23"/>
      <c r="B1638" s="23" t="str">
        <f t="shared" si="7"/>
        <v/>
      </c>
      <c r="C1638" s="23"/>
      <c r="D1638" s="23"/>
      <c r="E1638" s="23"/>
      <c r="F1638" s="24"/>
      <c r="G1638" s="23"/>
      <c r="H1638" s="23"/>
      <c r="I1638" s="23"/>
      <c r="J1638" s="25"/>
      <c r="K1638" s="23"/>
      <c r="L1638" s="23"/>
      <c r="M1638" s="23"/>
      <c r="N1638" s="26"/>
      <c r="O1638" s="26"/>
      <c r="P1638" s="26"/>
      <c r="Q1638" s="26"/>
      <c r="R1638" s="26"/>
      <c r="S1638" s="26"/>
      <c r="T1638" s="26"/>
      <c r="U1638" s="26"/>
      <c r="V1638" s="26"/>
      <c r="W1638" s="27"/>
    </row>
    <row r="1639" spans="1:23" ht="15.75" customHeight="1" x14ac:dyDescent="0.25">
      <c r="A1639" s="23"/>
      <c r="B1639" s="23" t="str">
        <f t="shared" si="7"/>
        <v/>
      </c>
      <c r="C1639" s="23"/>
      <c r="D1639" s="23"/>
      <c r="E1639" s="23"/>
      <c r="F1639" s="24"/>
      <c r="G1639" s="23"/>
      <c r="H1639" s="23"/>
      <c r="I1639" s="23"/>
      <c r="J1639" s="25"/>
      <c r="K1639" s="23"/>
      <c r="L1639" s="23"/>
      <c r="M1639" s="23"/>
      <c r="N1639" s="26"/>
      <c r="O1639" s="26"/>
      <c r="P1639" s="26"/>
      <c r="Q1639" s="26"/>
      <c r="R1639" s="26"/>
      <c r="S1639" s="26"/>
      <c r="T1639" s="26"/>
      <c r="U1639" s="26"/>
      <c r="V1639" s="26"/>
      <c r="W1639" s="27"/>
    </row>
    <row r="1640" spans="1:23" ht="15.75" customHeight="1" x14ac:dyDescent="0.25">
      <c r="A1640" s="23"/>
      <c r="B1640" s="23" t="str">
        <f t="shared" si="7"/>
        <v/>
      </c>
      <c r="C1640" s="23"/>
      <c r="D1640" s="23"/>
      <c r="E1640" s="23"/>
      <c r="F1640" s="24"/>
      <c r="G1640" s="23"/>
      <c r="H1640" s="23"/>
      <c r="I1640" s="23"/>
      <c r="J1640" s="25"/>
      <c r="K1640" s="23"/>
      <c r="L1640" s="23"/>
      <c r="M1640" s="23"/>
      <c r="N1640" s="26"/>
      <c r="O1640" s="26"/>
      <c r="P1640" s="26"/>
      <c r="Q1640" s="26"/>
      <c r="R1640" s="26"/>
      <c r="S1640" s="26"/>
      <c r="T1640" s="26"/>
      <c r="U1640" s="26"/>
      <c r="V1640" s="26"/>
      <c r="W1640" s="27"/>
    </row>
    <row r="1641" spans="1:23" ht="15.75" customHeight="1" x14ac:dyDescent="0.25">
      <c r="A1641" s="23"/>
      <c r="B1641" s="23" t="str">
        <f t="shared" si="7"/>
        <v/>
      </c>
      <c r="C1641" s="23"/>
      <c r="D1641" s="23"/>
      <c r="E1641" s="23"/>
      <c r="F1641" s="24"/>
      <c r="G1641" s="23"/>
      <c r="H1641" s="23"/>
      <c r="I1641" s="23"/>
      <c r="J1641" s="25"/>
      <c r="K1641" s="23"/>
      <c r="L1641" s="23"/>
      <c r="M1641" s="23"/>
      <c r="N1641" s="26"/>
      <c r="O1641" s="26"/>
      <c r="P1641" s="26"/>
      <c r="Q1641" s="26"/>
      <c r="R1641" s="26"/>
      <c r="S1641" s="26"/>
      <c r="T1641" s="26"/>
      <c r="U1641" s="26"/>
      <c r="V1641" s="26"/>
      <c r="W1641" s="27"/>
    </row>
    <row r="1642" spans="1:23" ht="15.75" customHeight="1" x14ac:dyDescent="0.25">
      <c r="A1642" s="23"/>
      <c r="B1642" s="23" t="str">
        <f t="shared" si="7"/>
        <v/>
      </c>
      <c r="C1642" s="23"/>
      <c r="D1642" s="23"/>
      <c r="E1642" s="23"/>
      <c r="F1642" s="24"/>
      <c r="G1642" s="23"/>
      <c r="H1642" s="23"/>
      <c r="I1642" s="23"/>
      <c r="J1642" s="25"/>
      <c r="K1642" s="23"/>
      <c r="L1642" s="23"/>
      <c r="M1642" s="23"/>
      <c r="N1642" s="26"/>
      <c r="O1642" s="26"/>
      <c r="P1642" s="26"/>
      <c r="Q1642" s="26"/>
      <c r="R1642" s="26"/>
      <c r="S1642" s="26"/>
      <c r="T1642" s="26"/>
      <c r="U1642" s="26"/>
      <c r="V1642" s="26"/>
      <c r="W1642" s="27"/>
    </row>
    <row r="1643" spans="1:23" ht="15.75" customHeight="1" x14ac:dyDescent="0.25">
      <c r="A1643" s="23"/>
      <c r="B1643" s="23" t="str">
        <f t="shared" si="7"/>
        <v/>
      </c>
      <c r="C1643" s="23"/>
      <c r="D1643" s="23"/>
      <c r="E1643" s="23"/>
      <c r="F1643" s="24"/>
      <c r="G1643" s="23"/>
      <c r="H1643" s="23"/>
      <c r="I1643" s="23"/>
      <c r="J1643" s="25"/>
      <c r="K1643" s="23"/>
      <c r="L1643" s="23"/>
      <c r="M1643" s="23"/>
      <c r="N1643" s="26"/>
      <c r="O1643" s="26"/>
      <c r="P1643" s="26"/>
      <c r="Q1643" s="26"/>
      <c r="R1643" s="26"/>
      <c r="S1643" s="26"/>
      <c r="T1643" s="26"/>
      <c r="U1643" s="26"/>
      <c r="V1643" s="26"/>
      <c r="W1643" s="27"/>
    </row>
    <row r="1644" spans="1:23" ht="15.75" customHeight="1" x14ac:dyDescent="0.25">
      <c r="A1644" s="23"/>
      <c r="B1644" s="23" t="str">
        <f t="shared" si="7"/>
        <v/>
      </c>
      <c r="C1644" s="23"/>
      <c r="D1644" s="23"/>
      <c r="E1644" s="23"/>
      <c r="F1644" s="24"/>
      <c r="G1644" s="23"/>
      <c r="H1644" s="23"/>
      <c r="I1644" s="23"/>
      <c r="J1644" s="25"/>
      <c r="K1644" s="23"/>
      <c r="L1644" s="23"/>
      <c r="M1644" s="23"/>
      <c r="N1644" s="26"/>
      <c r="O1644" s="26"/>
      <c r="P1644" s="26"/>
      <c r="Q1644" s="26"/>
      <c r="R1644" s="26"/>
      <c r="S1644" s="26"/>
      <c r="T1644" s="26"/>
      <c r="U1644" s="26"/>
      <c r="V1644" s="26"/>
      <c r="W1644" s="27"/>
    </row>
    <row r="1645" spans="1:23" ht="15.75" customHeight="1" x14ac:dyDescent="0.25">
      <c r="A1645" s="23"/>
      <c r="B1645" s="23" t="str">
        <f t="shared" si="7"/>
        <v/>
      </c>
      <c r="C1645" s="23"/>
      <c r="D1645" s="23"/>
      <c r="E1645" s="23"/>
      <c r="F1645" s="24"/>
      <c r="G1645" s="23"/>
      <c r="H1645" s="23"/>
      <c r="I1645" s="23"/>
      <c r="J1645" s="25"/>
      <c r="K1645" s="23"/>
      <c r="L1645" s="23"/>
      <c r="M1645" s="23"/>
      <c r="N1645" s="26"/>
      <c r="O1645" s="26"/>
      <c r="P1645" s="26"/>
      <c r="Q1645" s="26"/>
      <c r="R1645" s="26"/>
      <c r="S1645" s="26"/>
      <c r="T1645" s="26"/>
      <c r="U1645" s="26"/>
      <c r="V1645" s="26"/>
      <c r="W1645" s="27"/>
    </row>
    <row r="1646" spans="1:23" ht="15.75" customHeight="1" x14ac:dyDescent="0.25">
      <c r="A1646" s="23"/>
      <c r="B1646" s="23" t="str">
        <f t="shared" si="7"/>
        <v/>
      </c>
      <c r="C1646" s="23"/>
      <c r="D1646" s="23"/>
      <c r="E1646" s="23"/>
      <c r="F1646" s="24"/>
      <c r="G1646" s="23"/>
      <c r="H1646" s="23"/>
      <c r="I1646" s="23"/>
      <c r="J1646" s="25"/>
      <c r="K1646" s="23"/>
      <c r="L1646" s="23"/>
      <c r="M1646" s="23"/>
      <c r="N1646" s="26"/>
      <c r="O1646" s="26"/>
      <c r="P1646" s="26"/>
      <c r="Q1646" s="26"/>
      <c r="R1646" s="26"/>
      <c r="S1646" s="26"/>
      <c r="T1646" s="26"/>
      <c r="U1646" s="26"/>
      <c r="V1646" s="26"/>
      <c r="W1646" s="27"/>
    </row>
    <row r="1647" spans="1:23" ht="15.75" customHeight="1" x14ac:dyDescent="0.25">
      <c r="A1647" s="23"/>
      <c r="B1647" s="23" t="str">
        <f t="shared" si="7"/>
        <v/>
      </c>
      <c r="C1647" s="23"/>
      <c r="D1647" s="23"/>
      <c r="E1647" s="23"/>
      <c r="F1647" s="24"/>
      <c r="G1647" s="23"/>
      <c r="H1647" s="23"/>
      <c r="I1647" s="23"/>
      <c r="J1647" s="25"/>
      <c r="K1647" s="23"/>
      <c r="L1647" s="23"/>
      <c r="M1647" s="23"/>
      <c r="N1647" s="26"/>
      <c r="O1647" s="26"/>
      <c r="P1647" s="26"/>
      <c r="Q1647" s="26"/>
      <c r="R1647" s="26"/>
      <c r="S1647" s="26"/>
      <c r="T1647" s="26"/>
      <c r="U1647" s="26"/>
      <c r="V1647" s="26"/>
      <c r="W1647" s="27"/>
    </row>
    <row r="1648" spans="1:23" ht="15.75" customHeight="1" x14ac:dyDescent="0.25">
      <c r="A1648" s="23"/>
      <c r="B1648" s="23" t="str">
        <f t="shared" si="7"/>
        <v/>
      </c>
      <c r="C1648" s="23"/>
      <c r="D1648" s="23"/>
      <c r="E1648" s="23"/>
      <c r="F1648" s="24"/>
      <c r="G1648" s="23"/>
      <c r="H1648" s="23"/>
      <c r="I1648" s="23"/>
      <c r="J1648" s="25"/>
      <c r="K1648" s="23"/>
      <c r="L1648" s="23"/>
      <c r="M1648" s="23"/>
      <c r="N1648" s="26"/>
      <c r="O1648" s="26"/>
      <c r="P1648" s="26"/>
      <c r="Q1648" s="26"/>
      <c r="R1648" s="26"/>
      <c r="S1648" s="26"/>
      <c r="T1648" s="26"/>
      <c r="U1648" s="26"/>
      <c r="V1648" s="26"/>
      <c r="W1648" s="27"/>
    </row>
    <row r="1649" spans="1:23" ht="15.75" customHeight="1" x14ac:dyDescent="0.25">
      <c r="A1649" s="23"/>
      <c r="B1649" s="23" t="str">
        <f t="shared" si="7"/>
        <v/>
      </c>
      <c r="C1649" s="23"/>
      <c r="D1649" s="23"/>
      <c r="E1649" s="23"/>
      <c r="F1649" s="24"/>
      <c r="G1649" s="23"/>
      <c r="H1649" s="23"/>
      <c r="I1649" s="23"/>
      <c r="J1649" s="25"/>
      <c r="K1649" s="23"/>
      <c r="L1649" s="23"/>
      <c r="M1649" s="23"/>
      <c r="N1649" s="26"/>
      <c r="O1649" s="26"/>
      <c r="P1649" s="26"/>
      <c r="Q1649" s="26"/>
      <c r="R1649" s="26"/>
      <c r="S1649" s="26"/>
      <c r="T1649" s="26"/>
      <c r="U1649" s="26"/>
      <c r="V1649" s="26"/>
      <c r="W1649" s="27"/>
    </row>
    <row r="1650" spans="1:23" ht="15.75" customHeight="1" x14ac:dyDescent="0.25">
      <c r="A1650" s="23"/>
      <c r="B1650" s="23" t="str">
        <f t="shared" si="7"/>
        <v/>
      </c>
      <c r="C1650" s="23"/>
      <c r="D1650" s="23"/>
      <c r="E1650" s="23"/>
      <c r="F1650" s="24"/>
      <c r="G1650" s="23"/>
      <c r="H1650" s="23"/>
      <c r="I1650" s="23"/>
      <c r="J1650" s="25"/>
      <c r="K1650" s="23"/>
      <c r="L1650" s="23"/>
      <c r="M1650" s="23"/>
      <c r="N1650" s="26"/>
      <c r="O1650" s="26"/>
      <c r="P1650" s="26"/>
      <c r="Q1650" s="26"/>
      <c r="R1650" s="26"/>
      <c r="S1650" s="26"/>
      <c r="T1650" s="26"/>
      <c r="U1650" s="26"/>
      <c r="V1650" s="26"/>
      <c r="W1650" s="27"/>
    </row>
    <row r="1651" spans="1:23" ht="15.75" customHeight="1" x14ac:dyDescent="0.25">
      <c r="A1651" s="23"/>
      <c r="B1651" s="23" t="str">
        <f t="shared" si="7"/>
        <v/>
      </c>
      <c r="C1651" s="23"/>
      <c r="D1651" s="23"/>
      <c r="E1651" s="23"/>
      <c r="F1651" s="24"/>
      <c r="G1651" s="23"/>
      <c r="H1651" s="23"/>
      <c r="I1651" s="23"/>
      <c r="J1651" s="25"/>
      <c r="K1651" s="23"/>
      <c r="L1651" s="23"/>
      <c r="M1651" s="23"/>
      <c r="N1651" s="26"/>
      <c r="O1651" s="26"/>
      <c r="P1651" s="26"/>
      <c r="Q1651" s="26"/>
      <c r="R1651" s="26"/>
      <c r="S1651" s="26"/>
      <c r="T1651" s="26"/>
      <c r="U1651" s="26"/>
      <c r="V1651" s="26"/>
      <c r="W1651" s="27"/>
    </row>
    <row r="1652" spans="1:23" ht="15.75" customHeight="1" x14ac:dyDescent="0.25">
      <c r="A1652" s="23"/>
      <c r="B1652" s="23" t="str">
        <f t="shared" si="7"/>
        <v/>
      </c>
      <c r="C1652" s="23"/>
      <c r="D1652" s="23"/>
      <c r="E1652" s="23"/>
      <c r="F1652" s="24"/>
      <c r="G1652" s="23"/>
      <c r="H1652" s="23"/>
      <c r="I1652" s="23"/>
      <c r="J1652" s="25"/>
      <c r="K1652" s="23"/>
      <c r="L1652" s="23"/>
      <c r="M1652" s="23"/>
      <c r="N1652" s="26"/>
      <c r="O1652" s="26"/>
      <c r="P1652" s="26"/>
      <c r="Q1652" s="26"/>
      <c r="R1652" s="26"/>
      <c r="S1652" s="26"/>
      <c r="T1652" s="26"/>
      <c r="U1652" s="26"/>
      <c r="V1652" s="26"/>
      <c r="W1652" s="27"/>
    </row>
    <row r="1653" spans="1:23" ht="15.75" customHeight="1" x14ac:dyDescent="0.25">
      <c r="A1653" s="23"/>
      <c r="B1653" s="23" t="str">
        <f t="shared" si="7"/>
        <v/>
      </c>
      <c r="C1653" s="23"/>
      <c r="D1653" s="23"/>
      <c r="E1653" s="23"/>
      <c r="F1653" s="24"/>
      <c r="G1653" s="23"/>
      <c r="H1653" s="23"/>
      <c r="I1653" s="23"/>
      <c r="J1653" s="25"/>
      <c r="K1653" s="23"/>
      <c r="L1653" s="23"/>
      <c r="M1653" s="23"/>
      <c r="N1653" s="26"/>
      <c r="O1653" s="26"/>
      <c r="P1653" s="26"/>
      <c r="Q1653" s="26"/>
      <c r="R1653" s="26"/>
      <c r="S1653" s="26"/>
      <c r="T1653" s="26"/>
      <c r="U1653" s="26"/>
      <c r="V1653" s="26"/>
      <c r="W1653" s="27"/>
    </row>
    <row r="1654" spans="1:23" ht="15.75" customHeight="1" x14ac:dyDescent="0.25">
      <c r="A1654" s="23"/>
      <c r="B1654" s="23" t="str">
        <f t="shared" si="7"/>
        <v/>
      </c>
      <c r="C1654" s="23"/>
      <c r="D1654" s="23"/>
      <c r="E1654" s="23"/>
      <c r="F1654" s="24"/>
      <c r="G1654" s="23"/>
      <c r="H1654" s="23"/>
      <c r="I1654" s="23"/>
      <c r="J1654" s="25"/>
      <c r="K1654" s="23"/>
      <c r="L1654" s="23"/>
      <c r="M1654" s="23"/>
      <c r="N1654" s="26"/>
      <c r="O1654" s="26"/>
      <c r="P1654" s="26"/>
      <c r="Q1654" s="26"/>
      <c r="R1654" s="26"/>
      <c r="S1654" s="26"/>
      <c r="T1654" s="26"/>
      <c r="U1654" s="26"/>
      <c r="V1654" s="26"/>
      <c r="W1654" s="27"/>
    </row>
    <row r="1655" spans="1:23" ht="15.75" customHeight="1" x14ac:dyDescent="0.25">
      <c r="A1655" s="23"/>
      <c r="B1655" s="23" t="str">
        <f t="shared" si="7"/>
        <v/>
      </c>
      <c r="C1655" s="23"/>
      <c r="D1655" s="23"/>
      <c r="E1655" s="23"/>
      <c r="F1655" s="24"/>
      <c r="G1655" s="23"/>
      <c r="H1655" s="23"/>
      <c r="I1655" s="23"/>
      <c r="J1655" s="25"/>
      <c r="K1655" s="23"/>
      <c r="L1655" s="23"/>
      <c r="M1655" s="23"/>
      <c r="N1655" s="26"/>
      <c r="O1655" s="26"/>
      <c r="P1655" s="26"/>
      <c r="Q1655" s="26"/>
      <c r="R1655" s="26"/>
      <c r="S1655" s="26"/>
      <c r="T1655" s="26"/>
      <c r="U1655" s="26"/>
      <c r="V1655" s="26"/>
      <c r="W1655" s="27"/>
    </row>
    <row r="1656" spans="1:23" ht="15.75" customHeight="1" x14ac:dyDescent="0.25">
      <c r="A1656" s="23"/>
      <c r="B1656" s="23" t="str">
        <f t="shared" si="7"/>
        <v/>
      </c>
      <c r="C1656" s="23"/>
      <c r="D1656" s="23"/>
      <c r="E1656" s="23"/>
      <c r="F1656" s="24"/>
      <c r="G1656" s="23"/>
      <c r="H1656" s="23"/>
      <c r="I1656" s="23"/>
      <c r="J1656" s="25"/>
      <c r="K1656" s="23"/>
      <c r="L1656" s="23"/>
      <c r="M1656" s="23"/>
      <c r="N1656" s="26"/>
      <c r="O1656" s="26"/>
      <c r="P1656" s="26"/>
      <c r="Q1656" s="26"/>
      <c r="R1656" s="26"/>
      <c r="S1656" s="26"/>
      <c r="T1656" s="26"/>
      <c r="U1656" s="26"/>
      <c r="V1656" s="26"/>
      <c r="W1656" s="27"/>
    </row>
    <row r="1657" spans="1:23" ht="15.75" customHeight="1" x14ac:dyDescent="0.25">
      <c r="A1657" s="23"/>
      <c r="B1657" s="23" t="str">
        <f t="shared" si="7"/>
        <v/>
      </c>
      <c r="C1657" s="23"/>
      <c r="D1657" s="23"/>
      <c r="E1657" s="23"/>
      <c r="F1657" s="24"/>
      <c r="G1657" s="23"/>
      <c r="H1657" s="23"/>
      <c r="I1657" s="23"/>
      <c r="J1657" s="25"/>
      <c r="K1657" s="23"/>
      <c r="L1657" s="23"/>
      <c r="M1657" s="23"/>
      <c r="N1657" s="26"/>
      <c r="O1657" s="26"/>
      <c r="P1657" s="26"/>
      <c r="Q1657" s="26"/>
      <c r="R1657" s="26"/>
      <c r="S1657" s="26"/>
      <c r="T1657" s="26"/>
      <c r="U1657" s="26"/>
      <c r="V1657" s="26"/>
      <c r="W1657" s="27"/>
    </row>
    <row r="1658" spans="1:23" ht="15.75" customHeight="1" x14ac:dyDescent="0.25">
      <c r="A1658" s="23"/>
      <c r="B1658" s="23" t="str">
        <f t="shared" si="7"/>
        <v/>
      </c>
      <c r="C1658" s="23"/>
      <c r="D1658" s="23"/>
      <c r="E1658" s="23"/>
      <c r="F1658" s="24"/>
      <c r="G1658" s="23"/>
      <c r="H1658" s="23"/>
      <c r="I1658" s="23"/>
      <c r="J1658" s="25"/>
      <c r="K1658" s="23"/>
      <c r="L1658" s="23"/>
      <c r="M1658" s="23"/>
      <c r="N1658" s="26"/>
      <c r="O1658" s="26"/>
      <c r="P1658" s="26"/>
      <c r="Q1658" s="26"/>
      <c r="R1658" s="26"/>
      <c r="S1658" s="26"/>
      <c r="T1658" s="26"/>
      <c r="U1658" s="26"/>
      <c r="V1658" s="26"/>
      <c r="W1658" s="27"/>
    </row>
    <row r="1659" spans="1:23" ht="15.75" customHeight="1" x14ac:dyDescent="0.25">
      <c r="A1659" s="23"/>
      <c r="B1659" s="23" t="str">
        <f t="shared" si="7"/>
        <v/>
      </c>
      <c r="C1659" s="23"/>
      <c r="D1659" s="23"/>
      <c r="E1659" s="23"/>
      <c r="F1659" s="24"/>
      <c r="G1659" s="23"/>
      <c r="H1659" s="23"/>
      <c r="I1659" s="23"/>
      <c r="J1659" s="25"/>
      <c r="K1659" s="23"/>
      <c r="L1659" s="23"/>
      <c r="M1659" s="23"/>
      <c r="N1659" s="26"/>
      <c r="O1659" s="26"/>
      <c r="P1659" s="26"/>
      <c r="Q1659" s="26"/>
      <c r="R1659" s="26"/>
      <c r="S1659" s="26"/>
      <c r="T1659" s="26"/>
      <c r="U1659" s="26"/>
      <c r="V1659" s="26"/>
      <c r="W1659" s="27"/>
    </row>
    <row r="1660" spans="1:23" ht="15.75" customHeight="1" x14ac:dyDescent="0.25">
      <c r="A1660" s="23"/>
      <c r="B1660" s="23" t="str">
        <f t="shared" si="7"/>
        <v/>
      </c>
      <c r="C1660" s="23"/>
      <c r="D1660" s="23"/>
      <c r="E1660" s="23"/>
      <c r="F1660" s="24"/>
      <c r="G1660" s="23"/>
      <c r="H1660" s="23"/>
      <c r="I1660" s="23"/>
      <c r="J1660" s="25"/>
      <c r="K1660" s="23"/>
      <c r="L1660" s="23"/>
      <c r="M1660" s="23"/>
      <c r="N1660" s="26"/>
      <c r="O1660" s="26"/>
      <c r="P1660" s="26"/>
      <c r="Q1660" s="26"/>
      <c r="R1660" s="26"/>
      <c r="S1660" s="26"/>
      <c r="T1660" s="26"/>
      <c r="U1660" s="26"/>
      <c r="V1660" s="26"/>
      <c r="W1660" s="27"/>
    </row>
    <row r="1661" spans="1:23" ht="15.75" customHeight="1" x14ac:dyDescent="0.25">
      <c r="A1661" s="23"/>
      <c r="B1661" s="23" t="str">
        <f t="shared" si="7"/>
        <v/>
      </c>
      <c r="C1661" s="23"/>
      <c r="D1661" s="23"/>
      <c r="E1661" s="23"/>
      <c r="F1661" s="24"/>
      <c r="G1661" s="23"/>
      <c r="H1661" s="23"/>
      <c r="I1661" s="23"/>
      <c r="J1661" s="25"/>
      <c r="K1661" s="23"/>
      <c r="L1661" s="23"/>
      <c r="M1661" s="23"/>
      <c r="N1661" s="26"/>
      <c r="O1661" s="26"/>
      <c r="P1661" s="26"/>
      <c r="Q1661" s="26"/>
      <c r="R1661" s="26"/>
      <c r="S1661" s="26"/>
      <c r="T1661" s="26"/>
      <c r="U1661" s="26"/>
      <c r="V1661" s="26"/>
      <c r="W1661" s="27"/>
    </row>
    <row r="1662" spans="1:23" ht="15.75" customHeight="1" x14ac:dyDescent="0.25">
      <c r="A1662" s="23"/>
      <c r="B1662" s="23" t="str">
        <f t="shared" si="7"/>
        <v/>
      </c>
      <c r="C1662" s="23"/>
      <c r="D1662" s="23"/>
      <c r="E1662" s="23"/>
      <c r="F1662" s="24"/>
      <c r="G1662" s="23"/>
      <c r="H1662" s="23"/>
      <c r="I1662" s="23"/>
      <c r="J1662" s="25"/>
      <c r="K1662" s="23"/>
      <c r="L1662" s="23"/>
      <c r="M1662" s="23"/>
      <c r="N1662" s="26"/>
      <c r="O1662" s="26"/>
      <c r="P1662" s="26"/>
      <c r="Q1662" s="26"/>
      <c r="R1662" s="26"/>
      <c r="S1662" s="26"/>
      <c r="T1662" s="26"/>
      <c r="U1662" s="26"/>
      <c r="V1662" s="26"/>
      <c r="W1662" s="27"/>
    </row>
    <row r="1663" spans="1:23" ht="15.75" customHeight="1" x14ac:dyDescent="0.25">
      <c r="A1663" s="23"/>
      <c r="B1663" s="23" t="str">
        <f t="shared" si="7"/>
        <v/>
      </c>
      <c r="C1663" s="23"/>
      <c r="D1663" s="23"/>
      <c r="E1663" s="23"/>
      <c r="F1663" s="24"/>
      <c r="G1663" s="23"/>
      <c r="H1663" s="23"/>
      <c r="I1663" s="23"/>
      <c r="J1663" s="25"/>
      <c r="K1663" s="23"/>
      <c r="L1663" s="23"/>
      <c r="M1663" s="23"/>
      <c r="N1663" s="26"/>
      <c r="O1663" s="26"/>
      <c r="P1663" s="26"/>
      <c r="Q1663" s="26"/>
      <c r="R1663" s="26"/>
      <c r="S1663" s="26"/>
      <c r="T1663" s="26"/>
      <c r="U1663" s="26"/>
      <c r="V1663" s="26"/>
      <c r="W1663" s="27"/>
    </row>
    <row r="1664" spans="1:23" ht="15.75" customHeight="1" x14ac:dyDescent="0.25">
      <c r="A1664" s="23"/>
      <c r="B1664" s="23" t="str">
        <f t="shared" si="7"/>
        <v/>
      </c>
      <c r="C1664" s="23"/>
      <c r="D1664" s="23"/>
      <c r="E1664" s="23"/>
      <c r="F1664" s="24"/>
      <c r="G1664" s="23"/>
      <c r="H1664" s="23"/>
      <c r="I1664" s="23"/>
      <c r="J1664" s="25"/>
      <c r="K1664" s="23"/>
      <c r="L1664" s="23"/>
      <c r="M1664" s="23"/>
      <c r="N1664" s="26"/>
      <c r="O1664" s="26"/>
      <c r="P1664" s="26"/>
      <c r="Q1664" s="26"/>
      <c r="R1664" s="26"/>
      <c r="S1664" s="26"/>
      <c r="T1664" s="26"/>
      <c r="U1664" s="26"/>
      <c r="V1664" s="26"/>
      <c r="W1664" s="27"/>
    </row>
    <row r="1665" spans="1:23" ht="15.75" customHeight="1" x14ac:dyDescent="0.25">
      <c r="A1665" s="23"/>
      <c r="B1665" s="23" t="str">
        <f t="shared" si="7"/>
        <v/>
      </c>
      <c r="C1665" s="23"/>
      <c r="D1665" s="23"/>
      <c r="E1665" s="23"/>
      <c r="F1665" s="24"/>
      <c r="G1665" s="23"/>
      <c r="H1665" s="23"/>
      <c r="I1665" s="23"/>
      <c r="J1665" s="25"/>
      <c r="K1665" s="23"/>
      <c r="L1665" s="23"/>
      <c r="M1665" s="23"/>
      <c r="N1665" s="26"/>
      <c r="O1665" s="26"/>
      <c r="P1665" s="26"/>
      <c r="Q1665" s="26"/>
      <c r="R1665" s="26"/>
      <c r="S1665" s="26"/>
      <c r="T1665" s="26"/>
      <c r="U1665" s="26"/>
      <c r="V1665" s="26"/>
      <c r="W1665" s="27"/>
    </row>
    <row r="1666" spans="1:23" ht="15.75" customHeight="1" x14ac:dyDescent="0.25">
      <c r="A1666" s="23"/>
      <c r="B1666" s="23" t="str">
        <f t="shared" si="7"/>
        <v/>
      </c>
      <c r="C1666" s="23"/>
      <c r="D1666" s="23"/>
      <c r="E1666" s="23"/>
      <c r="F1666" s="24"/>
      <c r="G1666" s="23"/>
      <c r="H1666" s="23"/>
      <c r="I1666" s="23"/>
      <c r="J1666" s="25"/>
      <c r="K1666" s="23"/>
      <c r="L1666" s="23"/>
      <c r="M1666" s="23"/>
      <c r="N1666" s="26"/>
      <c r="O1666" s="26"/>
      <c r="P1666" s="26"/>
      <c r="Q1666" s="26"/>
      <c r="R1666" s="26"/>
      <c r="S1666" s="26"/>
      <c r="T1666" s="26"/>
      <c r="U1666" s="26"/>
      <c r="V1666" s="26"/>
      <c r="W1666" s="27"/>
    </row>
    <row r="1667" spans="1:23" ht="15.75" customHeight="1" x14ac:dyDescent="0.25">
      <c r="A1667" s="23"/>
      <c r="B1667" s="23" t="str">
        <f t="shared" si="7"/>
        <v/>
      </c>
      <c r="C1667" s="23"/>
      <c r="D1667" s="23"/>
      <c r="E1667" s="23"/>
      <c r="F1667" s="24"/>
      <c r="G1667" s="23"/>
      <c r="H1667" s="23"/>
      <c r="I1667" s="23"/>
      <c r="J1667" s="25"/>
      <c r="K1667" s="23"/>
      <c r="L1667" s="23"/>
      <c r="M1667" s="23"/>
      <c r="N1667" s="26"/>
      <c r="O1667" s="26"/>
      <c r="P1667" s="26"/>
      <c r="Q1667" s="26"/>
      <c r="R1667" s="26"/>
      <c r="S1667" s="26"/>
      <c r="T1667" s="26"/>
      <c r="U1667" s="26"/>
      <c r="V1667" s="26"/>
      <c r="W1667" s="27"/>
    </row>
    <row r="1668" spans="1:23" ht="15.75" customHeight="1" x14ac:dyDescent="0.25">
      <c r="A1668" s="23"/>
      <c r="B1668" s="23" t="str">
        <f t="shared" si="7"/>
        <v/>
      </c>
      <c r="C1668" s="23"/>
      <c r="D1668" s="23"/>
      <c r="E1668" s="23"/>
      <c r="F1668" s="24"/>
      <c r="G1668" s="23"/>
      <c r="H1668" s="23"/>
      <c r="I1668" s="23"/>
      <c r="J1668" s="25"/>
      <c r="K1668" s="23"/>
      <c r="L1668" s="23"/>
      <c r="M1668" s="23"/>
      <c r="N1668" s="26"/>
      <c r="O1668" s="26"/>
      <c r="P1668" s="26"/>
      <c r="Q1668" s="26"/>
      <c r="R1668" s="26"/>
      <c r="S1668" s="26"/>
      <c r="T1668" s="26"/>
      <c r="U1668" s="26"/>
      <c r="V1668" s="26"/>
      <c r="W1668" s="27"/>
    </row>
    <row r="1669" spans="1:23" ht="15.75" customHeight="1" x14ac:dyDescent="0.25">
      <c r="A1669" s="23"/>
      <c r="B1669" s="23" t="str">
        <f t="shared" si="7"/>
        <v/>
      </c>
      <c r="C1669" s="23"/>
      <c r="D1669" s="23"/>
      <c r="E1669" s="23"/>
      <c r="F1669" s="24"/>
      <c r="G1669" s="23"/>
      <c r="H1669" s="23"/>
      <c r="I1669" s="23"/>
      <c r="J1669" s="25"/>
      <c r="K1669" s="23"/>
      <c r="L1669" s="23"/>
      <c r="M1669" s="23"/>
      <c r="N1669" s="26"/>
      <c r="O1669" s="26"/>
      <c r="P1669" s="26"/>
      <c r="Q1669" s="26"/>
      <c r="R1669" s="26"/>
      <c r="S1669" s="26"/>
      <c r="T1669" s="26"/>
      <c r="U1669" s="26"/>
      <c r="V1669" s="26"/>
      <c r="W1669" s="27"/>
    </row>
    <row r="1670" spans="1:23" ht="15.75" customHeight="1" x14ac:dyDescent="0.25">
      <c r="A1670" s="23"/>
      <c r="B1670" s="23" t="str">
        <f t="shared" si="7"/>
        <v/>
      </c>
      <c r="C1670" s="23"/>
      <c r="D1670" s="23"/>
      <c r="E1670" s="23"/>
      <c r="F1670" s="24"/>
      <c r="G1670" s="23"/>
      <c r="H1670" s="23"/>
      <c r="I1670" s="23"/>
      <c r="J1670" s="25"/>
      <c r="K1670" s="23"/>
      <c r="L1670" s="23"/>
      <c r="M1670" s="23"/>
      <c r="N1670" s="26"/>
      <c r="O1670" s="26"/>
      <c r="P1670" s="26"/>
      <c r="Q1670" s="26"/>
      <c r="R1670" s="26"/>
      <c r="S1670" s="26"/>
      <c r="T1670" s="26"/>
      <c r="U1670" s="26"/>
      <c r="V1670" s="26"/>
      <c r="W1670" s="27"/>
    </row>
    <row r="1671" spans="1:23" ht="15.75" customHeight="1" x14ac:dyDescent="0.25">
      <c r="A1671" s="23"/>
      <c r="B1671" s="23" t="str">
        <f t="shared" si="7"/>
        <v/>
      </c>
      <c r="C1671" s="23"/>
      <c r="D1671" s="23"/>
      <c r="E1671" s="23"/>
      <c r="F1671" s="24"/>
      <c r="G1671" s="23"/>
      <c r="H1671" s="23"/>
      <c r="I1671" s="23"/>
      <c r="J1671" s="25"/>
      <c r="K1671" s="23"/>
      <c r="L1671" s="23"/>
      <c r="M1671" s="23"/>
      <c r="N1671" s="26"/>
      <c r="O1671" s="26"/>
      <c r="P1671" s="26"/>
      <c r="Q1671" s="26"/>
      <c r="R1671" s="26"/>
      <c r="S1671" s="26"/>
      <c r="T1671" s="26"/>
      <c r="U1671" s="26"/>
      <c r="V1671" s="26"/>
      <c r="W1671" s="27"/>
    </row>
    <row r="1672" spans="1:23" ht="15.75" customHeight="1" x14ac:dyDescent="0.25">
      <c r="A1672" s="23"/>
      <c r="B1672" s="23" t="str">
        <f t="shared" si="7"/>
        <v/>
      </c>
      <c r="C1672" s="23"/>
      <c r="D1672" s="23"/>
      <c r="E1672" s="23"/>
      <c r="F1672" s="24"/>
      <c r="G1672" s="23"/>
      <c r="H1672" s="23"/>
      <c r="I1672" s="23"/>
      <c r="J1672" s="25"/>
      <c r="K1672" s="23"/>
      <c r="L1672" s="23"/>
      <c r="M1672" s="23"/>
      <c r="N1672" s="26"/>
      <c r="O1672" s="26"/>
      <c r="P1672" s="26"/>
      <c r="Q1672" s="26"/>
      <c r="R1672" s="26"/>
      <c r="S1672" s="26"/>
      <c r="T1672" s="26"/>
      <c r="U1672" s="26"/>
      <c r="V1672" s="26"/>
      <c r="W1672" s="27"/>
    </row>
    <row r="1673" spans="1:23" ht="15.75" customHeight="1" x14ac:dyDescent="0.25">
      <c r="A1673" s="23"/>
      <c r="B1673" s="23" t="str">
        <f t="shared" si="7"/>
        <v/>
      </c>
      <c r="C1673" s="23"/>
      <c r="D1673" s="23"/>
      <c r="E1673" s="23"/>
      <c r="F1673" s="24"/>
      <c r="G1673" s="23"/>
      <c r="H1673" s="23"/>
      <c r="I1673" s="23"/>
      <c r="J1673" s="25"/>
      <c r="K1673" s="23"/>
      <c r="L1673" s="23"/>
      <c r="M1673" s="23"/>
      <c r="N1673" s="26"/>
      <c r="O1673" s="26"/>
      <c r="P1673" s="26"/>
      <c r="Q1673" s="26"/>
      <c r="R1673" s="26"/>
      <c r="S1673" s="26"/>
      <c r="T1673" s="26"/>
      <c r="U1673" s="26"/>
      <c r="V1673" s="26"/>
      <c r="W1673" s="27"/>
    </row>
    <row r="1674" spans="1:23" ht="15.75" customHeight="1" x14ac:dyDescent="0.25">
      <c r="A1674" s="23"/>
      <c r="B1674" s="23" t="str">
        <f t="shared" si="7"/>
        <v/>
      </c>
      <c r="C1674" s="23"/>
      <c r="D1674" s="23"/>
      <c r="E1674" s="23"/>
      <c r="F1674" s="24"/>
      <c r="G1674" s="23"/>
      <c r="H1674" s="23"/>
      <c r="I1674" s="23"/>
      <c r="J1674" s="25"/>
      <c r="K1674" s="23"/>
      <c r="L1674" s="23"/>
      <c r="M1674" s="23"/>
      <c r="N1674" s="26"/>
      <c r="O1674" s="26"/>
      <c r="P1674" s="26"/>
      <c r="Q1674" s="26"/>
      <c r="R1674" s="26"/>
      <c r="S1674" s="26"/>
      <c r="T1674" s="26"/>
      <c r="U1674" s="26"/>
      <c r="V1674" s="26"/>
      <c r="W1674" s="27"/>
    </row>
    <row r="1675" spans="1:23" ht="15.75" customHeight="1" x14ac:dyDescent="0.25">
      <c r="A1675" s="23"/>
      <c r="B1675" s="23" t="str">
        <f t="shared" si="7"/>
        <v/>
      </c>
      <c r="C1675" s="23"/>
      <c r="D1675" s="23"/>
      <c r="E1675" s="23"/>
      <c r="F1675" s="24"/>
      <c r="G1675" s="23"/>
      <c r="H1675" s="23"/>
      <c r="I1675" s="23"/>
      <c r="J1675" s="25"/>
      <c r="K1675" s="23"/>
      <c r="L1675" s="23"/>
      <c r="M1675" s="23"/>
      <c r="N1675" s="26"/>
      <c r="O1675" s="26"/>
      <c r="P1675" s="26"/>
      <c r="Q1675" s="26"/>
      <c r="R1675" s="26"/>
      <c r="S1675" s="26"/>
      <c r="T1675" s="26"/>
      <c r="U1675" s="26"/>
      <c r="V1675" s="26"/>
      <c r="W1675" s="27"/>
    </row>
    <row r="1676" spans="1:23" ht="15.75" customHeight="1" x14ac:dyDescent="0.25">
      <c r="A1676" s="23"/>
      <c r="B1676" s="23" t="str">
        <f t="shared" si="7"/>
        <v/>
      </c>
      <c r="C1676" s="23"/>
      <c r="D1676" s="23"/>
      <c r="E1676" s="23"/>
      <c r="F1676" s="24"/>
      <c r="G1676" s="23"/>
      <c r="H1676" s="23"/>
      <c r="I1676" s="23"/>
      <c r="J1676" s="25"/>
      <c r="K1676" s="23"/>
      <c r="L1676" s="23"/>
      <c r="M1676" s="23"/>
      <c r="N1676" s="26"/>
      <c r="O1676" s="26"/>
      <c r="P1676" s="26"/>
      <c r="Q1676" s="26"/>
      <c r="R1676" s="26"/>
      <c r="S1676" s="26"/>
      <c r="T1676" s="26"/>
      <c r="U1676" s="26"/>
      <c r="V1676" s="26"/>
      <c r="W1676" s="27"/>
    </row>
    <row r="1677" spans="1:23" ht="15.75" customHeight="1" x14ac:dyDescent="0.25">
      <c r="A1677" s="23"/>
      <c r="B1677" s="23" t="str">
        <f t="shared" si="7"/>
        <v/>
      </c>
      <c r="C1677" s="23"/>
      <c r="D1677" s="23"/>
      <c r="E1677" s="23"/>
      <c r="F1677" s="24"/>
      <c r="G1677" s="23"/>
      <c r="H1677" s="23"/>
      <c r="I1677" s="23"/>
      <c r="J1677" s="25"/>
      <c r="K1677" s="23"/>
      <c r="L1677" s="23"/>
      <c r="M1677" s="23"/>
      <c r="N1677" s="26"/>
      <c r="O1677" s="26"/>
      <c r="P1677" s="26"/>
      <c r="Q1677" s="26"/>
      <c r="R1677" s="26"/>
      <c r="S1677" s="26"/>
      <c r="T1677" s="26"/>
      <c r="U1677" s="26"/>
      <c r="V1677" s="26"/>
      <c r="W1677" s="27"/>
    </row>
    <row r="1678" spans="1:23" ht="15.75" customHeight="1" x14ac:dyDescent="0.25">
      <c r="A1678" s="23"/>
      <c r="B1678" s="23" t="str">
        <f t="shared" si="7"/>
        <v/>
      </c>
      <c r="C1678" s="23"/>
      <c r="D1678" s="23"/>
      <c r="E1678" s="23"/>
      <c r="F1678" s="24"/>
      <c r="G1678" s="23"/>
      <c r="H1678" s="23"/>
      <c r="I1678" s="23"/>
      <c r="J1678" s="25"/>
      <c r="K1678" s="23"/>
      <c r="L1678" s="23"/>
      <c r="M1678" s="23"/>
      <c r="N1678" s="26"/>
      <c r="O1678" s="26"/>
      <c r="P1678" s="26"/>
      <c r="Q1678" s="26"/>
      <c r="R1678" s="26"/>
      <c r="S1678" s="26"/>
      <c r="T1678" s="26"/>
      <c r="U1678" s="26"/>
      <c r="V1678" s="26"/>
      <c r="W1678" s="27"/>
    </row>
    <row r="1679" spans="1:23" ht="15.75" customHeight="1" x14ac:dyDescent="0.25">
      <c r="A1679" s="23"/>
      <c r="B1679" s="23" t="str">
        <f t="shared" si="7"/>
        <v/>
      </c>
      <c r="C1679" s="23"/>
      <c r="D1679" s="23"/>
      <c r="E1679" s="23"/>
      <c r="F1679" s="24"/>
      <c r="G1679" s="23"/>
      <c r="H1679" s="23"/>
      <c r="I1679" s="23"/>
      <c r="J1679" s="25"/>
      <c r="K1679" s="23"/>
      <c r="L1679" s="23"/>
      <c r="M1679" s="23"/>
      <c r="N1679" s="26"/>
      <c r="O1679" s="26"/>
      <c r="P1679" s="26"/>
      <c r="Q1679" s="26"/>
      <c r="R1679" s="26"/>
      <c r="S1679" s="26"/>
      <c r="T1679" s="26"/>
      <c r="U1679" s="26"/>
      <c r="V1679" s="26"/>
      <c r="W1679" s="27"/>
    </row>
    <row r="1680" spans="1:23" ht="15.75" customHeight="1" x14ac:dyDescent="0.25">
      <c r="A1680" s="23"/>
      <c r="B1680" s="23" t="str">
        <f t="shared" si="7"/>
        <v/>
      </c>
      <c r="C1680" s="23"/>
      <c r="D1680" s="23"/>
      <c r="E1680" s="23"/>
      <c r="F1680" s="24"/>
      <c r="G1680" s="23"/>
      <c r="H1680" s="23"/>
      <c r="I1680" s="23"/>
      <c r="J1680" s="25"/>
      <c r="K1680" s="23"/>
      <c r="L1680" s="23"/>
      <c r="M1680" s="23"/>
      <c r="N1680" s="26"/>
      <c r="O1680" s="26"/>
      <c r="P1680" s="26"/>
      <c r="Q1680" s="26"/>
      <c r="R1680" s="26"/>
      <c r="S1680" s="26"/>
      <c r="T1680" s="26"/>
      <c r="U1680" s="26"/>
      <c r="V1680" s="26"/>
      <c r="W1680" s="27"/>
    </row>
    <row r="1681" spans="1:23" ht="15.75" customHeight="1" x14ac:dyDescent="0.25">
      <c r="A1681" s="23"/>
      <c r="B1681" s="23" t="str">
        <f t="shared" si="7"/>
        <v/>
      </c>
      <c r="C1681" s="23"/>
      <c r="D1681" s="23"/>
      <c r="E1681" s="23"/>
      <c r="F1681" s="24"/>
      <c r="G1681" s="23"/>
      <c r="H1681" s="23"/>
      <c r="I1681" s="23"/>
      <c r="J1681" s="25"/>
      <c r="K1681" s="23"/>
      <c r="L1681" s="23"/>
      <c r="M1681" s="23"/>
      <c r="N1681" s="26"/>
      <c r="O1681" s="26"/>
      <c r="P1681" s="26"/>
      <c r="Q1681" s="26"/>
      <c r="R1681" s="26"/>
      <c r="S1681" s="26"/>
      <c r="T1681" s="26"/>
      <c r="U1681" s="26"/>
      <c r="V1681" s="26"/>
      <c r="W1681" s="27"/>
    </row>
    <row r="1682" spans="1:23" ht="15.75" customHeight="1" x14ac:dyDescent="0.25">
      <c r="A1682" s="23"/>
      <c r="B1682" s="23" t="str">
        <f t="shared" si="7"/>
        <v/>
      </c>
      <c r="C1682" s="23"/>
      <c r="D1682" s="23"/>
      <c r="E1682" s="23"/>
      <c r="F1682" s="24"/>
      <c r="G1682" s="23"/>
      <c r="H1682" s="23"/>
      <c r="I1682" s="23"/>
      <c r="J1682" s="25"/>
      <c r="K1682" s="23"/>
      <c r="L1682" s="23"/>
      <c r="M1682" s="23"/>
      <c r="N1682" s="26"/>
      <c r="O1682" s="26"/>
      <c r="P1682" s="26"/>
      <c r="Q1682" s="26"/>
      <c r="R1682" s="26"/>
      <c r="S1682" s="26"/>
      <c r="T1682" s="26"/>
      <c r="U1682" s="26"/>
      <c r="V1682" s="26"/>
      <c r="W1682" s="27"/>
    </row>
    <row r="1683" spans="1:23" ht="15.75" customHeight="1" x14ac:dyDescent="0.25">
      <c r="A1683" s="23"/>
      <c r="B1683" s="23" t="str">
        <f t="shared" si="7"/>
        <v/>
      </c>
      <c r="C1683" s="23"/>
      <c r="D1683" s="23"/>
      <c r="E1683" s="23"/>
      <c r="F1683" s="24"/>
      <c r="G1683" s="23"/>
      <c r="H1683" s="23"/>
      <c r="I1683" s="23"/>
      <c r="J1683" s="25"/>
      <c r="K1683" s="23"/>
      <c r="L1683" s="23"/>
      <c r="M1683" s="23"/>
      <c r="N1683" s="26"/>
      <c r="O1683" s="26"/>
      <c r="P1683" s="26"/>
      <c r="Q1683" s="26"/>
      <c r="R1683" s="26"/>
      <c r="S1683" s="26"/>
      <c r="T1683" s="26"/>
      <c r="U1683" s="26"/>
      <c r="V1683" s="26"/>
      <c r="W1683" s="27"/>
    </row>
    <row r="1684" spans="1:23" ht="15.75" customHeight="1" x14ac:dyDescent="0.25">
      <c r="A1684" s="23"/>
      <c r="B1684" s="23" t="str">
        <f t="shared" si="7"/>
        <v/>
      </c>
      <c r="C1684" s="23"/>
      <c r="D1684" s="23"/>
      <c r="E1684" s="23"/>
      <c r="F1684" s="24"/>
      <c r="G1684" s="23"/>
      <c r="H1684" s="23"/>
      <c r="I1684" s="23"/>
      <c r="J1684" s="25"/>
      <c r="K1684" s="23"/>
      <c r="L1684" s="23"/>
      <c r="M1684" s="23"/>
      <c r="N1684" s="26"/>
      <c r="O1684" s="26"/>
      <c r="P1684" s="26"/>
      <c r="Q1684" s="26"/>
      <c r="R1684" s="26"/>
      <c r="S1684" s="26"/>
      <c r="T1684" s="26"/>
      <c r="U1684" s="26"/>
      <c r="V1684" s="26"/>
      <c r="W1684" s="27"/>
    </row>
    <row r="1685" spans="1:23" ht="15.75" customHeight="1" x14ac:dyDescent="0.25">
      <c r="A1685" s="23"/>
      <c r="B1685" s="23" t="str">
        <f t="shared" si="7"/>
        <v/>
      </c>
      <c r="C1685" s="23"/>
      <c r="D1685" s="23"/>
      <c r="E1685" s="23"/>
      <c r="F1685" s="24"/>
      <c r="G1685" s="23"/>
      <c r="H1685" s="23"/>
      <c r="I1685" s="23"/>
      <c r="J1685" s="25"/>
      <c r="K1685" s="23"/>
      <c r="L1685" s="23"/>
      <c r="M1685" s="23"/>
      <c r="N1685" s="26"/>
      <c r="O1685" s="26"/>
      <c r="P1685" s="26"/>
      <c r="Q1685" s="26"/>
      <c r="R1685" s="26"/>
      <c r="S1685" s="26"/>
      <c r="T1685" s="26"/>
      <c r="U1685" s="26"/>
      <c r="V1685" s="26"/>
      <c r="W1685" s="27"/>
    </row>
    <row r="1686" spans="1:23" ht="15.75" customHeight="1" x14ac:dyDescent="0.25">
      <c r="A1686" s="23"/>
      <c r="B1686" s="23" t="str">
        <f t="shared" si="7"/>
        <v/>
      </c>
      <c r="C1686" s="23"/>
      <c r="D1686" s="23"/>
      <c r="E1686" s="23"/>
      <c r="F1686" s="24"/>
      <c r="G1686" s="23"/>
      <c r="H1686" s="23"/>
      <c r="I1686" s="23"/>
      <c r="J1686" s="25"/>
      <c r="K1686" s="23"/>
      <c r="L1686" s="23"/>
      <c r="M1686" s="23"/>
      <c r="N1686" s="26"/>
      <c r="O1686" s="26"/>
      <c r="P1686" s="26"/>
      <c r="Q1686" s="26"/>
      <c r="R1686" s="26"/>
      <c r="S1686" s="26"/>
      <c r="T1686" s="26"/>
      <c r="U1686" s="26"/>
      <c r="V1686" s="26"/>
      <c r="W1686" s="27"/>
    </row>
    <row r="1687" spans="1:23" ht="15.75" customHeight="1" x14ac:dyDescent="0.25">
      <c r="A1687" s="23"/>
      <c r="B1687" s="23" t="str">
        <f t="shared" si="7"/>
        <v/>
      </c>
      <c r="C1687" s="23"/>
      <c r="D1687" s="23"/>
      <c r="E1687" s="23"/>
      <c r="F1687" s="24"/>
      <c r="G1687" s="23"/>
      <c r="H1687" s="23"/>
      <c r="I1687" s="23"/>
      <c r="J1687" s="25"/>
      <c r="K1687" s="23"/>
      <c r="L1687" s="23"/>
      <c r="M1687" s="23"/>
      <c r="N1687" s="26"/>
      <c r="O1687" s="26"/>
      <c r="P1687" s="26"/>
      <c r="Q1687" s="26"/>
      <c r="R1687" s="26"/>
      <c r="S1687" s="26"/>
      <c r="T1687" s="26"/>
      <c r="U1687" s="26"/>
      <c r="V1687" s="26"/>
      <c r="W1687" s="27"/>
    </row>
    <row r="1688" spans="1:23" ht="15.75" customHeight="1" x14ac:dyDescent="0.25">
      <c r="A1688" s="23"/>
      <c r="B1688" s="23" t="str">
        <f t="shared" si="7"/>
        <v/>
      </c>
      <c r="C1688" s="23"/>
      <c r="D1688" s="23"/>
      <c r="E1688" s="23"/>
      <c r="F1688" s="24"/>
      <c r="G1688" s="23"/>
      <c r="H1688" s="23"/>
      <c r="I1688" s="23"/>
      <c r="J1688" s="25"/>
      <c r="K1688" s="23"/>
      <c r="L1688" s="23"/>
      <c r="M1688" s="23"/>
      <c r="N1688" s="26"/>
      <c r="O1688" s="26"/>
      <c r="P1688" s="26"/>
      <c r="Q1688" s="26"/>
      <c r="R1688" s="26"/>
      <c r="S1688" s="26"/>
      <c r="T1688" s="26"/>
      <c r="U1688" s="26"/>
      <c r="V1688" s="26"/>
      <c r="W1688" s="27"/>
    </row>
    <row r="1689" spans="1:23" ht="15.75" customHeight="1" x14ac:dyDescent="0.25">
      <c r="A1689" s="23"/>
      <c r="B1689" s="23" t="str">
        <f t="shared" si="7"/>
        <v/>
      </c>
      <c r="C1689" s="23"/>
      <c r="D1689" s="23"/>
      <c r="E1689" s="23"/>
      <c r="F1689" s="24"/>
      <c r="G1689" s="23"/>
      <c r="H1689" s="23"/>
      <c r="I1689" s="23"/>
      <c r="J1689" s="25"/>
      <c r="K1689" s="23"/>
      <c r="L1689" s="23"/>
      <c r="M1689" s="23"/>
      <c r="N1689" s="26"/>
      <c r="O1689" s="26"/>
      <c r="P1689" s="26"/>
      <c r="Q1689" s="26"/>
      <c r="R1689" s="26"/>
      <c r="S1689" s="26"/>
      <c r="T1689" s="26"/>
      <c r="U1689" s="26"/>
      <c r="V1689" s="26"/>
      <c r="W1689" s="27"/>
    </row>
    <row r="1690" spans="1:23" ht="15.75" customHeight="1" x14ac:dyDescent="0.25">
      <c r="A1690" s="23"/>
      <c r="B1690" s="23" t="str">
        <f t="shared" si="7"/>
        <v/>
      </c>
      <c r="C1690" s="23"/>
      <c r="D1690" s="23"/>
      <c r="E1690" s="23"/>
      <c r="F1690" s="24"/>
      <c r="G1690" s="23"/>
      <c r="H1690" s="23"/>
      <c r="I1690" s="23"/>
      <c r="J1690" s="25"/>
      <c r="K1690" s="23"/>
      <c r="L1690" s="23"/>
      <c r="M1690" s="23"/>
      <c r="N1690" s="26"/>
      <c r="O1690" s="26"/>
      <c r="P1690" s="26"/>
      <c r="Q1690" s="26"/>
      <c r="R1690" s="26"/>
      <c r="S1690" s="26"/>
      <c r="T1690" s="26"/>
      <c r="U1690" s="26"/>
      <c r="V1690" s="26"/>
      <c r="W1690" s="27"/>
    </row>
    <row r="1691" spans="1:23" ht="15.75" customHeight="1" x14ac:dyDescent="0.25">
      <c r="A1691" s="23"/>
      <c r="B1691" s="23" t="str">
        <f t="shared" si="7"/>
        <v/>
      </c>
      <c r="C1691" s="23"/>
      <c r="D1691" s="23"/>
      <c r="E1691" s="23"/>
      <c r="F1691" s="24"/>
      <c r="G1691" s="23"/>
      <c r="H1691" s="23"/>
      <c r="I1691" s="23"/>
      <c r="J1691" s="25"/>
      <c r="K1691" s="23"/>
      <c r="L1691" s="23"/>
      <c r="M1691" s="23"/>
      <c r="N1691" s="26"/>
      <c r="O1691" s="26"/>
      <c r="P1691" s="26"/>
      <c r="Q1691" s="26"/>
      <c r="R1691" s="26"/>
      <c r="S1691" s="26"/>
      <c r="T1691" s="26"/>
      <c r="U1691" s="26"/>
      <c r="V1691" s="26"/>
      <c r="W1691" s="27"/>
    </row>
    <row r="1692" spans="1:23" ht="15.75" customHeight="1" x14ac:dyDescent="0.25">
      <c r="A1692" s="23"/>
      <c r="B1692" s="23" t="str">
        <f t="shared" si="7"/>
        <v/>
      </c>
      <c r="C1692" s="23"/>
      <c r="D1692" s="23"/>
      <c r="E1692" s="23"/>
      <c r="F1692" s="24"/>
      <c r="G1692" s="23"/>
      <c r="H1692" s="23"/>
      <c r="I1692" s="23"/>
      <c r="J1692" s="25"/>
      <c r="K1692" s="23"/>
      <c r="L1692" s="23"/>
      <c r="M1692" s="23"/>
      <c r="N1692" s="26"/>
      <c r="O1692" s="26"/>
      <c r="P1692" s="26"/>
      <c r="Q1692" s="26"/>
      <c r="R1692" s="26"/>
      <c r="S1692" s="26"/>
      <c r="T1692" s="26"/>
      <c r="U1692" s="26"/>
      <c r="V1692" s="26"/>
      <c r="W1692" s="27"/>
    </row>
    <row r="1693" spans="1:23" ht="15.75" customHeight="1" x14ac:dyDescent="0.25">
      <c r="A1693" s="23"/>
      <c r="B1693" s="23" t="str">
        <f t="shared" si="7"/>
        <v/>
      </c>
      <c r="C1693" s="23"/>
      <c r="D1693" s="23"/>
      <c r="E1693" s="23"/>
      <c r="F1693" s="24"/>
      <c r="G1693" s="23"/>
      <c r="H1693" s="23"/>
      <c r="I1693" s="23"/>
      <c r="J1693" s="25"/>
      <c r="K1693" s="23"/>
      <c r="L1693" s="23"/>
      <c r="M1693" s="23"/>
      <c r="N1693" s="26"/>
      <c r="O1693" s="26"/>
      <c r="P1693" s="26"/>
      <c r="Q1693" s="26"/>
      <c r="R1693" s="26"/>
      <c r="S1693" s="26"/>
      <c r="T1693" s="26"/>
      <c r="U1693" s="26"/>
      <c r="V1693" s="26"/>
      <c r="W1693" s="27"/>
    </row>
    <row r="1694" spans="1:23" ht="15.75" customHeight="1" x14ac:dyDescent="0.25">
      <c r="A1694" s="23"/>
      <c r="B1694" s="23" t="str">
        <f t="shared" si="7"/>
        <v/>
      </c>
      <c r="C1694" s="23"/>
      <c r="D1694" s="23"/>
      <c r="E1694" s="23"/>
      <c r="F1694" s="24"/>
      <c r="G1694" s="23"/>
      <c r="H1694" s="23"/>
      <c r="I1694" s="23"/>
      <c r="J1694" s="25"/>
      <c r="K1694" s="23"/>
      <c r="L1694" s="23"/>
      <c r="M1694" s="23"/>
      <c r="N1694" s="26"/>
      <c r="O1694" s="26"/>
      <c r="P1694" s="26"/>
      <c r="Q1694" s="26"/>
      <c r="R1694" s="26"/>
      <c r="S1694" s="26"/>
      <c r="T1694" s="26"/>
      <c r="U1694" s="26"/>
      <c r="V1694" s="26"/>
      <c r="W1694" s="27"/>
    </row>
    <row r="1695" spans="1:23" ht="15.75" customHeight="1" x14ac:dyDescent="0.25">
      <c r="A1695" s="23"/>
      <c r="B1695" s="23" t="str">
        <f t="shared" si="7"/>
        <v/>
      </c>
      <c r="C1695" s="23"/>
      <c r="D1695" s="23"/>
      <c r="E1695" s="23"/>
      <c r="F1695" s="24"/>
      <c r="G1695" s="23"/>
      <c r="H1695" s="23"/>
      <c r="I1695" s="23"/>
      <c r="J1695" s="25"/>
      <c r="K1695" s="23"/>
      <c r="L1695" s="23"/>
      <c r="M1695" s="23"/>
      <c r="N1695" s="26"/>
      <c r="O1695" s="26"/>
      <c r="P1695" s="26"/>
      <c r="Q1695" s="26"/>
      <c r="R1695" s="26"/>
      <c r="S1695" s="26"/>
      <c r="T1695" s="26"/>
      <c r="U1695" s="26"/>
      <c r="V1695" s="26"/>
      <c r="W1695" s="27"/>
    </row>
    <row r="1696" spans="1:23" ht="15.75" customHeight="1" x14ac:dyDescent="0.25">
      <c r="A1696" s="23"/>
      <c r="B1696" s="23" t="str">
        <f t="shared" si="7"/>
        <v/>
      </c>
      <c r="C1696" s="23"/>
      <c r="D1696" s="23"/>
      <c r="E1696" s="23"/>
      <c r="F1696" s="24"/>
      <c r="G1696" s="23"/>
      <c r="H1696" s="23"/>
      <c r="I1696" s="23"/>
      <c r="J1696" s="25"/>
      <c r="K1696" s="23"/>
      <c r="L1696" s="23"/>
      <c r="M1696" s="23"/>
      <c r="N1696" s="26"/>
      <c r="O1696" s="26"/>
      <c r="P1696" s="26"/>
      <c r="Q1696" s="26"/>
      <c r="R1696" s="26"/>
      <c r="S1696" s="26"/>
      <c r="T1696" s="26"/>
      <c r="U1696" s="26"/>
      <c r="V1696" s="26"/>
      <c r="W1696" s="27"/>
    </row>
    <row r="1697" spans="1:23" ht="15.75" customHeight="1" x14ac:dyDescent="0.25">
      <c r="A1697" s="23"/>
      <c r="B1697" s="23" t="str">
        <f t="shared" si="7"/>
        <v/>
      </c>
      <c r="C1697" s="23"/>
      <c r="D1697" s="23"/>
      <c r="E1697" s="23"/>
      <c r="F1697" s="24"/>
      <c r="G1697" s="23"/>
      <c r="H1697" s="23"/>
      <c r="I1697" s="23"/>
      <c r="J1697" s="25"/>
      <c r="K1697" s="23"/>
      <c r="L1697" s="23"/>
      <c r="M1697" s="23"/>
      <c r="N1697" s="26"/>
      <c r="O1697" s="26"/>
      <c r="P1697" s="26"/>
      <c r="Q1697" s="26"/>
      <c r="R1697" s="26"/>
      <c r="S1697" s="26"/>
      <c r="T1697" s="26"/>
      <c r="U1697" s="26"/>
      <c r="V1697" s="26"/>
      <c r="W1697" s="27"/>
    </row>
    <row r="1698" spans="1:23" ht="15.75" customHeight="1" x14ac:dyDescent="0.25">
      <c r="A1698" s="23"/>
      <c r="B1698" s="23" t="str">
        <f t="shared" si="7"/>
        <v/>
      </c>
      <c r="C1698" s="23"/>
      <c r="D1698" s="23"/>
      <c r="E1698" s="23"/>
      <c r="F1698" s="24"/>
      <c r="G1698" s="23"/>
      <c r="H1698" s="23"/>
      <c r="I1698" s="23"/>
      <c r="J1698" s="25"/>
      <c r="K1698" s="23"/>
      <c r="L1698" s="23"/>
      <c r="M1698" s="23"/>
      <c r="N1698" s="26"/>
      <c r="O1698" s="26"/>
      <c r="P1698" s="26"/>
      <c r="Q1698" s="26"/>
      <c r="R1698" s="26"/>
      <c r="S1698" s="26"/>
      <c r="T1698" s="26"/>
      <c r="U1698" s="26"/>
      <c r="V1698" s="26"/>
      <c r="W1698" s="27"/>
    </row>
    <row r="1699" spans="1:23" ht="15.75" customHeight="1" x14ac:dyDescent="0.25">
      <c r="A1699" s="23"/>
      <c r="B1699" s="23" t="str">
        <f t="shared" si="7"/>
        <v/>
      </c>
      <c r="C1699" s="23"/>
      <c r="D1699" s="23"/>
      <c r="E1699" s="23"/>
      <c r="F1699" s="24"/>
      <c r="G1699" s="23"/>
      <c r="H1699" s="23"/>
      <c r="I1699" s="23"/>
      <c r="J1699" s="25"/>
      <c r="K1699" s="23"/>
      <c r="L1699" s="23"/>
      <c r="M1699" s="23"/>
      <c r="N1699" s="26"/>
      <c r="O1699" s="26"/>
      <c r="P1699" s="26"/>
      <c r="Q1699" s="26"/>
      <c r="R1699" s="26"/>
      <c r="S1699" s="26"/>
      <c r="T1699" s="26"/>
      <c r="U1699" s="26"/>
      <c r="V1699" s="26"/>
      <c r="W1699" s="27"/>
    </row>
    <row r="1700" spans="1:23" ht="15.75" customHeight="1" x14ac:dyDescent="0.25">
      <c r="A1700" s="23"/>
      <c r="B1700" s="23" t="str">
        <f t="shared" si="7"/>
        <v/>
      </c>
      <c r="C1700" s="23"/>
      <c r="D1700" s="23"/>
      <c r="E1700" s="23"/>
      <c r="F1700" s="24"/>
      <c r="G1700" s="23"/>
      <c r="H1700" s="23"/>
      <c r="I1700" s="23"/>
      <c r="J1700" s="25"/>
      <c r="K1700" s="23"/>
      <c r="L1700" s="23"/>
      <c r="M1700" s="23"/>
      <c r="N1700" s="26"/>
      <c r="O1700" s="26"/>
      <c r="P1700" s="26"/>
      <c r="Q1700" s="26"/>
      <c r="R1700" s="26"/>
      <c r="S1700" s="26"/>
      <c r="T1700" s="26"/>
      <c r="U1700" s="26"/>
      <c r="V1700" s="26"/>
      <c r="W1700" s="27"/>
    </row>
    <row r="1701" spans="1:23" ht="15.75" customHeight="1" x14ac:dyDescent="0.25">
      <c r="A1701" s="23"/>
      <c r="B1701" s="23" t="str">
        <f t="shared" si="7"/>
        <v/>
      </c>
      <c r="C1701" s="23"/>
      <c r="D1701" s="23"/>
      <c r="E1701" s="23"/>
      <c r="F1701" s="24"/>
      <c r="G1701" s="23"/>
      <c r="H1701" s="23"/>
      <c r="I1701" s="23"/>
      <c r="J1701" s="25"/>
      <c r="K1701" s="23"/>
      <c r="L1701" s="23"/>
      <c r="M1701" s="23"/>
      <c r="N1701" s="26"/>
      <c r="O1701" s="26"/>
      <c r="P1701" s="26"/>
      <c r="Q1701" s="26"/>
      <c r="R1701" s="26"/>
      <c r="S1701" s="26"/>
      <c r="T1701" s="26"/>
      <c r="U1701" s="26"/>
      <c r="V1701" s="26"/>
      <c r="W1701" s="27"/>
    </row>
    <row r="1702" spans="1:23" ht="15.75" customHeight="1" x14ac:dyDescent="0.25">
      <c r="A1702" s="23"/>
      <c r="B1702" s="23" t="str">
        <f t="shared" si="7"/>
        <v/>
      </c>
      <c r="C1702" s="23"/>
      <c r="D1702" s="23"/>
      <c r="E1702" s="23"/>
      <c r="F1702" s="24"/>
      <c r="G1702" s="23"/>
      <c r="H1702" s="23"/>
      <c r="I1702" s="23"/>
      <c r="J1702" s="25"/>
      <c r="K1702" s="23"/>
      <c r="L1702" s="23"/>
      <c r="M1702" s="23"/>
      <c r="N1702" s="26"/>
      <c r="O1702" s="26"/>
      <c r="P1702" s="26"/>
      <c r="Q1702" s="26"/>
      <c r="R1702" s="26"/>
      <c r="S1702" s="26"/>
      <c r="T1702" s="26"/>
      <c r="U1702" s="26"/>
      <c r="V1702" s="26"/>
      <c r="W1702" s="27"/>
    </row>
    <row r="1703" spans="1:23" ht="15.75" customHeight="1" x14ac:dyDescent="0.25">
      <c r="A1703" s="23"/>
      <c r="B1703" s="23" t="str">
        <f t="shared" si="7"/>
        <v/>
      </c>
      <c r="C1703" s="23"/>
      <c r="D1703" s="23"/>
      <c r="E1703" s="23"/>
      <c r="F1703" s="24"/>
      <c r="G1703" s="23"/>
      <c r="H1703" s="23"/>
      <c r="I1703" s="23"/>
      <c r="J1703" s="25"/>
      <c r="K1703" s="23"/>
      <c r="L1703" s="23"/>
      <c r="M1703" s="23"/>
      <c r="N1703" s="26"/>
      <c r="O1703" s="26"/>
      <c r="P1703" s="26"/>
      <c r="Q1703" s="26"/>
      <c r="R1703" s="26"/>
      <c r="S1703" s="26"/>
      <c r="T1703" s="26"/>
      <c r="U1703" s="26"/>
      <c r="V1703" s="26"/>
      <c r="W1703" s="27"/>
    </row>
    <row r="1704" spans="1:23" ht="15.75" customHeight="1" x14ac:dyDescent="0.25">
      <c r="A1704" s="23"/>
      <c r="B1704" s="23" t="str">
        <f t="shared" si="7"/>
        <v/>
      </c>
      <c r="C1704" s="23"/>
      <c r="D1704" s="23"/>
      <c r="E1704" s="23"/>
      <c r="F1704" s="24"/>
      <c r="G1704" s="23"/>
      <c r="H1704" s="23"/>
      <c r="I1704" s="23"/>
      <c r="J1704" s="25"/>
      <c r="K1704" s="23"/>
      <c r="L1704" s="23"/>
      <c r="M1704" s="23"/>
      <c r="N1704" s="26"/>
      <c r="O1704" s="26"/>
      <c r="P1704" s="26"/>
      <c r="Q1704" s="26"/>
      <c r="R1704" s="26"/>
      <c r="S1704" s="26"/>
      <c r="T1704" s="26"/>
      <c r="U1704" s="26"/>
      <c r="V1704" s="26"/>
      <c r="W1704" s="27"/>
    </row>
    <row r="1705" spans="1:23" ht="15.75" customHeight="1" x14ac:dyDescent="0.25">
      <c r="A1705" s="23"/>
      <c r="B1705" s="23" t="str">
        <f t="shared" si="7"/>
        <v/>
      </c>
      <c r="C1705" s="23"/>
      <c r="D1705" s="23"/>
      <c r="E1705" s="23"/>
      <c r="F1705" s="24"/>
      <c r="G1705" s="23"/>
      <c r="H1705" s="23"/>
      <c r="I1705" s="23"/>
      <c r="J1705" s="25"/>
      <c r="K1705" s="23"/>
      <c r="L1705" s="23"/>
      <c r="M1705" s="23"/>
      <c r="N1705" s="26"/>
      <c r="O1705" s="26"/>
      <c r="P1705" s="26"/>
      <c r="Q1705" s="26"/>
      <c r="R1705" s="26"/>
      <c r="S1705" s="26"/>
      <c r="T1705" s="26"/>
      <c r="U1705" s="26"/>
      <c r="V1705" s="26"/>
      <c r="W1705" s="27"/>
    </row>
    <row r="1706" spans="1:23" ht="15.75" customHeight="1" x14ac:dyDescent="0.25">
      <c r="A1706" s="23"/>
      <c r="B1706" s="23" t="str">
        <f t="shared" si="7"/>
        <v/>
      </c>
      <c r="C1706" s="23"/>
      <c r="D1706" s="23"/>
      <c r="E1706" s="23"/>
      <c r="F1706" s="24"/>
      <c r="G1706" s="23"/>
      <c r="H1706" s="23"/>
      <c r="I1706" s="23"/>
      <c r="J1706" s="25"/>
      <c r="K1706" s="23"/>
      <c r="L1706" s="23"/>
      <c r="M1706" s="23"/>
      <c r="N1706" s="26"/>
      <c r="O1706" s="26"/>
      <c r="P1706" s="26"/>
      <c r="Q1706" s="26"/>
      <c r="R1706" s="26"/>
      <c r="S1706" s="26"/>
      <c r="T1706" s="26"/>
      <c r="U1706" s="26"/>
      <c r="V1706" s="26"/>
      <c r="W1706" s="27"/>
    </row>
    <row r="1707" spans="1:23" ht="15.75" customHeight="1" x14ac:dyDescent="0.25">
      <c r="A1707" s="23"/>
      <c r="B1707" s="23" t="str">
        <f t="shared" si="7"/>
        <v/>
      </c>
      <c r="C1707" s="23"/>
      <c r="D1707" s="23"/>
      <c r="E1707" s="23"/>
      <c r="F1707" s="24"/>
      <c r="G1707" s="23"/>
      <c r="H1707" s="23"/>
      <c r="I1707" s="23"/>
      <c r="J1707" s="25"/>
      <c r="K1707" s="23"/>
      <c r="L1707" s="23"/>
      <c r="M1707" s="23"/>
      <c r="N1707" s="26"/>
      <c r="O1707" s="26"/>
      <c r="P1707" s="26"/>
      <c r="Q1707" s="26"/>
      <c r="R1707" s="26"/>
      <c r="S1707" s="26"/>
      <c r="T1707" s="26"/>
      <c r="U1707" s="26"/>
      <c r="V1707" s="26"/>
      <c r="W1707" s="27"/>
    </row>
    <row r="1708" spans="1:23" ht="15.75" customHeight="1" x14ac:dyDescent="0.25">
      <c r="A1708" s="23"/>
      <c r="B1708" s="23" t="str">
        <f t="shared" si="7"/>
        <v/>
      </c>
      <c r="C1708" s="23"/>
      <c r="D1708" s="23"/>
      <c r="E1708" s="23"/>
      <c r="F1708" s="24"/>
      <c r="G1708" s="23"/>
      <c r="H1708" s="23"/>
      <c r="I1708" s="23"/>
      <c r="J1708" s="25"/>
      <c r="K1708" s="23"/>
      <c r="L1708" s="23"/>
      <c r="M1708" s="23"/>
      <c r="N1708" s="26"/>
      <c r="O1708" s="26"/>
      <c r="P1708" s="26"/>
      <c r="Q1708" s="26"/>
      <c r="R1708" s="26"/>
      <c r="S1708" s="26"/>
      <c r="T1708" s="26"/>
      <c r="U1708" s="26"/>
      <c r="V1708" s="26"/>
      <c r="W1708" s="27"/>
    </row>
    <row r="1709" spans="1:23" ht="15.75" customHeight="1" x14ac:dyDescent="0.25">
      <c r="A1709" s="23"/>
      <c r="B1709" s="23" t="str">
        <f t="shared" si="7"/>
        <v/>
      </c>
      <c r="C1709" s="23"/>
      <c r="D1709" s="23"/>
      <c r="E1709" s="23"/>
      <c r="F1709" s="24"/>
      <c r="G1709" s="23"/>
      <c r="H1709" s="23"/>
      <c r="I1709" s="23"/>
      <c r="J1709" s="25"/>
      <c r="K1709" s="23"/>
      <c r="L1709" s="23"/>
      <c r="M1709" s="23"/>
      <c r="N1709" s="26"/>
      <c r="O1709" s="26"/>
      <c r="P1709" s="26"/>
      <c r="Q1709" s="26"/>
      <c r="R1709" s="26"/>
      <c r="S1709" s="26"/>
      <c r="T1709" s="26"/>
      <c r="U1709" s="26"/>
      <c r="V1709" s="26"/>
      <c r="W1709" s="27"/>
    </row>
    <row r="1710" spans="1:23" ht="15.75" customHeight="1" x14ac:dyDescent="0.25">
      <c r="A1710" s="23"/>
      <c r="B1710" s="23" t="str">
        <f t="shared" si="7"/>
        <v/>
      </c>
      <c r="C1710" s="23"/>
      <c r="D1710" s="23"/>
      <c r="E1710" s="23"/>
      <c r="F1710" s="24"/>
      <c r="G1710" s="23"/>
      <c r="H1710" s="23"/>
      <c r="I1710" s="23"/>
      <c r="J1710" s="25"/>
      <c r="K1710" s="23"/>
      <c r="L1710" s="23"/>
      <c r="M1710" s="23"/>
      <c r="N1710" s="26"/>
      <c r="O1710" s="26"/>
      <c r="P1710" s="26"/>
      <c r="Q1710" s="26"/>
      <c r="R1710" s="26"/>
      <c r="S1710" s="26"/>
      <c r="T1710" s="26"/>
      <c r="U1710" s="26"/>
      <c r="V1710" s="26"/>
      <c r="W1710" s="27"/>
    </row>
    <row r="1711" spans="1:23" ht="15.75" customHeight="1" x14ac:dyDescent="0.25">
      <c r="A1711" s="23"/>
      <c r="B1711" s="23" t="str">
        <f t="shared" si="7"/>
        <v/>
      </c>
      <c r="C1711" s="23"/>
      <c r="D1711" s="23"/>
      <c r="E1711" s="23"/>
      <c r="F1711" s="24"/>
      <c r="G1711" s="23"/>
      <c r="H1711" s="23"/>
      <c r="I1711" s="23"/>
      <c r="J1711" s="25"/>
      <c r="K1711" s="23"/>
      <c r="L1711" s="23"/>
      <c r="M1711" s="23"/>
      <c r="N1711" s="26"/>
      <c r="O1711" s="26"/>
      <c r="P1711" s="26"/>
      <c r="Q1711" s="26"/>
      <c r="R1711" s="26"/>
      <c r="S1711" s="26"/>
      <c r="T1711" s="26"/>
      <c r="U1711" s="26"/>
      <c r="V1711" s="26"/>
      <c r="W1711" s="27"/>
    </row>
    <row r="1712" spans="1:23" ht="15.75" customHeight="1" x14ac:dyDescent="0.25">
      <c r="A1712" s="23"/>
      <c r="B1712" s="23" t="str">
        <f t="shared" si="7"/>
        <v/>
      </c>
      <c r="C1712" s="23"/>
      <c r="D1712" s="23"/>
      <c r="E1712" s="23"/>
      <c r="F1712" s="24"/>
      <c r="G1712" s="23"/>
      <c r="H1712" s="23"/>
      <c r="I1712" s="23"/>
      <c r="J1712" s="25"/>
      <c r="K1712" s="23"/>
      <c r="L1712" s="23"/>
      <c r="M1712" s="23"/>
      <c r="N1712" s="26"/>
      <c r="O1712" s="26"/>
      <c r="P1712" s="26"/>
      <c r="Q1712" s="26"/>
      <c r="R1712" s="26"/>
      <c r="S1712" s="26"/>
      <c r="T1712" s="26"/>
      <c r="U1712" s="26"/>
      <c r="V1712" s="26"/>
      <c r="W1712" s="27"/>
    </row>
    <row r="1713" spans="1:23" ht="15.75" customHeight="1" x14ac:dyDescent="0.25">
      <c r="A1713" s="23"/>
      <c r="B1713" s="23" t="str">
        <f t="shared" si="7"/>
        <v/>
      </c>
      <c r="C1713" s="23"/>
      <c r="D1713" s="23"/>
      <c r="E1713" s="23"/>
      <c r="F1713" s="24"/>
      <c r="G1713" s="23"/>
      <c r="H1713" s="23"/>
      <c r="I1713" s="23"/>
      <c r="J1713" s="25"/>
      <c r="K1713" s="23"/>
      <c r="L1713" s="23"/>
      <c r="M1713" s="23"/>
      <c r="N1713" s="26"/>
      <c r="O1713" s="26"/>
      <c r="P1713" s="26"/>
      <c r="Q1713" s="26"/>
      <c r="R1713" s="26"/>
      <c r="S1713" s="26"/>
      <c r="T1713" s="26"/>
      <c r="U1713" s="26"/>
      <c r="V1713" s="26"/>
      <c r="W1713" s="27"/>
    </row>
    <row r="1714" spans="1:23" ht="15.75" customHeight="1" x14ac:dyDescent="0.25">
      <c r="A1714" s="23"/>
      <c r="B1714" s="23" t="str">
        <f t="shared" si="7"/>
        <v/>
      </c>
      <c r="C1714" s="23"/>
      <c r="D1714" s="23"/>
      <c r="E1714" s="23"/>
      <c r="F1714" s="24"/>
      <c r="G1714" s="23"/>
      <c r="H1714" s="23"/>
      <c r="I1714" s="23"/>
      <c r="J1714" s="25"/>
      <c r="K1714" s="23"/>
      <c r="L1714" s="23"/>
      <c r="M1714" s="23"/>
      <c r="N1714" s="26"/>
      <c r="O1714" s="26"/>
      <c r="P1714" s="26"/>
      <c r="Q1714" s="26"/>
      <c r="R1714" s="26"/>
      <c r="S1714" s="26"/>
      <c r="T1714" s="26"/>
      <c r="U1714" s="26"/>
      <c r="V1714" s="26"/>
      <c r="W1714" s="27"/>
    </row>
    <row r="1715" spans="1:23" ht="15.75" customHeight="1" x14ac:dyDescent="0.25">
      <c r="A1715" s="23"/>
      <c r="B1715" s="23" t="str">
        <f t="shared" si="7"/>
        <v/>
      </c>
      <c r="C1715" s="23"/>
      <c r="D1715" s="23"/>
      <c r="E1715" s="23"/>
      <c r="F1715" s="24"/>
      <c r="G1715" s="23"/>
      <c r="H1715" s="23"/>
      <c r="I1715" s="23"/>
      <c r="J1715" s="25"/>
      <c r="K1715" s="23"/>
      <c r="L1715" s="23"/>
      <c r="M1715" s="23"/>
      <c r="N1715" s="26"/>
      <c r="O1715" s="26"/>
      <c r="P1715" s="26"/>
      <c r="Q1715" s="26"/>
      <c r="R1715" s="26"/>
      <c r="S1715" s="26"/>
      <c r="T1715" s="26"/>
      <c r="U1715" s="26"/>
      <c r="V1715" s="26"/>
      <c r="W1715" s="27"/>
    </row>
    <row r="1716" spans="1:23" ht="15.75" customHeight="1" x14ac:dyDescent="0.25">
      <c r="A1716" s="23"/>
      <c r="B1716" s="23" t="str">
        <f t="shared" si="7"/>
        <v/>
      </c>
      <c r="C1716" s="23"/>
      <c r="D1716" s="23"/>
      <c r="E1716" s="23"/>
      <c r="F1716" s="24"/>
      <c r="G1716" s="23"/>
      <c r="H1716" s="23"/>
      <c r="I1716" s="23"/>
      <c r="J1716" s="25"/>
      <c r="K1716" s="23"/>
      <c r="L1716" s="23"/>
      <c r="M1716" s="23"/>
      <c r="N1716" s="26"/>
      <c r="O1716" s="26"/>
      <c r="P1716" s="26"/>
      <c r="Q1716" s="26"/>
      <c r="R1716" s="26"/>
      <c r="S1716" s="26"/>
      <c r="T1716" s="26"/>
      <c r="U1716" s="26"/>
      <c r="V1716" s="26"/>
      <c r="W1716" s="27"/>
    </row>
    <row r="1717" spans="1:23" ht="15.75" customHeight="1" x14ac:dyDescent="0.25">
      <c r="A1717" s="23"/>
      <c r="B1717" s="23" t="str">
        <f t="shared" si="7"/>
        <v/>
      </c>
      <c r="C1717" s="23"/>
      <c r="D1717" s="23"/>
      <c r="E1717" s="23"/>
      <c r="F1717" s="24"/>
      <c r="G1717" s="23"/>
      <c r="H1717" s="23"/>
      <c r="I1717" s="23"/>
      <c r="J1717" s="25"/>
      <c r="K1717" s="23"/>
      <c r="L1717" s="23"/>
      <c r="M1717" s="23"/>
      <c r="N1717" s="26"/>
      <c r="O1717" s="26"/>
      <c r="P1717" s="26"/>
      <c r="Q1717" s="26"/>
      <c r="R1717" s="26"/>
      <c r="S1717" s="26"/>
      <c r="T1717" s="26"/>
      <c r="U1717" s="26"/>
      <c r="V1717" s="26"/>
      <c r="W1717" s="27"/>
    </row>
    <row r="1718" spans="1:23" ht="15.75" customHeight="1" x14ac:dyDescent="0.25">
      <c r="A1718" s="23"/>
      <c r="B1718" s="23" t="str">
        <f t="shared" si="7"/>
        <v/>
      </c>
      <c r="C1718" s="23"/>
      <c r="D1718" s="23"/>
      <c r="E1718" s="23"/>
      <c r="F1718" s="24"/>
      <c r="G1718" s="23"/>
      <c r="H1718" s="23"/>
      <c r="I1718" s="23"/>
      <c r="J1718" s="25"/>
      <c r="K1718" s="23"/>
      <c r="L1718" s="23"/>
      <c r="M1718" s="23"/>
      <c r="N1718" s="26"/>
      <c r="O1718" s="26"/>
      <c r="P1718" s="26"/>
      <c r="Q1718" s="26"/>
      <c r="R1718" s="26"/>
      <c r="S1718" s="26"/>
      <c r="T1718" s="26"/>
      <c r="U1718" s="26"/>
      <c r="V1718" s="26"/>
      <c r="W1718" s="27"/>
    </row>
    <row r="1719" spans="1:23" ht="15.75" customHeight="1" x14ac:dyDescent="0.25">
      <c r="A1719" s="23"/>
      <c r="B1719" s="23" t="str">
        <f t="shared" si="7"/>
        <v/>
      </c>
      <c r="C1719" s="23"/>
      <c r="D1719" s="23"/>
      <c r="E1719" s="23"/>
      <c r="F1719" s="24"/>
      <c r="G1719" s="23"/>
      <c r="H1719" s="23"/>
      <c r="I1719" s="23"/>
      <c r="J1719" s="25"/>
      <c r="K1719" s="23"/>
      <c r="L1719" s="23"/>
      <c r="M1719" s="23"/>
      <c r="N1719" s="26"/>
      <c r="O1719" s="26"/>
      <c r="P1719" s="26"/>
      <c r="Q1719" s="26"/>
      <c r="R1719" s="26"/>
      <c r="S1719" s="26"/>
      <c r="T1719" s="26"/>
      <c r="U1719" s="26"/>
      <c r="V1719" s="26"/>
      <c r="W1719" s="27"/>
    </row>
    <row r="1720" spans="1:23" ht="15.75" customHeight="1" x14ac:dyDescent="0.25">
      <c r="A1720" s="23"/>
      <c r="B1720" s="23" t="str">
        <f t="shared" si="7"/>
        <v/>
      </c>
      <c r="C1720" s="23"/>
      <c r="D1720" s="23"/>
      <c r="E1720" s="23"/>
      <c r="F1720" s="24"/>
      <c r="G1720" s="23"/>
      <c r="H1720" s="23"/>
      <c r="I1720" s="23"/>
      <c r="J1720" s="25"/>
      <c r="K1720" s="23"/>
      <c r="L1720" s="23"/>
      <c r="M1720" s="23"/>
      <c r="N1720" s="26"/>
      <c r="O1720" s="26"/>
      <c r="P1720" s="26"/>
      <c r="Q1720" s="26"/>
      <c r="R1720" s="26"/>
      <c r="S1720" s="26"/>
      <c r="T1720" s="26"/>
      <c r="U1720" s="26"/>
      <c r="V1720" s="26"/>
      <c r="W1720" s="27"/>
    </row>
    <row r="1721" spans="1:23" ht="15.75" customHeight="1" x14ac:dyDescent="0.25">
      <c r="A1721" s="23"/>
      <c r="B1721" s="23" t="str">
        <f t="shared" si="7"/>
        <v/>
      </c>
      <c r="C1721" s="23"/>
      <c r="D1721" s="23"/>
      <c r="E1721" s="23"/>
      <c r="F1721" s="24"/>
      <c r="G1721" s="23"/>
      <c r="H1721" s="23"/>
      <c r="I1721" s="23"/>
      <c r="J1721" s="25"/>
      <c r="K1721" s="23"/>
      <c r="L1721" s="23"/>
      <c r="M1721" s="23"/>
      <c r="N1721" s="26"/>
      <c r="O1721" s="26"/>
      <c r="P1721" s="26"/>
      <c r="Q1721" s="26"/>
      <c r="R1721" s="26"/>
      <c r="S1721" s="26"/>
      <c r="T1721" s="26"/>
      <c r="U1721" s="26"/>
      <c r="V1721" s="26"/>
      <c r="W1721" s="27"/>
    </row>
    <row r="1722" spans="1:23" ht="15.75" customHeight="1" x14ac:dyDescent="0.25">
      <c r="A1722" s="23"/>
      <c r="B1722" s="23" t="str">
        <f t="shared" si="7"/>
        <v/>
      </c>
      <c r="C1722" s="23"/>
      <c r="D1722" s="23"/>
      <c r="E1722" s="23"/>
      <c r="F1722" s="24"/>
      <c r="G1722" s="23"/>
      <c r="H1722" s="23"/>
      <c r="I1722" s="23"/>
      <c r="J1722" s="25"/>
      <c r="K1722" s="23"/>
      <c r="L1722" s="23"/>
      <c r="M1722" s="23"/>
      <c r="N1722" s="26"/>
      <c r="O1722" s="26"/>
      <c r="P1722" s="26"/>
      <c r="Q1722" s="26"/>
      <c r="R1722" s="26"/>
      <c r="S1722" s="26"/>
      <c r="T1722" s="26"/>
      <c r="U1722" s="26"/>
      <c r="V1722" s="26"/>
      <c r="W1722" s="27"/>
    </row>
    <row r="1723" spans="1:23" ht="15.75" customHeight="1" x14ac:dyDescent="0.25">
      <c r="A1723" s="23"/>
      <c r="B1723" s="23" t="str">
        <f t="shared" si="7"/>
        <v/>
      </c>
      <c r="C1723" s="23"/>
      <c r="D1723" s="23"/>
      <c r="E1723" s="23"/>
      <c r="F1723" s="24"/>
      <c r="G1723" s="23"/>
      <c r="H1723" s="23"/>
      <c r="I1723" s="23"/>
      <c r="J1723" s="25"/>
      <c r="K1723" s="23"/>
      <c r="L1723" s="23"/>
      <c r="M1723" s="23"/>
      <c r="N1723" s="26"/>
      <c r="O1723" s="26"/>
      <c r="P1723" s="26"/>
      <c r="Q1723" s="26"/>
      <c r="R1723" s="26"/>
      <c r="S1723" s="26"/>
      <c r="T1723" s="26"/>
      <c r="U1723" s="26"/>
      <c r="V1723" s="26"/>
      <c r="W1723" s="27"/>
    </row>
    <row r="1724" spans="1:23" ht="15.75" customHeight="1" x14ac:dyDescent="0.25">
      <c r="A1724" s="23"/>
      <c r="B1724" s="23" t="str">
        <f t="shared" si="7"/>
        <v/>
      </c>
      <c r="C1724" s="23"/>
      <c r="D1724" s="23"/>
      <c r="E1724" s="23"/>
      <c r="F1724" s="24"/>
      <c r="G1724" s="23"/>
      <c r="H1724" s="23"/>
      <c r="I1724" s="23"/>
      <c r="J1724" s="25"/>
      <c r="K1724" s="23"/>
      <c r="L1724" s="23"/>
      <c r="M1724" s="23"/>
      <c r="N1724" s="26"/>
      <c r="O1724" s="26"/>
      <c r="P1724" s="26"/>
      <c r="Q1724" s="26"/>
      <c r="R1724" s="26"/>
      <c r="S1724" s="26"/>
      <c r="T1724" s="26"/>
      <c r="U1724" s="26"/>
      <c r="V1724" s="26"/>
      <c r="W1724" s="27"/>
    </row>
    <row r="1725" spans="1:23" ht="15.75" customHeight="1" x14ac:dyDescent="0.25">
      <c r="A1725" s="23"/>
      <c r="B1725" s="23" t="str">
        <f t="shared" si="7"/>
        <v/>
      </c>
      <c r="C1725" s="23"/>
      <c r="D1725" s="23"/>
      <c r="E1725" s="23"/>
      <c r="F1725" s="24"/>
      <c r="G1725" s="23"/>
      <c r="H1725" s="23"/>
      <c r="I1725" s="23"/>
      <c r="J1725" s="25"/>
      <c r="K1725" s="23"/>
      <c r="L1725" s="23"/>
      <c r="M1725" s="23"/>
      <c r="N1725" s="26"/>
      <c r="O1725" s="26"/>
      <c r="P1725" s="26"/>
      <c r="Q1725" s="26"/>
      <c r="R1725" s="26"/>
      <c r="S1725" s="26"/>
      <c r="T1725" s="26"/>
      <c r="U1725" s="26"/>
      <c r="V1725" s="26"/>
      <c r="W1725" s="27"/>
    </row>
    <row r="1726" spans="1:23" ht="15.75" customHeight="1" x14ac:dyDescent="0.25">
      <c r="A1726" s="23"/>
      <c r="B1726" s="23" t="str">
        <f t="shared" si="7"/>
        <v/>
      </c>
      <c r="C1726" s="23"/>
      <c r="D1726" s="23"/>
      <c r="E1726" s="23"/>
      <c r="F1726" s="24"/>
      <c r="G1726" s="23"/>
      <c r="H1726" s="23"/>
      <c r="I1726" s="23"/>
      <c r="J1726" s="25"/>
      <c r="K1726" s="23"/>
      <c r="L1726" s="23"/>
      <c r="M1726" s="23"/>
      <c r="N1726" s="26"/>
      <c r="O1726" s="26"/>
      <c r="P1726" s="26"/>
      <c r="Q1726" s="26"/>
      <c r="R1726" s="26"/>
      <c r="S1726" s="26"/>
      <c r="T1726" s="26"/>
      <c r="U1726" s="26"/>
      <c r="V1726" s="26"/>
      <c r="W1726" s="27"/>
    </row>
    <row r="1727" spans="1:23" ht="15.75" customHeight="1" x14ac:dyDescent="0.25">
      <c r="A1727" s="23"/>
      <c r="B1727" s="23" t="str">
        <f t="shared" si="7"/>
        <v/>
      </c>
      <c r="C1727" s="23"/>
      <c r="D1727" s="23"/>
      <c r="E1727" s="23"/>
      <c r="F1727" s="24"/>
      <c r="G1727" s="23"/>
      <c r="H1727" s="23"/>
      <c r="I1727" s="23"/>
      <c r="J1727" s="25"/>
      <c r="K1727" s="23"/>
      <c r="L1727" s="23"/>
      <c r="M1727" s="23"/>
      <c r="N1727" s="26"/>
      <c r="O1727" s="26"/>
      <c r="P1727" s="26"/>
      <c r="Q1727" s="26"/>
      <c r="R1727" s="26"/>
      <c r="S1727" s="26"/>
      <c r="T1727" s="26"/>
      <c r="U1727" s="26"/>
      <c r="V1727" s="26"/>
      <c r="W1727" s="27"/>
    </row>
    <row r="1728" spans="1:23" ht="15.75" customHeight="1" x14ac:dyDescent="0.25">
      <c r="A1728" s="23"/>
      <c r="B1728" s="23" t="str">
        <f t="shared" si="7"/>
        <v/>
      </c>
      <c r="C1728" s="23"/>
      <c r="D1728" s="23"/>
      <c r="E1728" s="23"/>
      <c r="F1728" s="24"/>
      <c r="G1728" s="23"/>
      <c r="H1728" s="23"/>
      <c r="I1728" s="23"/>
      <c r="J1728" s="25"/>
      <c r="K1728" s="23"/>
      <c r="L1728" s="23"/>
      <c r="M1728" s="23"/>
      <c r="N1728" s="26"/>
      <c r="O1728" s="26"/>
      <c r="P1728" s="26"/>
      <c r="Q1728" s="26"/>
      <c r="R1728" s="26"/>
      <c r="S1728" s="26"/>
      <c r="T1728" s="26"/>
      <c r="U1728" s="26"/>
      <c r="V1728" s="26"/>
      <c r="W1728" s="27"/>
    </row>
    <row r="1729" spans="1:23" ht="15.75" customHeight="1" x14ac:dyDescent="0.25">
      <c r="A1729" s="23"/>
      <c r="B1729" s="23" t="str">
        <f t="shared" si="7"/>
        <v/>
      </c>
      <c r="C1729" s="23"/>
      <c r="D1729" s="23"/>
      <c r="E1729" s="23"/>
      <c r="F1729" s="24"/>
      <c r="G1729" s="23"/>
      <c r="H1729" s="23"/>
      <c r="I1729" s="23"/>
      <c r="J1729" s="25"/>
      <c r="K1729" s="23"/>
      <c r="L1729" s="23"/>
      <c r="M1729" s="23"/>
      <c r="N1729" s="26"/>
      <c r="O1729" s="26"/>
      <c r="P1729" s="26"/>
      <c r="Q1729" s="26"/>
      <c r="R1729" s="26"/>
      <c r="S1729" s="26"/>
      <c r="T1729" s="26"/>
      <c r="U1729" s="26"/>
      <c r="V1729" s="26"/>
      <c r="W1729" s="27"/>
    </row>
    <row r="1730" spans="1:23" ht="15.75" customHeight="1" x14ac:dyDescent="0.25">
      <c r="A1730" s="23"/>
      <c r="B1730" s="23" t="str">
        <f t="shared" si="7"/>
        <v/>
      </c>
      <c r="C1730" s="23"/>
      <c r="D1730" s="23"/>
      <c r="E1730" s="23"/>
      <c r="F1730" s="24"/>
      <c r="G1730" s="23"/>
      <c r="H1730" s="23"/>
      <c r="I1730" s="23"/>
      <c r="J1730" s="25"/>
      <c r="K1730" s="23"/>
      <c r="L1730" s="23"/>
      <c r="M1730" s="23"/>
      <c r="N1730" s="26"/>
      <c r="O1730" s="26"/>
      <c r="P1730" s="26"/>
      <c r="Q1730" s="26"/>
      <c r="R1730" s="26"/>
      <c r="S1730" s="26"/>
      <c r="T1730" s="26"/>
      <c r="U1730" s="26"/>
      <c r="V1730" s="26"/>
      <c r="W1730" s="27"/>
    </row>
    <row r="1731" spans="1:23" ht="15.75" customHeight="1" x14ac:dyDescent="0.25">
      <c r="A1731" s="23"/>
      <c r="B1731" s="23" t="str">
        <f t="shared" si="7"/>
        <v/>
      </c>
      <c r="C1731" s="23"/>
      <c r="D1731" s="23"/>
      <c r="E1731" s="23"/>
      <c r="F1731" s="24"/>
      <c r="G1731" s="23"/>
      <c r="H1731" s="23"/>
      <c r="I1731" s="23"/>
      <c r="J1731" s="25"/>
      <c r="K1731" s="23"/>
      <c r="L1731" s="23"/>
      <c r="M1731" s="23"/>
      <c r="N1731" s="26"/>
      <c r="O1731" s="26"/>
      <c r="P1731" s="26"/>
      <c r="Q1731" s="26"/>
      <c r="R1731" s="26"/>
      <c r="S1731" s="26"/>
      <c r="T1731" s="26"/>
      <c r="U1731" s="26"/>
      <c r="V1731" s="26"/>
      <c r="W1731" s="27"/>
    </row>
    <row r="1732" spans="1:23" ht="15.75" customHeight="1" x14ac:dyDescent="0.25">
      <c r="A1732" s="23"/>
      <c r="B1732" s="23" t="str">
        <f t="shared" si="7"/>
        <v/>
      </c>
      <c r="C1732" s="23"/>
      <c r="D1732" s="23"/>
      <c r="E1732" s="23"/>
      <c r="F1732" s="24"/>
      <c r="G1732" s="23"/>
      <c r="H1732" s="23"/>
      <c r="I1732" s="23"/>
      <c r="J1732" s="25"/>
      <c r="K1732" s="23"/>
      <c r="L1732" s="23"/>
      <c r="M1732" s="23"/>
      <c r="N1732" s="26"/>
      <c r="O1732" s="26"/>
      <c r="P1732" s="26"/>
      <c r="Q1732" s="26"/>
      <c r="R1732" s="26"/>
      <c r="S1732" s="26"/>
      <c r="T1732" s="26"/>
      <c r="U1732" s="26"/>
      <c r="V1732" s="26"/>
      <c r="W1732" s="27"/>
    </row>
    <row r="1733" spans="1:23" ht="15.75" customHeight="1" x14ac:dyDescent="0.25">
      <c r="A1733" s="23"/>
      <c r="B1733" s="23" t="str">
        <f t="shared" si="7"/>
        <v/>
      </c>
      <c r="C1733" s="23"/>
      <c r="D1733" s="23"/>
      <c r="E1733" s="23"/>
      <c r="F1733" s="24"/>
      <c r="G1733" s="23"/>
      <c r="H1733" s="23"/>
      <c r="I1733" s="23"/>
      <c r="J1733" s="25"/>
      <c r="K1733" s="23"/>
      <c r="L1733" s="23"/>
      <c r="M1733" s="23"/>
      <c r="N1733" s="26"/>
      <c r="O1733" s="26"/>
      <c r="P1733" s="26"/>
      <c r="Q1733" s="26"/>
      <c r="R1733" s="26"/>
      <c r="S1733" s="26"/>
      <c r="T1733" s="26"/>
      <c r="U1733" s="26"/>
      <c r="V1733" s="26"/>
      <c r="W1733" s="27"/>
    </row>
    <row r="1734" spans="1:23" ht="15.75" customHeight="1" x14ac:dyDescent="0.25">
      <c r="A1734" s="23"/>
      <c r="B1734" s="23" t="str">
        <f t="shared" si="7"/>
        <v/>
      </c>
      <c r="C1734" s="23"/>
      <c r="D1734" s="23"/>
      <c r="E1734" s="23"/>
      <c r="F1734" s="24"/>
      <c r="G1734" s="23"/>
      <c r="H1734" s="23"/>
      <c r="I1734" s="23"/>
      <c r="J1734" s="25"/>
      <c r="K1734" s="23"/>
      <c r="L1734" s="23"/>
      <c r="M1734" s="23"/>
      <c r="N1734" s="26"/>
      <c r="O1734" s="26"/>
      <c r="P1734" s="26"/>
      <c r="Q1734" s="26"/>
      <c r="R1734" s="26"/>
      <c r="S1734" s="26"/>
      <c r="T1734" s="26"/>
      <c r="U1734" s="26"/>
      <c r="V1734" s="26"/>
      <c r="W1734" s="27"/>
    </row>
    <row r="1735" spans="1:23" ht="15.75" customHeight="1" x14ac:dyDescent="0.25">
      <c r="A1735" s="23"/>
      <c r="B1735" s="23" t="str">
        <f t="shared" si="7"/>
        <v/>
      </c>
      <c r="C1735" s="23"/>
      <c r="D1735" s="23"/>
      <c r="E1735" s="23"/>
      <c r="F1735" s="24"/>
      <c r="G1735" s="23"/>
      <c r="H1735" s="23"/>
      <c r="I1735" s="23"/>
      <c r="J1735" s="25"/>
      <c r="K1735" s="23"/>
      <c r="L1735" s="23"/>
      <c r="M1735" s="23"/>
      <c r="N1735" s="26"/>
      <c r="O1735" s="26"/>
      <c r="P1735" s="26"/>
      <c r="Q1735" s="26"/>
      <c r="R1735" s="26"/>
      <c r="S1735" s="26"/>
      <c r="T1735" s="26"/>
      <c r="U1735" s="26"/>
      <c r="V1735" s="26"/>
      <c r="W1735" s="27"/>
    </row>
    <row r="1736" spans="1:23" ht="15.75" customHeight="1" x14ac:dyDescent="0.25">
      <c r="A1736" s="23"/>
      <c r="B1736" s="23" t="str">
        <f t="shared" si="7"/>
        <v/>
      </c>
      <c r="C1736" s="23"/>
      <c r="D1736" s="23"/>
      <c r="E1736" s="23"/>
      <c r="F1736" s="24"/>
      <c r="G1736" s="23"/>
      <c r="H1736" s="23"/>
      <c r="I1736" s="23"/>
      <c r="J1736" s="25"/>
      <c r="K1736" s="23"/>
      <c r="L1736" s="23"/>
      <c r="M1736" s="23"/>
      <c r="N1736" s="26"/>
      <c r="O1736" s="26"/>
      <c r="P1736" s="26"/>
      <c r="Q1736" s="26"/>
      <c r="R1736" s="26"/>
      <c r="S1736" s="26"/>
      <c r="T1736" s="26"/>
      <c r="U1736" s="26"/>
      <c r="V1736" s="26"/>
      <c r="W1736" s="27"/>
    </row>
    <row r="1737" spans="1:23" ht="15.75" customHeight="1" x14ac:dyDescent="0.25">
      <c r="A1737" s="23"/>
      <c r="B1737" s="23" t="str">
        <f t="shared" si="7"/>
        <v/>
      </c>
      <c r="C1737" s="23"/>
      <c r="D1737" s="23"/>
      <c r="E1737" s="23"/>
      <c r="F1737" s="24"/>
      <c r="G1737" s="23"/>
      <c r="H1737" s="23"/>
      <c r="I1737" s="23"/>
      <c r="J1737" s="25"/>
      <c r="K1737" s="23"/>
      <c r="L1737" s="23"/>
      <c r="M1737" s="23"/>
      <c r="N1737" s="26"/>
      <c r="O1737" s="26"/>
      <c r="P1737" s="26"/>
      <c r="Q1737" s="26"/>
      <c r="R1737" s="26"/>
      <c r="S1737" s="26"/>
      <c r="T1737" s="26"/>
      <c r="U1737" s="26"/>
      <c r="V1737" s="26"/>
      <c r="W1737" s="27"/>
    </row>
    <row r="1738" spans="1:23" ht="15.75" customHeight="1" x14ac:dyDescent="0.25">
      <c r="A1738" s="23"/>
      <c r="B1738" s="23" t="str">
        <f t="shared" si="7"/>
        <v/>
      </c>
      <c r="C1738" s="23"/>
      <c r="D1738" s="23"/>
      <c r="E1738" s="23"/>
      <c r="F1738" s="24"/>
      <c r="G1738" s="23"/>
      <c r="H1738" s="23"/>
      <c r="I1738" s="23"/>
      <c r="J1738" s="25"/>
      <c r="K1738" s="23"/>
      <c r="L1738" s="23"/>
      <c r="M1738" s="23"/>
      <c r="N1738" s="26"/>
      <c r="O1738" s="26"/>
      <c r="P1738" s="26"/>
      <c r="Q1738" s="26"/>
      <c r="R1738" s="26"/>
      <c r="S1738" s="26"/>
      <c r="T1738" s="26"/>
      <c r="U1738" s="26"/>
      <c r="V1738" s="26"/>
      <c r="W1738" s="27"/>
    </row>
    <row r="1739" spans="1:23" ht="15.75" customHeight="1" x14ac:dyDescent="0.25">
      <c r="A1739" s="23"/>
      <c r="B1739" s="23" t="str">
        <f t="shared" si="7"/>
        <v/>
      </c>
      <c r="C1739" s="23"/>
      <c r="D1739" s="23"/>
      <c r="E1739" s="23"/>
      <c r="F1739" s="24"/>
      <c r="G1739" s="23"/>
      <c r="H1739" s="23"/>
      <c r="I1739" s="23"/>
      <c r="J1739" s="25"/>
      <c r="K1739" s="23"/>
      <c r="L1739" s="23"/>
      <c r="M1739" s="23"/>
      <c r="N1739" s="26"/>
      <c r="O1739" s="26"/>
      <c r="P1739" s="26"/>
      <c r="Q1739" s="26"/>
      <c r="R1739" s="26"/>
      <c r="S1739" s="26"/>
      <c r="T1739" s="26"/>
      <c r="U1739" s="26"/>
      <c r="V1739" s="26"/>
      <c r="W1739" s="27"/>
    </row>
    <row r="1740" spans="1:23" ht="15.75" customHeight="1" x14ac:dyDescent="0.25">
      <c r="A1740" s="23"/>
      <c r="B1740" s="23" t="str">
        <f t="shared" si="7"/>
        <v/>
      </c>
      <c r="C1740" s="23"/>
      <c r="D1740" s="23"/>
      <c r="E1740" s="23"/>
      <c r="F1740" s="24"/>
      <c r="G1740" s="23"/>
      <c r="H1740" s="23"/>
      <c r="I1740" s="23"/>
      <c r="J1740" s="25"/>
      <c r="K1740" s="23"/>
      <c r="L1740" s="23"/>
      <c r="M1740" s="23"/>
      <c r="N1740" s="26"/>
      <c r="O1740" s="26"/>
      <c r="P1740" s="26"/>
      <c r="Q1740" s="26"/>
      <c r="R1740" s="26"/>
      <c r="S1740" s="26"/>
      <c r="T1740" s="26"/>
      <c r="U1740" s="26"/>
      <c r="V1740" s="26"/>
      <c r="W1740" s="27"/>
    </row>
    <row r="1741" spans="1:23" ht="15.75" customHeight="1" x14ac:dyDescent="0.25">
      <c r="A1741" s="23"/>
      <c r="B1741" s="23" t="str">
        <f t="shared" si="7"/>
        <v/>
      </c>
      <c r="C1741" s="23"/>
      <c r="D1741" s="23"/>
      <c r="E1741" s="23"/>
      <c r="F1741" s="24"/>
      <c r="G1741" s="23"/>
      <c r="H1741" s="23"/>
      <c r="I1741" s="23"/>
      <c r="J1741" s="25"/>
      <c r="K1741" s="23"/>
      <c r="L1741" s="23"/>
      <c r="M1741" s="23"/>
      <c r="N1741" s="26"/>
      <c r="O1741" s="26"/>
      <c r="P1741" s="26"/>
      <c r="Q1741" s="26"/>
      <c r="R1741" s="26"/>
      <c r="S1741" s="26"/>
      <c r="T1741" s="26"/>
      <c r="U1741" s="26"/>
      <c r="V1741" s="26"/>
      <c r="W1741" s="27"/>
    </row>
    <row r="1742" spans="1:23" ht="15.75" customHeight="1" x14ac:dyDescent="0.25">
      <c r="A1742" s="23"/>
      <c r="B1742" s="23" t="str">
        <f t="shared" si="7"/>
        <v/>
      </c>
      <c r="C1742" s="23"/>
      <c r="D1742" s="23"/>
      <c r="E1742" s="23"/>
      <c r="F1742" s="24"/>
      <c r="G1742" s="23"/>
      <c r="H1742" s="23"/>
      <c r="I1742" s="23"/>
      <c r="J1742" s="25"/>
      <c r="K1742" s="23"/>
      <c r="L1742" s="23"/>
      <c r="M1742" s="23"/>
      <c r="N1742" s="26"/>
      <c r="O1742" s="26"/>
      <c r="P1742" s="26"/>
      <c r="Q1742" s="26"/>
      <c r="R1742" s="26"/>
      <c r="S1742" s="26"/>
      <c r="T1742" s="26"/>
      <c r="U1742" s="26"/>
      <c r="V1742" s="26"/>
      <c r="W1742" s="27"/>
    </row>
    <row r="1743" spans="1:23" ht="15.75" customHeight="1" x14ac:dyDescent="0.25">
      <c r="A1743" s="23"/>
      <c r="B1743" s="23" t="str">
        <f t="shared" si="7"/>
        <v/>
      </c>
      <c r="C1743" s="23"/>
      <c r="D1743" s="23"/>
      <c r="E1743" s="23"/>
      <c r="F1743" s="24"/>
      <c r="G1743" s="23"/>
      <c r="H1743" s="23"/>
      <c r="I1743" s="23"/>
      <c r="J1743" s="25"/>
      <c r="K1743" s="23"/>
      <c r="L1743" s="23"/>
      <c r="M1743" s="23"/>
      <c r="N1743" s="26"/>
      <c r="O1743" s="26"/>
      <c r="P1743" s="26"/>
      <c r="Q1743" s="26"/>
      <c r="R1743" s="26"/>
      <c r="S1743" s="26"/>
      <c r="T1743" s="26"/>
      <c r="U1743" s="26"/>
      <c r="V1743" s="26"/>
      <c r="W1743" s="27"/>
    </row>
    <row r="1744" spans="1:23" ht="15.75" customHeight="1" x14ac:dyDescent="0.25">
      <c r="A1744" s="23"/>
      <c r="B1744" s="23" t="str">
        <f t="shared" si="7"/>
        <v/>
      </c>
      <c r="C1744" s="23"/>
      <c r="D1744" s="23"/>
      <c r="E1744" s="23"/>
      <c r="F1744" s="24"/>
      <c r="G1744" s="23"/>
      <c r="H1744" s="23"/>
      <c r="I1744" s="23"/>
      <c r="J1744" s="25"/>
      <c r="K1744" s="23"/>
      <c r="L1744" s="23"/>
      <c r="M1744" s="23"/>
      <c r="N1744" s="26"/>
      <c r="O1744" s="26"/>
      <c r="P1744" s="26"/>
      <c r="Q1744" s="26"/>
      <c r="R1744" s="26"/>
      <c r="S1744" s="26"/>
      <c r="T1744" s="26"/>
      <c r="U1744" s="26"/>
      <c r="V1744" s="26"/>
      <c r="W1744" s="27"/>
    </row>
    <row r="1745" spans="1:23" ht="15.75" customHeight="1" x14ac:dyDescent="0.25">
      <c r="A1745" s="23"/>
      <c r="B1745" s="23" t="str">
        <f t="shared" si="7"/>
        <v/>
      </c>
      <c r="C1745" s="23"/>
      <c r="D1745" s="23"/>
      <c r="E1745" s="23"/>
      <c r="F1745" s="24"/>
      <c r="G1745" s="23"/>
      <c r="H1745" s="23"/>
      <c r="I1745" s="23"/>
      <c r="J1745" s="25"/>
      <c r="K1745" s="23"/>
      <c r="L1745" s="23"/>
      <c r="M1745" s="23"/>
      <c r="N1745" s="26"/>
      <c r="O1745" s="26"/>
      <c r="P1745" s="26"/>
      <c r="Q1745" s="26"/>
      <c r="R1745" s="26"/>
      <c r="S1745" s="26"/>
      <c r="T1745" s="26"/>
      <c r="U1745" s="26"/>
      <c r="V1745" s="26"/>
      <c r="W1745" s="27"/>
    </row>
    <row r="1746" spans="1:23" ht="15.75" customHeight="1" x14ac:dyDescent="0.25">
      <c r="A1746" s="23"/>
      <c r="B1746" s="23" t="str">
        <f t="shared" si="7"/>
        <v/>
      </c>
      <c r="C1746" s="23"/>
      <c r="D1746" s="23"/>
      <c r="E1746" s="23"/>
      <c r="F1746" s="24"/>
      <c r="G1746" s="23"/>
      <c r="H1746" s="23"/>
      <c r="I1746" s="23"/>
      <c r="J1746" s="25"/>
      <c r="K1746" s="23"/>
      <c r="L1746" s="23"/>
      <c r="M1746" s="23"/>
      <c r="N1746" s="26"/>
      <c r="O1746" s="26"/>
      <c r="P1746" s="26"/>
      <c r="Q1746" s="26"/>
      <c r="R1746" s="26"/>
      <c r="S1746" s="26"/>
      <c r="T1746" s="26"/>
      <c r="U1746" s="26"/>
      <c r="V1746" s="26"/>
      <c r="W1746" s="27"/>
    </row>
    <row r="1747" spans="1:23" ht="15.75" customHeight="1" x14ac:dyDescent="0.25">
      <c r="A1747" s="23"/>
      <c r="B1747" s="23" t="str">
        <f t="shared" si="7"/>
        <v/>
      </c>
      <c r="C1747" s="23"/>
      <c r="D1747" s="23"/>
      <c r="E1747" s="23"/>
      <c r="F1747" s="24"/>
      <c r="G1747" s="23"/>
      <c r="H1747" s="23"/>
      <c r="I1747" s="23"/>
      <c r="J1747" s="25"/>
      <c r="K1747" s="23"/>
      <c r="L1747" s="23"/>
      <c r="M1747" s="23"/>
      <c r="N1747" s="26"/>
      <c r="O1747" s="26"/>
      <c r="P1747" s="26"/>
      <c r="Q1747" s="26"/>
      <c r="R1747" s="26"/>
      <c r="S1747" s="26"/>
      <c r="T1747" s="26"/>
      <c r="U1747" s="26"/>
      <c r="V1747" s="26"/>
      <c r="W1747" s="27"/>
    </row>
    <row r="1748" spans="1:23" ht="15.75" customHeight="1" x14ac:dyDescent="0.25">
      <c r="A1748" s="23"/>
      <c r="B1748" s="23" t="str">
        <f t="shared" si="7"/>
        <v/>
      </c>
      <c r="C1748" s="23"/>
      <c r="D1748" s="23"/>
      <c r="E1748" s="23"/>
      <c r="F1748" s="24"/>
      <c r="G1748" s="23"/>
      <c r="H1748" s="23"/>
      <c r="I1748" s="23"/>
      <c r="J1748" s="25"/>
      <c r="K1748" s="23"/>
      <c r="L1748" s="23"/>
      <c r="M1748" s="23"/>
      <c r="N1748" s="26"/>
      <c r="O1748" s="26"/>
      <c r="P1748" s="26"/>
      <c r="Q1748" s="26"/>
      <c r="R1748" s="26"/>
      <c r="S1748" s="26"/>
      <c r="T1748" s="26"/>
      <c r="U1748" s="26"/>
      <c r="V1748" s="26"/>
      <c r="W1748" s="27"/>
    </row>
    <row r="1749" spans="1:23" ht="15.75" customHeight="1" x14ac:dyDescent="0.25">
      <c r="A1749" s="23"/>
      <c r="B1749" s="23" t="str">
        <f t="shared" si="7"/>
        <v/>
      </c>
      <c r="C1749" s="23"/>
      <c r="D1749" s="23"/>
      <c r="E1749" s="23"/>
      <c r="F1749" s="24"/>
      <c r="G1749" s="23"/>
      <c r="H1749" s="23"/>
      <c r="I1749" s="23"/>
      <c r="J1749" s="25"/>
      <c r="K1749" s="23"/>
      <c r="L1749" s="23"/>
      <c r="M1749" s="23"/>
      <c r="N1749" s="26"/>
      <c r="O1749" s="26"/>
      <c r="P1749" s="26"/>
      <c r="Q1749" s="26"/>
      <c r="R1749" s="26"/>
      <c r="S1749" s="26"/>
      <c r="T1749" s="26"/>
      <c r="U1749" s="26"/>
      <c r="V1749" s="26"/>
      <c r="W1749" s="27"/>
    </row>
    <row r="1750" spans="1:23" ht="15.75" customHeight="1" x14ac:dyDescent="0.25">
      <c r="A1750" s="23"/>
      <c r="B1750" s="23" t="str">
        <f t="shared" si="7"/>
        <v/>
      </c>
      <c r="C1750" s="23"/>
      <c r="D1750" s="23"/>
      <c r="E1750" s="23"/>
      <c r="F1750" s="24"/>
      <c r="G1750" s="23"/>
      <c r="H1750" s="23"/>
      <c r="I1750" s="23"/>
      <c r="J1750" s="25"/>
      <c r="K1750" s="23"/>
      <c r="L1750" s="23"/>
      <c r="M1750" s="23"/>
      <c r="N1750" s="26"/>
      <c r="O1750" s="26"/>
      <c r="P1750" s="26"/>
      <c r="Q1750" s="26"/>
      <c r="R1750" s="26"/>
      <c r="S1750" s="26"/>
      <c r="T1750" s="26"/>
      <c r="U1750" s="26"/>
      <c r="V1750" s="26"/>
      <c r="W1750" s="27"/>
    </row>
    <row r="1751" spans="1:23" ht="15.75" customHeight="1" x14ac:dyDescent="0.25">
      <c r="A1751" s="23"/>
      <c r="B1751" s="23" t="str">
        <f t="shared" si="7"/>
        <v/>
      </c>
      <c r="C1751" s="23"/>
      <c r="D1751" s="23"/>
      <c r="E1751" s="23"/>
      <c r="F1751" s="24"/>
      <c r="G1751" s="23"/>
      <c r="H1751" s="23"/>
      <c r="I1751" s="23"/>
      <c r="J1751" s="25"/>
      <c r="K1751" s="23"/>
      <c r="L1751" s="23"/>
      <c r="M1751" s="23"/>
      <c r="N1751" s="26"/>
      <c r="O1751" s="26"/>
      <c r="P1751" s="26"/>
      <c r="Q1751" s="26"/>
      <c r="R1751" s="26"/>
      <c r="S1751" s="26"/>
      <c r="T1751" s="26"/>
      <c r="U1751" s="26"/>
      <c r="V1751" s="26"/>
      <c r="W1751" s="27"/>
    </row>
    <row r="1752" spans="1:23" ht="15.75" customHeight="1" x14ac:dyDescent="0.25">
      <c r="A1752" s="23"/>
      <c r="B1752" s="23" t="str">
        <f t="shared" si="7"/>
        <v/>
      </c>
      <c r="C1752" s="23"/>
      <c r="D1752" s="23"/>
      <c r="E1752" s="23"/>
      <c r="F1752" s="24"/>
      <c r="G1752" s="23"/>
      <c r="H1752" s="23"/>
      <c r="I1752" s="23"/>
      <c r="J1752" s="25"/>
      <c r="K1752" s="23"/>
      <c r="L1752" s="23"/>
      <c r="M1752" s="23"/>
      <c r="N1752" s="26"/>
      <c r="O1752" s="26"/>
      <c r="P1752" s="26"/>
      <c r="Q1752" s="26"/>
      <c r="R1752" s="26"/>
      <c r="S1752" s="26"/>
      <c r="T1752" s="26"/>
      <c r="U1752" s="26"/>
      <c r="V1752" s="26"/>
      <c r="W1752" s="27"/>
    </row>
    <row r="1753" spans="1:23" ht="15.75" customHeight="1" x14ac:dyDescent="0.25">
      <c r="A1753" s="23"/>
      <c r="B1753" s="23" t="str">
        <f t="shared" si="7"/>
        <v/>
      </c>
      <c r="C1753" s="23"/>
      <c r="D1753" s="23"/>
      <c r="E1753" s="23"/>
      <c r="F1753" s="24"/>
      <c r="G1753" s="23"/>
      <c r="H1753" s="23"/>
      <c r="I1753" s="23"/>
      <c r="J1753" s="25"/>
      <c r="K1753" s="23"/>
      <c r="L1753" s="23"/>
      <c r="M1753" s="23"/>
      <c r="N1753" s="26"/>
      <c r="O1753" s="26"/>
      <c r="P1753" s="26"/>
      <c r="Q1753" s="26"/>
      <c r="R1753" s="26"/>
      <c r="S1753" s="26"/>
      <c r="T1753" s="26"/>
      <c r="U1753" s="26"/>
      <c r="V1753" s="26"/>
      <c r="W1753" s="27"/>
    </row>
    <row r="1754" spans="1:23" ht="15.75" customHeight="1" x14ac:dyDescent="0.25">
      <c r="A1754" s="23"/>
      <c r="B1754" s="23" t="str">
        <f t="shared" si="7"/>
        <v/>
      </c>
      <c r="C1754" s="23"/>
      <c r="D1754" s="23"/>
      <c r="E1754" s="23"/>
      <c r="F1754" s="24"/>
      <c r="G1754" s="23"/>
      <c r="H1754" s="23"/>
      <c r="I1754" s="23"/>
      <c r="J1754" s="25"/>
      <c r="K1754" s="23"/>
      <c r="L1754" s="23"/>
      <c r="M1754" s="23"/>
      <c r="N1754" s="26"/>
      <c r="O1754" s="26"/>
      <c r="P1754" s="26"/>
      <c r="Q1754" s="26"/>
      <c r="R1754" s="26"/>
      <c r="S1754" s="26"/>
      <c r="T1754" s="26"/>
      <c r="U1754" s="26"/>
      <c r="V1754" s="26"/>
      <c r="W1754" s="27"/>
    </row>
    <row r="1755" spans="1:23" ht="15.75" customHeight="1" x14ac:dyDescent="0.25">
      <c r="A1755" s="23"/>
      <c r="B1755" s="23" t="str">
        <f t="shared" si="7"/>
        <v/>
      </c>
      <c r="C1755" s="23"/>
      <c r="D1755" s="23"/>
      <c r="E1755" s="23"/>
      <c r="F1755" s="24"/>
      <c r="G1755" s="23"/>
      <c r="H1755" s="23"/>
      <c r="I1755" s="23"/>
      <c r="J1755" s="25"/>
      <c r="K1755" s="23"/>
      <c r="L1755" s="23"/>
      <c r="M1755" s="23"/>
      <c r="N1755" s="26"/>
      <c r="O1755" s="26"/>
      <c r="P1755" s="26"/>
      <c r="Q1755" s="26"/>
      <c r="R1755" s="26"/>
      <c r="S1755" s="26"/>
      <c r="T1755" s="26"/>
      <c r="U1755" s="26"/>
      <c r="V1755" s="26"/>
      <c r="W1755" s="27"/>
    </row>
    <row r="1756" spans="1:23" ht="15.75" customHeight="1" x14ac:dyDescent="0.25">
      <c r="A1756" s="23"/>
      <c r="B1756" s="23" t="str">
        <f t="shared" si="7"/>
        <v/>
      </c>
      <c r="C1756" s="23"/>
      <c r="D1756" s="23"/>
      <c r="E1756" s="23"/>
      <c r="F1756" s="24"/>
      <c r="G1756" s="23"/>
      <c r="H1756" s="23"/>
      <c r="I1756" s="23"/>
      <c r="J1756" s="25"/>
      <c r="K1756" s="23"/>
      <c r="L1756" s="23"/>
      <c r="M1756" s="23"/>
      <c r="N1756" s="26"/>
      <c r="O1756" s="26"/>
      <c r="P1756" s="26"/>
      <c r="Q1756" s="26"/>
      <c r="R1756" s="26"/>
      <c r="S1756" s="26"/>
      <c r="T1756" s="26"/>
      <c r="U1756" s="26"/>
      <c r="V1756" s="26"/>
      <c r="W1756" s="27"/>
    </row>
    <row r="1757" spans="1:23" ht="15.75" customHeight="1" x14ac:dyDescent="0.25">
      <c r="A1757" s="23"/>
      <c r="B1757" s="23" t="str">
        <f t="shared" si="7"/>
        <v/>
      </c>
      <c r="C1757" s="23"/>
      <c r="D1757" s="23"/>
      <c r="E1757" s="23"/>
      <c r="F1757" s="24"/>
      <c r="G1757" s="23"/>
      <c r="H1757" s="23"/>
      <c r="I1757" s="23"/>
      <c r="J1757" s="25"/>
      <c r="K1757" s="23"/>
      <c r="L1757" s="23"/>
      <c r="M1757" s="23"/>
      <c r="N1757" s="26"/>
      <c r="O1757" s="26"/>
      <c r="P1757" s="26"/>
      <c r="Q1757" s="26"/>
      <c r="R1757" s="26"/>
      <c r="S1757" s="26"/>
      <c r="T1757" s="26"/>
      <c r="U1757" s="26"/>
      <c r="V1757" s="26"/>
      <c r="W1757" s="27"/>
    </row>
    <row r="1758" spans="1:23" ht="15.75" customHeight="1" x14ac:dyDescent="0.25">
      <c r="A1758" s="23"/>
      <c r="B1758" s="23" t="str">
        <f t="shared" si="7"/>
        <v/>
      </c>
      <c r="C1758" s="23"/>
      <c r="D1758" s="23"/>
      <c r="E1758" s="23"/>
      <c r="F1758" s="24"/>
      <c r="G1758" s="23"/>
      <c r="H1758" s="23"/>
      <c r="I1758" s="23"/>
      <c r="J1758" s="25"/>
      <c r="K1758" s="23"/>
      <c r="L1758" s="23"/>
      <c r="M1758" s="23"/>
      <c r="N1758" s="26"/>
      <c r="O1758" s="26"/>
      <c r="P1758" s="26"/>
      <c r="Q1758" s="26"/>
      <c r="R1758" s="26"/>
      <c r="S1758" s="26"/>
      <c r="T1758" s="26"/>
      <c r="U1758" s="26"/>
      <c r="V1758" s="26"/>
      <c r="W1758" s="27"/>
    </row>
    <row r="1759" spans="1:23" ht="15.75" customHeight="1" x14ac:dyDescent="0.25">
      <c r="A1759" s="23"/>
      <c r="B1759" s="23" t="str">
        <f t="shared" si="7"/>
        <v/>
      </c>
      <c r="C1759" s="23"/>
      <c r="D1759" s="23"/>
      <c r="E1759" s="23"/>
      <c r="F1759" s="24"/>
      <c r="G1759" s="23"/>
      <c r="H1759" s="23"/>
      <c r="I1759" s="23"/>
      <c r="J1759" s="25"/>
      <c r="K1759" s="23"/>
      <c r="L1759" s="23"/>
      <c r="M1759" s="23"/>
      <c r="N1759" s="26"/>
      <c r="O1759" s="26"/>
      <c r="P1759" s="26"/>
      <c r="Q1759" s="26"/>
      <c r="R1759" s="26"/>
      <c r="S1759" s="26"/>
      <c r="T1759" s="26"/>
      <c r="U1759" s="26"/>
      <c r="V1759" s="26"/>
      <c r="W1759" s="27"/>
    </row>
    <row r="1760" spans="1:23" ht="15.75" customHeight="1" x14ac:dyDescent="0.25">
      <c r="A1760" s="23"/>
      <c r="B1760" s="23" t="str">
        <f t="shared" si="7"/>
        <v/>
      </c>
      <c r="C1760" s="23"/>
      <c r="D1760" s="23"/>
      <c r="E1760" s="23"/>
      <c r="F1760" s="24"/>
      <c r="G1760" s="23"/>
      <c r="H1760" s="23"/>
      <c r="I1760" s="23"/>
      <c r="J1760" s="25"/>
      <c r="K1760" s="23"/>
      <c r="L1760" s="23"/>
      <c r="M1760" s="23"/>
      <c r="N1760" s="26"/>
      <c r="O1760" s="26"/>
      <c r="P1760" s="26"/>
      <c r="Q1760" s="26"/>
      <c r="R1760" s="26"/>
      <c r="S1760" s="26"/>
      <c r="T1760" s="26"/>
      <c r="U1760" s="26"/>
      <c r="V1760" s="26"/>
      <c r="W1760" s="27"/>
    </row>
    <row r="1761" spans="1:23" ht="15.75" customHeight="1" x14ac:dyDescent="0.25">
      <c r="A1761" s="23"/>
      <c r="B1761" s="23" t="str">
        <f t="shared" si="7"/>
        <v/>
      </c>
      <c r="C1761" s="23"/>
      <c r="D1761" s="23"/>
      <c r="E1761" s="23"/>
      <c r="F1761" s="24"/>
      <c r="G1761" s="23"/>
      <c r="H1761" s="23"/>
      <c r="I1761" s="23"/>
      <c r="J1761" s="25"/>
      <c r="K1761" s="23"/>
      <c r="L1761" s="23"/>
      <c r="M1761" s="23"/>
      <c r="N1761" s="26"/>
      <c r="O1761" s="26"/>
      <c r="P1761" s="26"/>
      <c r="Q1761" s="26"/>
      <c r="R1761" s="26"/>
      <c r="S1761" s="26"/>
      <c r="T1761" s="26"/>
      <c r="U1761" s="26"/>
      <c r="V1761" s="26"/>
      <c r="W1761" s="27"/>
    </row>
    <row r="1762" spans="1:23" ht="15.75" customHeight="1" x14ac:dyDescent="0.25">
      <c r="A1762" s="23"/>
      <c r="B1762" s="23" t="str">
        <f t="shared" si="7"/>
        <v/>
      </c>
      <c r="C1762" s="23"/>
      <c r="D1762" s="23"/>
      <c r="E1762" s="23"/>
      <c r="F1762" s="24"/>
      <c r="G1762" s="23"/>
      <c r="H1762" s="23"/>
      <c r="I1762" s="23"/>
      <c r="J1762" s="25"/>
      <c r="K1762" s="23"/>
      <c r="L1762" s="23"/>
      <c r="M1762" s="23"/>
      <c r="N1762" s="26"/>
      <c r="O1762" s="26"/>
      <c r="P1762" s="26"/>
      <c r="Q1762" s="26"/>
      <c r="R1762" s="26"/>
      <c r="S1762" s="26"/>
      <c r="T1762" s="26"/>
      <c r="U1762" s="26"/>
      <c r="V1762" s="26"/>
      <c r="W1762" s="27"/>
    </row>
    <row r="1763" spans="1:23" ht="15.75" customHeight="1" x14ac:dyDescent="0.25">
      <c r="A1763" s="23"/>
      <c r="B1763" s="23" t="str">
        <f t="shared" si="7"/>
        <v/>
      </c>
      <c r="C1763" s="23"/>
      <c r="D1763" s="23"/>
      <c r="E1763" s="23"/>
      <c r="F1763" s="24"/>
      <c r="G1763" s="23"/>
      <c r="H1763" s="23"/>
      <c r="I1763" s="23"/>
      <c r="J1763" s="25"/>
      <c r="K1763" s="23"/>
      <c r="L1763" s="23"/>
      <c r="M1763" s="23"/>
      <c r="N1763" s="26"/>
      <c r="O1763" s="26"/>
      <c r="P1763" s="26"/>
      <c r="Q1763" s="26"/>
      <c r="R1763" s="26"/>
      <c r="S1763" s="26"/>
      <c r="T1763" s="26"/>
      <c r="U1763" s="26"/>
      <c r="V1763" s="26"/>
      <c r="W1763" s="27"/>
    </row>
    <row r="1764" spans="1:23" ht="15.75" customHeight="1" x14ac:dyDescent="0.25">
      <c r="A1764" s="23"/>
      <c r="B1764" s="23" t="str">
        <f t="shared" si="7"/>
        <v/>
      </c>
      <c r="C1764" s="23"/>
      <c r="D1764" s="23"/>
      <c r="E1764" s="23"/>
      <c r="F1764" s="24"/>
      <c r="G1764" s="23"/>
      <c r="H1764" s="23"/>
      <c r="I1764" s="23"/>
      <c r="J1764" s="25"/>
      <c r="K1764" s="23"/>
      <c r="L1764" s="23"/>
      <c r="M1764" s="23"/>
      <c r="N1764" s="26"/>
      <c r="O1764" s="26"/>
      <c r="P1764" s="26"/>
      <c r="Q1764" s="26"/>
      <c r="R1764" s="26"/>
      <c r="S1764" s="26"/>
      <c r="T1764" s="26"/>
      <c r="U1764" s="26"/>
      <c r="V1764" s="26"/>
      <c r="W1764" s="27"/>
    </row>
    <row r="1765" spans="1:23" ht="15.75" customHeight="1" x14ac:dyDescent="0.25">
      <c r="A1765" s="23"/>
      <c r="B1765" s="23" t="str">
        <f t="shared" si="7"/>
        <v/>
      </c>
      <c r="C1765" s="23"/>
      <c r="D1765" s="23"/>
      <c r="E1765" s="23"/>
      <c r="F1765" s="24"/>
      <c r="G1765" s="23"/>
      <c r="H1765" s="23"/>
      <c r="I1765" s="23"/>
      <c r="J1765" s="25"/>
      <c r="K1765" s="23"/>
      <c r="L1765" s="23"/>
      <c r="M1765" s="23"/>
      <c r="N1765" s="26"/>
      <c r="O1765" s="26"/>
      <c r="P1765" s="26"/>
      <c r="Q1765" s="26"/>
      <c r="R1765" s="26"/>
      <c r="S1765" s="26"/>
      <c r="T1765" s="26"/>
      <c r="U1765" s="26"/>
      <c r="V1765" s="26"/>
      <c r="W1765" s="27"/>
    </row>
    <row r="1766" spans="1:23" ht="15.75" customHeight="1" x14ac:dyDescent="0.25">
      <c r="A1766" s="23"/>
      <c r="B1766" s="23" t="str">
        <f t="shared" si="7"/>
        <v/>
      </c>
      <c r="C1766" s="23"/>
      <c r="D1766" s="23"/>
      <c r="E1766" s="23"/>
      <c r="F1766" s="24"/>
      <c r="G1766" s="23"/>
      <c r="H1766" s="23"/>
      <c r="I1766" s="23"/>
      <c r="J1766" s="25"/>
      <c r="K1766" s="23"/>
      <c r="L1766" s="23"/>
      <c r="M1766" s="23"/>
      <c r="N1766" s="26"/>
      <c r="O1766" s="26"/>
      <c r="P1766" s="26"/>
      <c r="Q1766" s="26"/>
      <c r="R1766" s="26"/>
      <c r="S1766" s="26"/>
      <c r="T1766" s="26"/>
      <c r="U1766" s="26"/>
      <c r="V1766" s="26"/>
      <c r="W1766" s="27"/>
    </row>
    <row r="1767" spans="1:23" ht="15.75" customHeight="1" x14ac:dyDescent="0.25">
      <c r="A1767" s="23"/>
      <c r="B1767" s="23" t="str">
        <f t="shared" si="7"/>
        <v/>
      </c>
      <c r="C1767" s="23"/>
      <c r="D1767" s="23"/>
      <c r="E1767" s="23"/>
      <c r="F1767" s="24"/>
      <c r="G1767" s="23"/>
      <c r="H1767" s="23"/>
      <c r="I1767" s="23"/>
      <c r="J1767" s="25"/>
      <c r="K1767" s="23"/>
      <c r="L1767" s="23"/>
      <c r="M1767" s="23"/>
      <c r="N1767" s="26"/>
      <c r="O1767" s="26"/>
      <c r="P1767" s="26"/>
      <c r="Q1767" s="26"/>
      <c r="R1767" s="26"/>
      <c r="S1767" s="26"/>
      <c r="T1767" s="26"/>
      <c r="U1767" s="26"/>
      <c r="V1767" s="26"/>
      <c r="W1767" s="27"/>
    </row>
    <row r="1768" spans="1:23" ht="15.75" customHeight="1" x14ac:dyDescent="0.25">
      <c r="A1768" s="23"/>
      <c r="B1768" s="23" t="str">
        <f t="shared" si="7"/>
        <v/>
      </c>
      <c r="C1768" s="23"/>
      <c r="D1768" s="23"/>
      <c r="E1768" s="23"/>
      <c r="F1768" s="24"/>
      <c r="G1768" s="23"/>
      <c r="H1768" s="23"/>
      <c r="I1768" s="23"/>
      <c r="J1768" s="25"/>
      <c r="K1768" s="23"/>
      <c r="L1768" s="23"/>
      <c r="M1768" s="23"/>
      <c r="N1768" s="26"/>
      <c r="O1768" s="26"/>
      <c r="P1768" s="26"/>
      <c r="Q1768" s="26"/>
      <c r="R1768" s="26"/>
      <c r="S1768" s="26"/>
      <c r="T1768" s="26"/>
      <c r="U1768" s="26"/>
      <c r="V1768" s="26"/>
      <c r="W1768" s="27"/>
    </row>
    <row r="1769" spans="1:23" ht="15.75" customHeight="1" x14ac:dyDescent="0.25">
      <c r="A1769" s="23"/>
      <c r="B1769" s="23" t="str">
        <f t="shared" si="7"/>
        <v/>
      </c>
      <c r="C1769" s="23"/>
      <c r="D1769" s="23"/>
      <c r="E1769" s="23"/>
      <c r="F1769" s="24"/>
      <c r="G1769" s="23"/>
      <c r="H1769" s="23"/>
      <c r="I1769" s="23"/>
      <c r="J1769" s="25"/>
      <c r="K1769" s="23"/>
      <c r="L1769" s="23"/>
      <c r="M1769" s="23"/>
      <c r="N1769" s="26"/>
      <c r="O1769" s="26"/>
      <c r="P1769" s="26"/>
      <c r="Q1769" s="26"/>
      <c r="R1769" s="26"/>
      <c r="S1769" s="26"/>
      <c r="T1769" s="26"/>
      <c r="U1769" s="26"/>
      <c r="V1769" s="26"/>
      <c r="W1769" s="27"/>
    </row>
    <row r="1770" spans="1:23" ht="15.75" customHeight="1" x14ac:dyDescent="0.25">
      <c r="A1770" s="23"/>
      <c r="B1770" s="23" t="str">
        <f t="shared" si="7"/>
        <v/>
      </c>
      <c r="C1770" s="23"/>
      <c r="D1770" s="23"/>
      <c r="E1770" s="23"/>
      <c r="F1770" s="24"/>
      <c r="G1770" s="23"/>
      <c r="H1770" s="23"/>
      <c r="I1770" s="23"/>
      <c r="J1770" s="25"/>
      <c r="K1770" s="23"/>
      <c r="L1770" s="23"/>
      <c r="M1770" s="23"/>
      <c r="N1770" s="26"/>
      <c r="O1770" s="26"/>
      <c r="P1770" s="26"/>
      <c r="Q1770" s="26"/>
      <c r="R1770" s="26"/>
      <c r="S1770" s="26"/>
      <c r="T1770" s="26"/>
      <c r="U1770" s="26"/>
      <c r="V1770" s="26"/>
      <c r="W1770" s="27"/>
    </row>
    <row r="1771" spans="1:23" ht="15.75" customHeight="1" x14ac:dyDescent="0.25">
      <c r="A1771" s="23"/>
      <c r="B1771" s="23" t="str">
        <f t="shared" si="7"/>
        <v/>
      </c>
      <c r="C1771" s="23"/>
      <c r="D1771" s="23"/>
      <c r="E1771" s="23"/>
      <c r="F1771" s="24"/>
      <c r="G1771" s="23"/>
      <c r="H1771" s="23"/>
      <c r="I1771" s="23"/>
      <c r="J1771" s="25"/>
      <c r="K1771" s="23"/>
      <c r="L1771" s="23"/>
      <c r="M1771" s="23"/>
      <c r="N1771" s="26"/>
      <c r="O1771" s="26"/>
      <c r="P1771" s="26"/>
      <c r="Q1771" s="26"/>
      <c r="R1771" s="26"/>
      <c r="S1771" s="26"/>
      <c r="T1771" s="26"/>
      <c r="U1771" s="26"/>
      <c r="V1771" s="26"/>
      <c r="W1771" s="27"/>
    </row>
    <row r="1772" spans="1:23" ht="15.75" customHeight="1" x14ac:dyDescent="0.25">
      <c r="A1772" s="23"/>
      <c r="B1772" s="23" t="str">
        <f t="shared" si="7"/>
        <v/>
      </c>
      <c r="C1772" s="23"/>
      <c r="D1772" s="23"/>
      <c r="E1772" s="23"/>
      <c r="F1772" s="24"/>
      <c r="G1772" s="23"/>
      <c r="H1772" s="23"/>
      <c r="I1772" s="23"/>
      <c r="J1772" s="25"/>
      <c r="K1772" s="23"/>
      <c r="L1772" s="23"/>
      <c r="M1772" s="23"/>
      <c r="N1772" s="26"/>
      <c r="O1772" s="26"/>
      <c r="P1772" s="26"/>
      <c r="Q1772" s="26"/>
      <c r="R1772" s="26"/>
      <c r="S1772" s="26"/>
      <c r="T1772" s="26"/>
      <c r="U1772" s="26"/>
      <c r="V1772" s="26"/>
      <c r="W1772" s="27"/>
    </row>
    <row r="1773" spans="1:23" ht="15.75" customHeight="1" x14ac:dyDescent="0.25">
      <c r="A1773" s="23"/>
      <c r="B1773" s="23" t="str">
        <f t="shared" si="7"/>
        <v/>
      </c>
      <c r="C1773" s="23"/>
      <c r="D1773" s="23"/>
      <c r="E1773" s="23"/>
      <c r="F1773" s="24"/>
      <c r="G1773" s="23"/>
      <c r="H1773" s="23"/>
      <c r="I1773" s="23"/>
      <c r="J1773" s="25"/>
      <c r="K1773" s="23"/>
      <c r="L1773" s="23"/>
      <c r="M1773" s="23"/>
      <c r="N1773" s="26"/>
      <c r="O1773" s="26"/>
      <c r="P1773" s="26"/>
      <c r="Q1773" s="26"/>
      <c r="R1773" s="26"/>
      <c r="S1773" s="26"/>
      <c r="T1773" s="26"/>
      <c r="U1773" s="26"/>
      <c r="V1773" s="26"/>
      <c r="W1773" s="27"/>
    </row>
    <row r="1774" spans="1:23" ht="15.75" customHeight="1" x14ac:dyDescent="0.25">
      <c r="A1774" s="23"/>
      <c r="B1774" s="23" t="str">
        <f t="shared" si="7"/>
        <v/>
      </c>
      <c r="C1774" s="23"/>
      <c r="D1774" s="23"/>
      <c r="E1774" s="23"/>
      <c r="F1774" s="24"/>
      <c r="G1774" s="23"/>
      <c r="H1774" s="23"/>
      <c r="I1774" s="23"/>
      <c r="J1774" s="25"/>
      <c r="K1774" s="23"/>
      <c r="L1774" s="23"/>
      <c r="M1774" s="23"/>
      <c r="N1774" s="26"/>
      <c r="O1774" s="26"/>
      <c r="P1774" s="26"/>
      <c r="Q1774" s="26"/>
      <c r="R1774" s="26"/>
      <c r="S1774" s="26"/>
      <c r="T1774" s="26"/>
      <c r="U1774" s="26"/>
      <c r="V1774" s="26"/>
      <c r="W1774" s="27"/>
    </row>
    <row r="1775" spans="1:23" ht="15.75" customHeight="1" x14ac:dyDescent="0.25">
      <c r="A1775" s="23"/>
      <c r="B1775" s="23" t="str">
        <f t="shared" si="7"/>
        <v/>
      </c>
      <c r="C1775" s="23"/>
      <c r="D1775" s="23"/>
      <c r="E1775" s="23"/>
      <c r="F1775" s="24"/>
      <c r="G1775" s="23"/>
      <c r="H1775" s="23"/>
      <c r="I1775" s="23"/>
      <c r="J1775" s="25"/>
      <c r="K1775" s="23"/>
      <c r="L1775" s="23"/>
      <c r="M1775" s="23"/>
      <c r="N1775" s="26"/>
      <c r="O1775" s="26"/>
      <c r="P1775" s="26"/>
      <c r="Q1775" s="26"/>
      <c r="R1775" s="26"/>
      <c r="S1775" s="26"/>
      <c r="T1775" s="26"/>
      <c r="U1775" s="26"/>
      <c r="V1775" s="26"/>
      <c r="W1775" s="27"/>
    </row>
    <row r="1776" spans="1:23" ht="15.75" customHeight="1" x14ac:dyDescent="0.25">
      <c r="A1776" s="23"/>
      <c r="B1776" s="23" t="str">
        <f t="shared" si="7"/>
        <v/>
      </c>
      <c r="C1776" s="23"/>
      <c r="D1776" s="23"/>
      <c r="E1776" s="23"/>
      <c r="F1776" s="24"/>
      <c r="G1776" s="23"/>
      <c r="H1776" s="23"/>
      <c r="I1776" s="23"/>
      <c r="J1776" s="25"/>
      <c r="K1776" s="23"/>
      <c r="L1776" s="23"/>
      <c r="M1776" s="23"/>
      <c r="N1776" s="26"/>
      <c r="O1776" s="26"/>
      <c r="P1776" s="26"/>
      <c r="Q1776" s="26"/>
      <c r="R1776" s="26"/>
      <c r="S1776" s="26"/>
      <c r="T1776" s="26"/>
      <c r="U1776" s="26"/>
      <c r="V1776" s="26"/>
      <c r="W1776" s="27"/>
    </row>
    <row r="1777" spans="1:23" ht="15.75" customHeight="1" x14ac:dyDescent="0.25">
      <c r="A1777" s="23"/>
      <c r="B1777" s="23" t="str">
        <f t="shared" si="7"/>
        <v/>
      </c>
      <c r="C1777" s="23"/>
      <c r="D1777" s="23"/>
      <c r="E1777" s="23"/>
      <c r="F1777" s="24"/>
      <c r="G1777" s="23"/>
      <c r="H1777" s="23"/>
      <c r="I1777" s="23"/>
      <c r="J1777" s="25"/>
      <c r="K1777" s="23"/>
      <c r="L1777" s="23"/>
      <c r="M1777" s="23"/>
      <c r="N1777" s="26"/>
      <c r="O1777" s="26"/>
      <c r="P1777" s="26"/>
      <c r="Q1777" s="26"/>
      <c r="R1777" s="26"/>
      <c r="S1777" s="26"/>
      <c r="T1777" s="26"/>
      <c r="U1777" s="26"/>
      <c r="V1777" s="26"/>
      <c r="W1777" s="27"/>
    </row>
    <row r="1778" spans="1:23" ht="15.75" customHeight="1" x14ac:dyDescent="0.25">
      <c r="A1778" s="23"/>
      <c r="B1778" s="23" t="str">
        <f t="shared" si="7"/>
        <v/>
      </c>
      <c r="C1778" s="23"/>
      <c r="D1778" s="23"/>
      <c r="E1778" s="23"/>
      <c r="F1778" s="24"/>
      <c r="G1778" s="23"/>
      <c r="H1778" s="23"/>
      <c r="I1778" s="23"/>
      <c r="J1778" s="25"/>
      <c r="K1778" s="23"/>
      <c r="L1778" s="23"/>
      <c r="M1778" s="23"/>
      <c r="N1778" s="26"/>
      <c r="O1778" s="26"/>
      <c r="P1778" s="26"/>
      <c r="Q1778" s="26"/>
      <c r="R1778" s="26"/>
      <c r="S1778" s="26"/>
      <c r="T1778" s="26"/>
      <c r="U1778" s="26"/>
      <c r="V1778" s="26"/>
      <c r="W1778" s="27"/>
    </row>
    <row r="1779" spans="1:23" ht="15.75" customHeight="1" x14ac:dyDescent="0.25">
      <c r="A1779" s="23"/>
      <c r="B1779" s="23" t="str">
        <f t="shared" si="7"/>
        <v/>
      </c>
      <c r="C1779" s="23"/>
      <c r="D1779" s="23"/>
      <c r="E1779" s="23"/>
      <c r="F1779" s="24"/>
      <c r="G1779" s="23"/>
      <c r="H1779" s="23"/>
      <c r="I1779" s="23"/>
      <c r="J1779" s="25"/>
      <c r="K1779" s="23"/>
      <c r="L1779" s="23"/>
      <c r="M1779" s="23"/>
      <c r="N1779" s="26"/>
      <c r="O1779" s="26"/>
      <c r="P1779" s="26"/>
      <c r="Q1779" s="26"/>
      <c r="R1779" s="26"/>
      <c r="S1779" s="26"/>
      <c r="T1779" s="26"/>
      <c r="U1779" s="26"/>
      <c r="V1779" s="26"/>
      <c r="W1779" s="27"/>
    </row>
    <row r="1780" spans="1:23" ht="15.75" customHeight="1" x14ac:dyDescent="0.25">
      <c r="A1780" s="23"/>
      <c r="B1780" s="23" t="str">
        <f t="shared" si="7"/>
        <v/>
      </c>
      <c r="C1780" s="23"/>
      <c r="D1780" s="23"/>
      <c r="E1780" s="23"/>
      <c r="F1780" s="24"/>
      <c r="G1780" s="23"/>
      <c r="H1780" s="23"/>
      <c r="I1780" s="23"/>
      <c r="J1780" s="25"/>
      <c r="K1780" s="23"/>
      <c r="L1780" s="23"/>
      <c r="M1780" s="23"/>
      <c r="N1780" s="26"/>
      <c r="O1780" s="26"/>
      <c r="P1780" s="26"/>
      <c r="Q1780" s="26"/>
      <c r="R1780" s="26"/>
      <c r="S1780" s="26"/>
      <c r="T1780" s="26"/>
      <c r="U1780" s="26"/>
      <c r="V1780" s="26"/>
      <c r="W1780" s="27"/>
    </row>
    <row r="1781" spans="1:23" ht="15.75" customHeight="1" x14ac:dyDescent="0.25">
      <c r="A1781" s="23"/>
      <c r="B1781" s="23" t="str">
        <f t="shared" si="7"/>
        <v/>
      </c>
      <c r="C1781" s="23"/>
      <c r="D1781" s="23"/>
      <c r="E1781" s="23"/>
      <c r="F1781" s="24"/>
      <c r="G1781" s="23"/>
      <c r="H1781" s="23"/>
      <c r="I1781" s="23"/>
      <c r="J1781" s="25"/>
      <c r="K1781" s="23"/>
      <c r="L1781" s="23"/>
      <c r="M1781" s="23"/>
      <c r="N1781" s="26"/>
      <c r="O1781" s="26"/>
      <c r="P1781" s="26"/>
      <c r="Q1781" s="26"/>
      <c r="R1781" s="26"/>
      <c r="S1781" s="26"/>
      <c r="T1781" s="26"/>
      <c r="U1781" s="26"/>
      <c r="V1781" s="26"/>
      <c r="W1781" s="27"/>
    </row>
    <row r="1782" spans="1:23" ht="15.75" customHeight="1" x14ac:dyDescent="0.25">
      <c r="A1782" s="23"/>
      <c r="B1782" s="23" t="str">
        <f t="shared" si="7"/>
        <v/>
      </c>
      <c r="C1782" s="23"/>
      <c r="D1782" s="23"/>
      <c r="E1782" s="23"/>
      <c r="F1782" s="24"/>
      <c r="G1782" s="23"/>
      <c r="H1782" s="23"/>
      <c r="I1782" s="23"/>
      <c r="J1782" s="25"/>
      <c r="K1782" s="23"/>
      <c r="L1782" s="23"/>
      <c r="M1782" s="23"/>
      <c r="N1782" s="26"/>
      <c r="O1782" s="26"/>
      <c r="P1782" s="26"/>
      <c r="Q1782" s="26"/>
      <c r="R1782" s="26"/>
      <c r="S1782" s="26"/>
      <c r="T1782" s="26"/>
      <c r="U1782" s="26"/>
      <c r="V1782" s="26"/>
      <c r="W1782" s="27"/>
    </row>
    <row r="1783" spans="1:23" ht="15.75" customHeight="1" x14ac:dyDescent="0.25">
      <c r="A1783" s="23"/>
      <c r="B1783" s="23" t="str">
        <f t="shared" si="7"/>
        <v/>
      </c>
      <c r="C1783" s="23"/>
      <c r="D1783" s="23"/>
      <c r="E1783" s="23"/>
      <c r="F1783" s="24"/>
      <c r="G1783" s="23"/>
      <c r="H1783" s="23"/>
      <c r="I1783" s="23"/>
      <c r="J1783" s="25"/>
      <c r="K1783" s="23"/>
      <c r="L1783" s="23"/>
      <c r="M1783" s="23"/>
      <c r="N1783" s="26"/>
      <c r="O1783" s="26"/>
      <c r="P1783" s="26"/>
      <c r="Q1783" s="26"/>
      <c r="R1783" s="26"/>
      <c r="S1783" s="26"/>
      <c r="T1783" s="26"/>
      <c r="U1783" s="26"/>
      <c r="V1783" s="26"/>
      <c r="W1783" s="27"/>
    </row>
    <row r="1784" spans="1:23" ht="15.75" customHeight="1" x14ac:dyDescent="0.25">
      <c r="A1784" s="23"/>
      <c r="B1784" s="23" t="str">
        <f t="shared" si="7"/>
        <v/>
      </c>
      <c r="C1784" s="23"/>
      <c r="D1784" s="23"/>
      <c r="E1784" s="23"/>
      <c r="F1784" s="24"/>
      <c r="G1784" s="23"/>
      <c r="H1784" s="23"/>
      <c r="I1784" s="23"/>
      <c r="J1784" s="25"/>
      <c r="K1784" s="23"/>
      <c r="L1784" s="23"/>
      <c r="M1784" s="23"/>
      <c r="N1784" s="26"/>
      <c r="O1784" s="26"/>
      <c r="P1784" s="26"/>
      <c r="Q1784" s="26"/>
      <c r="R1784" s="26"/>
      <c r="S1784" s="26"/>
      <c r="T1784" s="26"/>
      <c r="U1784" s="26"/>
      <c r="V1784" s="26"/>
      <c r="W1784" s="27"/>
    </row>
    <row r="1785" spans="1:23" ht="15.75" customHeight="1" x14ac:dyDescent="0.25">
      <c r="A1785" s="23"/>
      <c r="B1785" s="23" t="str">
        <f t="shared" si="7"/>
        <v/>
      </c>
      <c r="C1785" s="23"/>
      <c r="D1785" s="23"/>
      <c r="E1785" s="23"/>
      <c r="F1785" s="24"/>
      <c r="G1785" s="23"/>
      <c r="H1785" s="23"/>
      <c r="I1785" s="23"/>
      <c r="J1785" s="25"/>
      <c r="K1785" s="23"/>
      <c r="L1785" s="23"/>
      <c r="M1785" s="23"/>
      <c r="N1785" s="26"/>
      <c r="O1785" s="26"/>
      <c r="P1785" s="26"/>
      <c r="Q1785" s="26"/>
      <c r="R1785" s="26"/>
      <c r="S1785" s="26"/>
      <c r="T1785" s="26"/>
      <c r="U1785" s="26"/>
      <c r="V1785" s="26"/>
      <c r="W1785" s="27"/>
    </row>
    <row r="1786" spans="1:23" ht="15.75" customHeight="1" x14ac:dyDescent="0.25">
      <c r="A1786" s="23"/>
      <c r="B1786" s="23" t="str">
        <f t="shared" si="7"/>
        <v/>
      </c>
      <c r="C1786" s="23"/>
      <c r="D1786" s="23"/>
      <c r="E1786" s="23"/>
      <c r="F1786" s="24"/>
      <c r="G1786" s="23"/>
      <c r="H1786" s="23"/>
      <c r="I1786" s="23"/>
      <c r="J1786" s="25"/>
      <c r="K1786" s="23"/>
      <c r="L1786" s="23"/>
      <c r="M1786" s="23"/>
      <c r="N1786" s="26"/>
      <c r="O1786" s="26"/>
      <c r="P1786" s="26"/>
      <c r="Q1786" s="26"/>
      <c r="R1786" s="26"/>
      <c r="S1786" s="26"/>
      <c r="T1786" s="26"/>
      <c r="U1786" s="26"/>
      <c r="V1786" s="26"/>
      <c r="W1786" s="27"/>
    </row>
    <row r="1787" spans="1:23" ht="15.75" customHeight="1" x14ac:dyDescent="0.25">
      <c r="A1787" s="23"/>
      <c r="B1787" s="23" t="str">
        <f t="shared" si="7"/>
        <v/>
      </c>
      <c r="C1787" s="23"/>
      <c r="D1787" s="23"/>
      <c r="E1787" s="23"/>
      <c r="F1787" s="24"/>
      <c r="G1787" s="23"/>
      <c r="H1787" s="23"/>
      <c r="I1787" s="23"/>
      <c r="J1787" s="25"/>
      <c r="K1787" s="23"/>
      <c r="L1787" s="23"/>
      <c r="M1787" s="23"/>
      <c r="N1787" s="26"/>
      <c r="O1787" s="26"/>
      <c r="P1787" s="26"/>
      <c r="Q1787" s="26"/>
      <c r="R1787" s="26"/>
      <c r="S1787" s="26"/>
      <c r="T1787" s="26"/>
      <c r="U1787" s="26"/>
      <c r="V1787" s="26"/>
      <c r="W1787" s="27"/>
    </row>
    <row r="1788" spans="1:23" ht="15.75" customHeight="1" x14ac:dyDescent="0.25">
      <c r="A1788" s="23"/>
      <c r="B1788" s="23" t="str">
        <f t="shared" si="7"/>
        <v/>
      </c>
      <c r="C1788" s="23"/>
      <c r="D1788" s="23"/>
      <c r="E1788" s="23"/>
      <c r="F1788" s="24"/>
      <c r="G1788" s="23"/>
      <c r="H1788" s="23"/>
      <c r="I1788" s="23"/>
      <c r="J1788" s="25"/>
      <c r="K1788" s="23"/>
      <c r="L1788" s="23"/>
      <c r="M1788" s="23"/>
      <c r="N1788" s="26"/>
      <c r="O1788" s="26"/>
      <c r="P1788" s="26"/>
      <c r="Q1788" s="26"/>
      <c r="R1788" s="26"/>
      <c r="S1788" s="26"/>
      <c r="T1788" s="26"/>
      <c r="U1788" s="26"/>
      <c r="V1788" s="26"/>
      <c r="W1788" s="27"/>
    </row>
    <row r="1789" spans="1:23" ht="15.75" customHeight="1" x14ac:dyDescent="0.25">
      <c r="A1789" s="23"/>
      <c r="B1789" s="23" t="str">
        <f t="shared" si="7"/>
        <v/>
      </c>
      <c r="C1789" s="23"/>
      <c r="D1789" s="23"/>
      <c r="E1789" s="23"/>
      <c r="F1789" s="24"/>
      <c r="G1789" s="23"/>
      <c r="H1789" s="23"/>
      <c r="I1789" s="23"/>
      <c r="J1789" s="25"/>
      <c r="K1789" s="23"/>
      <c r="L1789" s="23"/>
      <c r="M1789" s="23"/>
      <c r="N1789" s="26"/>
      <c r="O1789" s="26"/>
      <c r="P1789" s="26"/>
      <c r="Q1789" s="26"/>
      <c r="R1789" s="26"/>
      <c r="S1789" s="26"/>
      <c r="T1789" s="26"/>
      <c r="U1789" s="26"/>
      <c r="V1789" s="26"/>
      <c r="W1789" s="27"/>
    </row>
    <row r="1790" spans="1:23" ht="15.75" customHeight="1" x14ac:dyDescent="0.25">
      <c r="A1790" s="23"/>
      <c r="B1790" s="23" t="str">
        <f t="shared" si="7"/>
        <v/>
      </c>
      <c r="C1790" s="23"/>
      <c r="D1790" s="23"/>
      <c r="E1790" s="23"/>
      <c r="F1790" s="24"/>
      <c r="G1790" s="23"/>
      <c r="H1790" s="23"/>
      <c r="I1790" s="23"/>
      <c r="J1790" s="25"/>
      <c r="K1790" s="23"/>
      <c r="L1790" s="23"/>
      <c r="M1790" s="23"/>
      <c r="N1790" s="26"/>
      <c r="O1790" s="26"/>
      <c r="P1790" s="26"/>
      <c r="Q1790" s="26"/>
      <c r="R1790" s="26"/>
      <c r="S1790" s="26"/>
      <c r="T1790" s="26"/>
      <c r="U1790" s="26"/>
      <c r="V1790" s="26"/>
      <c r="W1790" s="27"/>
    </row>
    <row r="1791" spans="1:23" ht="15.75" customHeight="1" x14ac:dyDescent="0.25">
      <c r="A1791" s="23"/>
      <c r="B1791" s="23" t="str">
        <f t="shared" si="7"/>
        <v/>
      </c>
      <c r="C1791" s="23"/>
      <c r="D1791" s="23"/>
      <c r="E1791" s="23"/>
      <c r="F1791" s="24"/>
      <c r="G1791" s="23"/>
      <c r="H1791" s="23"/>
      <c r="I1791" s="23"/>
      <c r="J1791" s="25"/>
      <c r="K1791" s="23"/>
      <c r="L1791" s="23"/>
      <c r="M1791" s="23"/>
      <c r="N1791" s="26"/>
      <c r="O1791" s="26"/>
      <c r="P1791" s="26"/>
      <c r="Q1791" s="26"/>
      <c r="R1791" s="26"/>
      <c r="S1791" s="26"/>
      <c r="T1791" s="26"/>
      <c r="U1791" s="26"/>
      <c r="V1791" s="26"/>
      <c r="W1791" s="27"/>
    </row>
    <row r="1792" spans="1:23" ht="15.75" customHeight="1" x14ac:dyDescent="0.25">
      <c r="A1792" s="23"/>
      <c r="B1792" s="23" t="str">
        <f t="shared" si="7"/>
        <v/>
      </c>
      <c r="C1792" s="23"/>
      <c r="D1792" s="23"/>
      <c r="E1792" s="23"/>
      <c r="F1792" s="24"/>
      <c r="G1792" s="23"/>
      <c r="H1792" s="23"/>
      <c r="I1792" s="23"/>
      <c r="J1792" s="25"/>
      <c r="K1792" s="23"/>
      <c r="L1792" s="23"/>
      <c r="M1792" s="23"/>
      <c r="N1792" s="26"/>
      <c r="O1792" s="26"/>
      <c r="P1792" s="26"/>
      <c r="Q1792" s="26"/>
      <c r="R1792" s="26"/>
      <c r="S1792" s="26"/>
      <c r="T1792" s="26"/>
      <c r="U1792" s="26"/>
      <c r="V1792" s="26"/>
      <c r="W1792" s="27"/>
    </row>
    <row r="1793" spans="1:23" ht="15.75" customHeight="1" x14ac:dyDescent="0.25">
      <c r="A1793" s="23"/>
      <c r="B1793" s="23" t="str">
        <f t="shared" si="7"/>
        <v/>
      </c>
      <c r="C1793" s="23"/>
      <c r="D1793" s="23"/>
      <c r="E1793" s="23"/>
      <c r="F1793" s="24"/>
      <c r="G1793" s="23"/>
      <c r="H1793" s="23"/>
      <c r="I1793" s="23"/>
      <c r="J1793" s="25"/>
      <c r="K1793" s="23"/>
      <c r="L1793" s="23"/>
      <c r="M1793" s="23"/>
      <c r="N1793" s="26"/>
      <c r="O1793" s="26"/>
      <c r="P1793" s="26"/>
      <c r="Q1793" s="26"/>
      <c r="R1793" s="26"/>
      <c r="S1793" s="26"/>
      <c r="T1793" s="26"/>
      <c r="U1793" s="26"/>
      <c r="V1793" s="26"/>
      <c r="W1793" s="27"/>
    </row>
    <row r="1794" spans="1:23" ht="15.75" customHeight="1" x14ac:dyDescent="0.25">
      <c r="A1794" s="23"/>
      <c r="B1794" s="23" t="str">
        <f t="shared" si="7"/>
        <v/>
      </c>
      <c r="C1794" s="23"/>
      <c r="D1794" s="23"/>
      <c r="E1794" s="23"/>
      <c r="F1794" s="24"/>
      <c r="G1794" s="23"/>
      <c r="H1794" s="23"/>
      <c r="I1794" s="23"/>
      <c r="J1794" s="25"/>
      <c r="K1794" s="23"/>
      <c r="L1794" s="23"/>
      <c r="M1794" s="23"/>
      <c r="N1794" s="26"/>
      <c r="O1794" s="26"/>
      <c r="P1794" s="26"/>
      <c r="Q1794" s="26"/>
      <c r="R1794" s="26"/>
      <c r="S1794" s="26"/>
      <c r="T1794" s="26"/>
      <c r="U1794" s="26"/>
      <c r="V1794" s="26"/>
      <c r="W1794" s="27"/>
    </row>
    <row r="1795" spans="1:23" ht="15.75" customHeight="1" x14ac:dyDescent="0.25">
      <c r="A1795" s="23"/>
      <c r="B1795" s="23" t="str">
        <f t="shared" si="7"/>
        <v/>
      </c>
      <c r="C1795" s="23"/>
      <c r="D1795" s="23"/>
      <c r="E1795" s="23"/>
      <c r="F1795" s="24"/>
      <c r="G1795" s="23"/>
      <c r="H1795" s="23"/>
      <c r="I1795" s="23"/>
      <c r="J1795" s="25"/>
      <c r="K1795" s="23"/>
      <c r="L1795" s="23"/>
      <c r="M1795" s="23"/>
      <c r="N1795" s="26"/>
      <c r="O1795" s="26"/>
      <c r="P1795" s="26"/>
      <c r="Q1795" s="26"/>
      <c r="R1795" s="26"/>
      <c r="S1795" s="26"/>
      <c r="T1795" s="26"/>
      <c r="U1795" s="26"/>
      <c r="V1795" s="26"/>
      <c r="W1795" s="27"/>
    </row>
    <row r="1796" spans="1:23" ht="15.75" customHeight="1" x14ac:dyDescent="0.25">
      <c r="A1796" s="23"/>
      <c r="B1796" s="23" t="str">
        <f t="shared" si="7"/>
        <v/>
      </c>
      <c r="C1796" s="23"/>
      <c r="D1796" s="23"/>
      <c r="E1796" s="23"/>
      <c r="F1796" s="24"/>
      <c r="G1796" s="23"/>
      <c r="H1796" s="23"/>
      <c r="I1796" s="23"/>
      <c r="J1796" s="25"/>
      <c r="K1796" s="23"/>
      <c r="L1796" s="23"/>
      <c r="M1796" s="23"/>
      <c r="N1796" s="26"/>
      <c r="O1796" s="26"/>
      <c r="P1796" s="26"/>
      <c r="Q1796" s="26"/>
      <c r="R1796" s="26"/>
      <c r="S1796" s="26"/>
      <c r="T1796" s="26"/>
      <c r="U1796" s="26"/>
      <c r="V1796" s="26"/>
      <c r="W1796" s="27"/>
    </row>
    <row r="1797" spans="1:23" ht="15.75" customHeight="1" x14ac:dyDescent="0.25">
      <c r="A1797" s="23"/>
      <c r="B1797" s="23" t="str">
        <f t="shared" si="7"/>
        <v/>
      </c>
      <c r="C1797" s="23"/>
      <c r="D1797" s="23"/>
      <c r="E1797" s="23"/>
      <c r="F1797" s="24"/>
      <c r="G1797" s="23"/>
      <c r="H1797" s="23"/>
      <c r="I1797" s="23"/>
      <c r="J1797" s="25"/>
      <c r="K1797" s="23"/>
      <c r="L1797" s="23"/>
      <c r="M1797" s="23"/>
      <c r="N1797" s="26"/>
      <c r="O1797" s="26"/>
      <c r="P1797" s="26"/>
      <c r="Q1797" s="26"/>
      <c r="R1797" s="26"/>
      <c r="S1797" s="26"/>
      <c r="T1797" s="26"/>
      <c r="U1797" s="26"/>
      <c r="V1797" s="26"/>
      <c r="W1797" s="27"/>
    </row>
    <row r="1798" spans="1:23" ht="15.75" customHeight="1" x14ac:dyDescent="0.25">
      <c r="A1798" s="23"/>
      <c r="B1798" s="23" t="str">
        <f t="shared" si="7"/>
        <v/>
      </c>
      <c r="C1798" s="23"/>
      <c r="D1798" s="23"/>
      <c r="E1798" s="23"/>
      <c r="F1798" s="24"/>
      <c r="G1798" s="23"/>
      <c r="H1798" s="23"/>
      <c r="I1798" s="23"/>
      <c r="J1798" s="25"/>
      <c r="K1798" s="23"/>
      <c r="L1798" s="23"/>
      <c r="M1798" s="23"/>
      <c r="N1798" s="26"/>
      <c r="O1798" s="26"/>
      <c r="P1798" s="26"/>
      <c r="Q1798" s="26"/>
      <c r="R1798" s="26"/>
      <c r="S1798" s="26"/>
      <c r="T1798" s="26"/>
      <c r="U1798" s="26"/>
      <c r="V1798" s="26"/>
      <c r="W1798" s="27"/>
    </row>
    <row r="1799" spans="1:23" ht="15.75" customHeight="1" x14ac:dyDescent="0.25">
      <c r="A1799" s="23"/>
      <c r="B1799" s="23" t="str">
        <f t="shared" si="7"/>
        <v/>
      </c>
      <c r="C1799" s="23"/>
      <c r="D1799" s="23"/>
      <c r="E1799" s="23"/>
      <c r="F1799" s="24"/>
      <c r="G1799" s="23"/>
      <c r="H1799" s="23"/>
      <c r="I1799" s="23"/>
      <c r="J1799" s="25"/>
      <c r="K1799" s="23"/>
      <c r="L1799" s="23"/>
      <c r="M1799" s="23"/>
      <c r="N1799" s="26"/>
      <c r="O1799" s="26"/>
      <c r="P1799" s="26"/>
      <c r="Q1799" s="26"/>
      <c r="R1799" s="26"/>
      <c r="S1799" s="26"/>
      <c r="T1799" s="26"/>
      <c r="U1799" s="26"/>
      <c r="V1799" s="26"/>
      <c r="W1799" s="27"/>
    </row>
    <row r="1800" spans="1:23" ht="15.75" customHeight="1" x14ac:dyDescent="0.25">
      <c r="A1800" s="23"/>
      <c r="B1800" s="23" t="str">
        <f t="shared" si="7"/>
        <v/>
      </c>
      <c r="C1800" s="23"/>
      <c r="D1800" s="23"/>
      <c r="E1800" s="23"/>
      <c r="F1800" s="24"/>
      <c r="G1800" s="23"/>
      <c r="H1800" s="23"/>
      <c r="I1800" s="23"/>
      <c r="J1800" s="25"/>
      <c r="K1800" s="23"/>
      <c r="L1800" s="23"/>
      <c r="M1800" s="23"/>
      <c r="N1800" s="26"/>
      <c r="O1800" s="26"/>
      <c r="P1800" s="26"/>
      <c r="Q1800" s="26"/>
      <c r="R1800" s="26"/>
      <c r="S1800" s="26"/>
      <c r="T1800" s="26"/>
      <c r="U1800" s="26"/>
      <c r="V1800" s="26"/>
      <c r="W1800" s="27"/>
    </row>
    <row r="1801" spans="1:23" ht="15.75" customHeight="1" x14ac:dyDescent="0.25">
      <c r="A1801" s="23"/>
      <c r="B1801" s="23" t="str">
        <f t="shared" si="7"/>
        <v/>
      </c>
      <c r="C1801" s="23"/>
      <c r="D1801" s="23"/>
      <c r="E1801" s="23"/>
      <c r="F1801" s="24"/>
      <c r="G1801" s="23"/>
      <c r="H1801" s="23"/>
      <c r="I1801" s="23"/>
      <c r="J1801" s="25"/>
      <c r="K1801" s="23"/>
      <c r="L1801" s="23"/>
      <c r="M1801" s="23"/>
      <c r="N1801" s="26"/>
      <c r="O1801" s="26"/>
      <c r="P1801" s="26"/>
      <c r="Q1801" s="26"/>
      <c r="R1801" s="26"/>
      <c r="S1801" s="26"/>
      <c r="T1801" s="26"/>
      <c r="U1801" s="26"/>
      <c r="V1801" s="26"/>
      <c r="W1801" s="27"/>
    </row>
    <row r="1802" spans="1:23" ht="15.75" customHeight="1" x14ac:dyDescent="0.25">
      <c r="A1802" s="23"/>
      <c r="B1802" s="23" t="str">
        <f t="shared" si="7"/>
        <v/>
      </c>
      <c r="C1802" s="23"/>
      <c r="D1802" s="23"/>
      <c r="E1802" s="23"/>
      <c r="F1802" s="24"/>
      <c r="G1802" s="23"/>
      <c r="H1802" s="23"/>
      <c r="I1802" s="23"/>
      <c r="J1802" s="25"/>
      <c r="K1802" s="23"/>
      <c r="L1802" s="23"/>
      <c r="M1802" s="23"/>
      <c r="N1802" s="26"/>
      <c r="O1802" s="26"/>
      <c r="P1802" s="26"/>
      <c r="Q1802" s="26"/>
      <c r="R1802" s="26"/>
      <c r="S1802" s="26"/>
      <c r="T1802" s="26"/>
      <c r="U1802" s="26"/>
      <c r="V1802" s="26"/>
      <c r="W1802" s="27"/>
    </row>
    <row r="1803" spans="1:23" ht="15.75" customHeight="1" x14ac:dyDescent="0.25">
      <c r="A1803" s="23"/>
      <c r="B1803" s="23" t="str">
        <f t="shared" si="7"/>
        <v/>
      </c>
      <c r="C1803" s="23"/>
      <c r="D1803" s="23"/>
      <c r="E1803" s="23"/>
      <c r="F1803" s="24"/>
      <c r="G1803" s="23"/>
      <c r="H1803" s="23"/>
      <c r="I1803" s="23"/>
      <c r="J1803" s="25"/>
      <c r="K1803" s="23"/>
      <c r="L1803" s="23"/>
      <c r="M1803" s="23"/>
      <c r="N1803" s="26"/>
      <c r="O1803" s="26"/>
      <c r="P1803" s="26"/>
      <c r="Q1803" s="26"/>
      <c r="R1803" s="26"/>
      <c r="S1803" s="26"/>
      <c r="T1803" s="26"/>
      <c r="U1803" s="26"/>
      <c r="V1803" s="26"/>
      <c r="W1803" s="27"/>
    </row>
    <row r="1804" spans="1:23" ht="15.75" customHeight="1" x14ac:dyDescent="0.25">
      <c r="A1804" s="23"/>
      <c r="B1804" s="23" t="str">
        <f t="shared" si="7"/>
        <v/>
      </c>
      <c r="C1804" s="23"/>
      <c r="D1804" s="23"/>
      <c r="E1804" s="23"/>
      <c r="F1804" s="24"/>
      <c r="G1804" s="23"/>
      <c r="H1804" s="23"/>
      <c r="I1804" s="23"/>
      <c r="J1804" s="25"/>
      <c r="K1804" s="23"/>
      <c r="L1804" s="23"/>
      <c r="M1804" s="23"/>
      <c r="N1804" s="26"/>
      <c r="O1804" s="26"/>
      <c r="P1804" s="26"/>
      <c r="Q1804" s="26"/>
      <c r="R1804" s="26"/>
      <c r="S1804" s="26"/>
      <c r="T1804" s="26"/>
      <c r="U1804" s="26"/>
      <c r="V1804" s="26"/>
      <c r="W1804" s="27"/>
    </row>
    <row r="1805" spans="1:23" ht="15.75" customHeight="1" x14ac:dyDescent="0.25">
      <c r="A1805" s="23"/>
      <c r="B1805" s="23" t="str">
        <f t="shared" ref="B1805:B1999" si="8">MID(X1805,18,30)</f>
        <v/>
      </c>
      <c r="C1805" s="23"/>
      <c r="D1805" s="23"/>
      <c r="E1805" s="23"/>
      <c r="F1805" s="24"/>
      <c r="G1805" s="23"/>
      <c r="H1805" s="23"/>
      <c r="I1805" s="23"/>
      <c r="J1805" s="25"/>
      <c r="K1805" s="23"/>
      <c r="L1805" s="23"/>
      <c r="M1805" s="23"/>
      <c r="N1805" s="26"/>
      <c r="O1805" s="26"/>
      <c r="P1805" s="26"/>
      <c r="Q1805" s="26"/>
      <c r="R1805" s="26"/>
      <c r="S1805" s="26"/>
      <c r="T1805" s="26"/>
      <c r="U1805" s="26"/>
      <c r="V1805" s="26"/>
      <c r="W1805" s="27"/>
    </row>
    <row r="1806" spans="1:23" ht="15.75" customHeight="1" x14ac:dyDescent="0.25">
      <c r="A1806" s="23"/>
      <c r="B1806" s="23" t="str">
        <f t="shared" si="8"/>
        <v/>
      </c>
      <c r="C1806" s="23"/>
      <c r="D1806" s="23"/>
      <c r="E1806" s="23"/>
      <c r="F1806" s="24"/>
      <c r="G1806" s="23"/>
      <c r="H1806" s="23"/>
      <c r="I1806" s="23"/>
      <c r="J1806" s="25"/>
      <c r="K1806" s="23"/>
      <c r="L1806" s="23"/>
      <c r="M1806" s="23"/>
      <c r="N1806" s="26"/>
      <c r="O1806" s="26"/>
      <c r="P1806" s="26"/>
      <c r="Q1806" s="26"/>
      <c r="R1806" s="26"/>
      <c r="S1806" s="26"/>
      <c r="T1806" s="26"/>
      <c r="U1806" s="26"/>
      <c r="V1806" s="26"/>
      <c r="W1806" s="27"/>
    </row>
    <row r="1807" spans="1:23" ht="15.75" customHeight="1" x14ac:dyDescent="0.25">
      <c r="A1807" s="23"/>
      <c r="B1807" s="23" t="str">
        <f t="shared" si="8"/>
        <v/>
      </c>
      <c r="C1807" s="23"/>
      <c r="D1807" s="23"/>
      <c r="E1807" s="23"/>
      <c r="F1807" s="24"/>
      <c r="G1807" s="23"/>
      <c r="H1807" s="23"/>
      <c r="I1807" s="23"/>
      <c r="J1807" s="25"/>
      <c r="K1807" s="23"/>
      <c r="L1807" s="23"/>
      <c r="M1807" s="23"/>
      <c r="N1807" s="26"/>
      <c r="O1807" s="26"/>
      <c r="P1807" s="26"/>
      <c r="Q1807" s="26"/>
      <c r="R1807" s="26"/>
      <c r="S1807" s="26"/>
      <c r="T1807" s="26"/>
      <c r="U1807" s="26"/>
      <c r="V1807" s="26"/>
      <c r="W1807" s="27"/>
    </row>
    <row r="1808" spans="1:23" ht="15.75" customHeight="1" x14ac:dyDescent="0.25">
      <c r="A1808" s="23"/>
      <c r="B1808" s="23" t="str">
        <f t="shared" si="8"/>
        <v/>
      </c>
      <c r="C1808" s="23"/>
      <c r="D1808" s="23"/>
      <c r="E1808" s="23"/>
      <c r="F1808" s="24"/>
      <c r="G1808" s="23"/>
      <c r="H1808" s="23"/>
      <c r="I1808" s="23"/>
      <c r="J1808" s="25"/>
      <c r="K1808" s="23"/>
      <c r="L1808" s="23"/>
      <c r="M1808" s="23"/>
      <c r="N1808" s="26"/>
      <c r="O1808" s="26"/>
      <c r="P1808" s="26"/>
      <c r="Q1808" s="26"/>
      <c r="R1808" s="26"/>
      <c r="S1808" s="26"/>
      <c r="T1808" s="26"/>
      <c r="U1808" s="26"/>
      <c r="V1808" s="26"/>
      <c r="W1808" s="27"/>
    </row>
    <row r="1809" spans="1:23" ht="15.75" customHeight="1" x14ac:dyDescent="0.25">
      <c r="A1809" s="23"/>
      <c r="B1809" s="23" t="str">
        <f t="shared" si="8"/>
        <v/>
      </c>
      <c r="C1809" s="23"/>
      <c r="D1809" s="23"/>
      <c r="E1809" s="23"/>
      <c r="F1809" s="24"/>
      <c r="G1809" s="23"/>
      <c r="H1809" s="23"/>
      <c r="I1809" s="23"/>
      <c r="J1809" s="25"/>
      <c r="K1809" s="23"/>
      <c r="L1809" s="23"/>
      <c r="M1809" s="23"/>
      <c r="N1809" s="26"/>
      <c r="O1809" s="26"/>
      <c r="P1809" s="26"/>
      <c r="Q1809" s="26"/>
      <c r="R1809" s="26"/>
      <c r="S1809" s="26"/>
      <c r="T1809" s="26"/>
      <c r="U1809" s="26"/>
      <c r="V1809" s="26"/>
      <c r="W1809" s="27"/>
    </row>
    <row r="1810" spans="1:23" ht="15.75" customHeight="1" x14ac:dyDescent="0.25">
      <c r="A1810" s="23"/>
      <c r="B1810" s="23" t="str">
        <f t="shared" si="8"/>
        <v/>
      </c>
      <c r="C1810" s="23"/>
      <c r="D1810" s="23"/>
      <c r="E1810" s="23"/>
      <c r="F1810" s="24"/>
      <c r="G1810" s="23"/>
      <c r="H1810" s="23"/>
      <c r="I1810" s="23"/>
      <c r="J1810" s="25"/>
      <c r="K1810" s="23"/>
      <c r="L1810" s="23"/>
      <c r="M1810" s="23"/>
      <c r="N1810" s="26"/>
      <c r="O1810" s="26"/>
      <c r="P1810" s="26"/>
      <c r="Q1810" s="26"/>
      <c r="R1810" s="26"/>
      <c r="S1810" s="26"/>
      <c r="T1810" s="26"/>
      <c r="U1810" s="26"/>
      <c r="V1810" s="26"/>
      <c r="W1810" s="27"/>
    </row>
    <row r="1811" spans="1:23" ht="15.75" customHeight="1" x14ac:dyDescent="0.25">
      <c r="A1811" s="23"/>
      <c r="B1811" s="23" t="str">
        <f t="shared" si="8"/>
        <v/>
      </c>
      <c r="C1811" s="23"/>
      <c r="D1811" s="23"/>
      <c r="E1811" s="23"/>
      <c r="F1811" s="24"/>
      <c r="G1811" s="23"/>
      <c r="H1811" s="23"/>
      <c r="I1811" s="23"/>
      <c r="J1811" s="25"/>
      <c r="K1811" s="23"/>
      <c r="L1811" s="23"/>
      <c r="M1811" s="23"/>
      <c r="N1811" s="26"/>
      <c r="O1811" s="26"/>
      <c r="P1811" s="26"/>
      <c r="Q1811" s="26"/>
      <c r="R1811" s="26"/>
      <c r="S1811" s="26"/>
      <c r="T1811" s="26"/>
      <c r="U1811" s="26"/>
      <c r="V1811" s="26"/>
      <c r="W1811" s="27"/>
    </row>
    <row r="1812" spans="1:23" ht="15.75" customHeight="1" x14ac:dyDescent="0.25">
      <c r="A1812" s="23"/>
      <c r="B1812" s="23" t="str">
        <f t="shared" si="8"/>
        <v/>
      </c>
      <c r="C1812" s="23"/>
      <c r="D1812" s="23"/>
      <c r="E1812" s="23"/>
      <c r="F1812" s="24"/>
      <c r="G1812" s="23"/>
      <c r="H1812" s="23"/>
      <c r="I1812" s="23"/>
      <c r="J1812" s="25"/>
      <c r="K1812" s="23"/>
      <c r="L1812" s="23"/>
      <c r="M1812" s="23"/>
      <c r="N1812" s="26"/>
      <c r="O1812" s="26"/>
      <c r="P1812" s="26"/>
      <c r="Q1812" s="26"/>
      <c r="R1812" s="26"/>
      <c r="S1812" s="26"/>
      <c r="T1812" s="26"/>
      <c r="U1812" s="26"/>
      <c r="V1812" s="26"/>
      <c r="W1812" s="27"/>
    </row>
    <row r="1813" spans="1:23" ht="15.75" customHeight="1" x14ac:dyDescent="0.25">
      <c r="A1813" s="23"/>
      <c r="B1813" s="23" t="str">
        <f t="shared" si="8"/>
        <v/>
      </c>
      <c r="C1813" s="23"/>
      <c r="D1813" s="23"/>
      <c r="E1813" s="23"/>
      <c r="F1813" s="24"/>
      <c r="G1813" s="23"/>
      <c r="H1813" s="23"/>
      <c r="I1813" s="23"/>
      <c r="J1813" s="25"/>
      <c r="K1813" s="23"/>
      <c r="L1813" s="23"/>
      <c r="M1813" s="23"/>
      <c r="N1813" s="26"/>
      <c r="O1813" s="26"/>
      <c r="P1813" s="26"/>
      <c r="Q1813" s="26"/>
      <c r="R1813" s="26"/>
      <c r="S1813" s="26"/>
      <c r="T1813" s="26"/>
      <c r="U1813" s="26"/>
      <c r="V1813" s="26"/>
      <c r="W1813" s="27"/>
    </row>
    <row r="1814" spans="1:23" ht="15.75" customHeight="1" x14ac:dyDescent="0.25">
      <c r="A1814" s="23"/>
      <c r="B1814" s="23" t="str">
        <f t="shared" si="8"/>
        <v/>
      </c>
      <c r="C1814" s="23"/>
      <c r="D1814" s="23"/>
      <c r="E1814" s="23"/>
      <c r="F1814" s="24"/>
      <c r="G1814" s="23"/>
      <c r="H1814" s="23"/>
      <c r="I1814" s="23"/>
      <c r="J1814" s="25"/>
      <c r="K1814" s="23"/>
      <c r="L1814" s="23"/>
      <c r="M1814" s="23"/>
      <c r="N1814" s="26"/>
      <c r="O1814" s="26"/>
      <c r="P1814" s="26"/>
      <c r="Q1814" s="26"/>
      <c r="R1814" s="26"/>
      <c r="S1814" s="26"/>
      <c r="T1814" s="26"/>
      <c r="U1814" s="26"/>
      <c r="V1814" s="26"/>
      <c r="W1814" s="27"/>
    </row>
    <row r="1815" spans="1:23" ht="15.75" customHeight="1" x14ac:dyDescent="0.25">
      <c r="A1815" s="23"/>
      <c r="B1815" s="23" t="str">
        <f t="shared" si="8"/>
        <v/>
      </c>
      <c r="C1815" s="23"/>
      <c r="D1815" s="23"/>
      <c r="E1815" s="23"/>
      <c r="F1815" s="24"/>
      <c r="G1815" s="23"/>
      <c r="H1815" s="23"/>
      <c r="I1815" s="23"/>
      <c r="J1815" s="25"/>
      <c r="K1815" s="23"/>
      <c r="L1815" s="23"/>
      <c r="M1815" s="23"/>
      <c r="N1815" s="26"/>
      <c r="O1815" s="26"/>
      <c r="P1815" s="26"/>
      <c r="Q1815" s="26"/>
      <c r="R1815" s="26"/>
      <c r="S1815" s="26"/>
      <c r="T1815" s="26"/>
      <c r="U1815" s="26"/>
      <c r="V1815" s="26"/>
      <c r="W1815" s="27"/>
    </row>
    <row r="1816" spans="1:23" ht="15.75" customHeight="1" x14ac:dyDescent="0.25">
      <c r="A1816" s="23"/>
      <c r="B1816" s="23" t="str">
        <f t="shared" si="8"/>
        <v/>
      </c>
      <c r="C1816" s="23"/>
      <c r="D1816" s="23"/>
      <c r="E1816" s="23"/>
      <c r="F1816" s="24"/>
      <c r="G1816" s="23"/>
      <c r="H1816" s="23"/>
      <c r="I1816" s="23"/>
      <c r="J1816" s="25"/>
      <c r="K1816" s="23"/>
      <c r="L1816" s="23"/>
      <c r="M1816" s="23"/>
      <c r="N1816" s="26"/>
      <c r="O1816" s="26"/>
      <c r="P1816" s="26"/>
      <c r="Q1816" s="26"/>
      <c r="R1816" s="26"/>
      <c r="S1816" s="26"/>
      <c r="T1816" s="26"/>
      <c r="U1816" s="26"/>
      <c r="V1816" s="26"/>
      <c r="W1816" s="27"/>
    </row>
    <row r="1817" spans="1:23" ht="15.75" customHeight="1" x14ac:dyDescent="0.25">
      <c r="A1817" s="23"/>
      <c r="B1817" s="23" t="str">
        <f t="shared" si="8"/>
        <v/>
      </c>
      <c r="C1817" s="23"/>
      <c r="D1817" s="23"/>
      <c r="E1817" s="23"/>
      <c r="F1817" s="24"/>
      <c r="G1817" s="23"/>
      <c r="H1817" s="23"/>
      <c r="I1817" s="23"/>
      <c r="J1817" s="25"/>
      <c r="K1817" s="23"/>
      <c r="L1817" s="23"/>
      <c r="M1817" s="23"/>
      <c r="N1817" s="26"/>
      <c r="O1817" s="26"/>
      <c r="P1817" s="26"/>
      <c r="Q1817" s="26"/>
      <c r="R1817" s="26"/>
      <c r="S1817" s="26"/>
      <c r="T1817" s="26"/>
      <c r="U1817" s="26"/>
      <c r="V1817" s="26"/>
      <c r="W1817" s="27"/>
    </row>
    <row r="1818" spans="1:23" ht="15.75" customHeight="1" x14ac:dyDescent="0.25">
      <c r="A1818" s="23"/>
      <c r="B1818" s="23" t="str">
        <f t="shared" si="8"/>
        <v/>
      </c>
      <c r="C1818" s="23"/>
      <c r="D1818" s="23"/>
      <c r="E1818" s="23"/>
      <c r="F1818" s="24"/>
      <c r="G1818" s="23"/>
      <c r="H1818" s="23"/>
      <c r="I1818" s="23"/>
      <c r="J1818" s="25"/>
      <c r="K1818" s="23"/>
      <c r="L1818" s="23"/>
      <c r="M1818" s="23"/>
      <c r="N1818" s="26"/>
      <c r="O1818" s="26"/>
      <c r="P1818" s="26"/>
      <c r="Q1818" s="26"/>
      <c r="R1818" s="26"/>
      <c r="S1818" s="26"/>
      <c r="T1818" s="26"/>
      <c r="U1818" s="26"/>
      <c r="V1818" s="26"/>
      <c r="W1818" s="27"/>
    </row>
    <row r="1819" spans="1:23" ht="15.75" customHeight="1" x14ac:dyDescent="0.25">
      <c r="A1819" s="23"/>
      <c r="B1819" s="23" t="str">
        <f t="shared" si="8"/>
        <v/>
      </c>
      <c r="C1819" s="23"/>
      <c r="D1819" s="23"/>
      <c r="E1819" s="23"/>
      <c r="F1819" s="24"/>
      <c r="G1819" s="23"/>
      <c r="H1819" s="23"/>
      <c r="I1819" s="23"/>
      <c r="J1819" s="25"/>
      <c r="K1819" s="23"/>
      <c r="L1819" s="23"/>
      <c r="M1819" s="23"/>
      <c r="N1819" s="26"/>
      <c r="O1819" s="26"/>
      <c r="P1819" s="26"/>
      <c r="Q1819" s="26"/>
      <c r="R1819" s="26"/>
      <c r="S1819" s="26"/>
      <c r="T1819" s="26"/>
      <c r="U1819" s="26"/>
      <c r="V1819" s="26"/>
      <c r="W1819" s="27"/>
    </row>
    <row r="1820" spans="1:23" ht="15.75" customHeight="1" x14ac:dyDescent="0.25">
      <c r="A1820" s="23"/>
      <c r="B1820" s="23" t="str">
        <f t="shared" si="8"/>
        <v/>
      </c>
      <c r="C1820" s="23"/>
      <c r="D1820" s="23"/>
      <c r="E1820" s="23"/>
      <c r="F1820" s="24"/>
      <c r="G1820" s="23"/>
      <c r="H1820" s="23"/>
      <c r="I1820" s="23"/>
      <c r="J1820" s="25"/>
      <c r="K1820" s="23"/>
      <c r="L1820" s="23"/>
      <c r="M1820" s="23"/>
      <c r="N1820" s="26"/>
      <c r="O1820" s="26"/>
      <c r="P1820" s="26"/>
      <c r="Q1820" s="26"/>
      <c r="R1820" s="26"/>
      <c r="S1820" s="26"/>
      <c r="T1820" s="26"/>
      <c r="U1820" s="26"/>
      <c r="V1820" s="26"/>
      <c r="W1820" s="27"/>
    </row>
    <row r="1821" spans="1:23" ht="15.75" customHeight="1" x14ac:dyDescent="0.25">
      <c r="A1821" s="23"/>
      <c r="B1821" s="23" t="str">
        <f t="shared" si="8"/>
        <v/>
      </c>
      <c r="C1821" s="23"/>
      <c r="D1821" s="23"/>
      <c r="E1821" s="23"/>
      <c r="F1821" s="24"/>
      <c r="G1821" s="23"/>
      <c r="H1821" s="23"/>
      <c r="I1821" s="23"/>
      <c r="J1821" s="25"/>
      <c r="K1821" s="23"/>
      <c r="L1821" s="23"/>
      <c r="M1821" s="23"/>
      <c r="N1821" s="26"/>
      <c r="O1821" s="26"/>
      <c r="P1821" s="26"/>
      <c r="Q1821" s="26"/>
      <c r="R1821" s="26"/>
      <c r="S1821" s="26"/>
      <c r="T1821" s="26"/>
      <c r="U1821" s="26"/>
      <c r="V1821" s="26"/>
      <c r="W1821" s="27"/>
    </row>
    <row r="1822" spans="1:23" ht="15.75" customHeight="1" x14ac:dyDescent="0.25">
      <c r="A1822" s="23"/>
      <c r="B1822" s="23" t="str">
        <f t="shared" si="8"/>
        <v/>
      </c>
      <c r="C1822" s="23"/>
      <c r="D1822" s="23"/>
      <c r="E1822" s="23"/>
      <c r="F1822" s="24"/>
      <c r="G1822" s="23"/>
      <c r="H1822" s="23"/>
      <c r="I1822" s="23"/>
      <c r="J1822" s="25"/>
      <c r="K1822" s="23"/>
      <c r="L1822" s="23"/>
      <c r="M1822" s="23"/>
      <c r="N1822" s="26"/>
      <c r="O1822" s="26"/>
      <c r="P1822" s="26"/>
      <c r="Q1822" s="26"/>
      <c r="R1822" s="26"/>
      <c r="S1822" s="26"/>
      <c r="T1822" s="26"/>
      <c r="U1822" s="26"/>
      <c r="V1822" s="26"/>
      <c r="W1822" s="27"/>
    </row>
    <row r="1823" spans="1:23" ht="15.75" customHeight="1" x14ac:dyDescent="0.25">
      <c r="A1823" s="23"/>
      <c r="B1823" s="23" t="str">
        <f t="shared" si="8"/>
        <v/>
      </c>
      <c r="C1823" s="23"/>
      <c r="D1823" s="23"/>
      <c r="E1823" s="23"/>
      <c r="F1823" s="24"/>
      <c r="G1823" s="23"/>
      <c r="H1823" s="23"/>
      <c r="I1823" s="23"/>
      <c r="J1823" s="25"/>
      <c r="K1823" s="23"/>
      <c r="L1823" s="23"/>
      <c r="M1823" s="23"/>
      <c r="N1823" s="26"/>
      <c r="O1823" s="26"/>
      <c r="P1823" s="26"/>
      <c r="Q1823" s="26"/>
      <c r="R1823" s="26"/>
      <c r="S1823" s="26"/>
      <c r="T1823" s="26"/>
      <c r="U1823" s="26"/>
      <c r="V1823" s="26"/>
      <c r="W1823" s="27"/>
    </row>
    <row r="1824" spans="1:23" ht="15.75" customHeight="1" x14ac:dyDescent="0.25">
      <c r="A1824" s="23"/>
      <c r="B1824" s="23" t="str">
        <f t="shared" si="8"/>
        <v/>
      </c>
      <c r="C1824" s="23"/>
      <c r="D1824" s="23"/>
      <c r="E1824" s="23"/>
      <c r="F1824" s="24"/>
      <c r="G1824" s="23"/>
      <c r="H1824" s="23"/>
      <c r="I1824" s="23"/>
      <c r="J1824" s="25"/>
      <c r="K1824" s="23"/>
      <c r="L1824" s="23"/>
      <c r="M1824" s="23"/>
      <c r="N1824" s="26"/>
      <c r="O1824" s="26"/>
      <c r="P1824" s="26"/>
      <c r="Q1824" s="26"/>
      <c r="R1824" s="26"/>
      <c r="S1824" s="26"/>
      <c r="T1824" s="26"/>
      <c r="U1824" s="26"/>
      <c r="V1824" s="26"/>
      <c r="W1824" s="27"/>
    </row>
    <row r="1825" spans="1:23" ht="15.75" customHeight="1" x14ac:dyDescent="0.25">
      <c r="A1825" s="23"/>
      <c r="B1825" s="23" t="str">
        <f t="shared" si="8"/>
        <v/>
      </c>
      <c r="C1825" s="23"/>
      <c r="D1825" s="23"/>
      <c r="E1825" s="23"/>
      <c r="F1825" s="24"/>
      <c r="G1825" s="23"/>
      <c r="H1825" s="23"/>
      <c r="I1825" s="23"/>
      <c r="J1825" s="25"/>
      <c r="K1825" s="23"/>
      <c r="L1825" s="23"/>
      <c r="M1825" s="23"/>
      <c r="N1825" s="26"/>
      <c r="O1825" s="26"/>
      <c r="P1825" s="26"/>
      <c r="Q1825" s="26"/>
      <c r="R1825" s="26"/>
      <c r="S1825" s="26"/>
      <c r="T1825" s="26"/>
      <c r="U1825" s="26"/>
      <c r="V1825" s="26"/>
      <c r="W1825" s="27"/>
    </row>
    <row r="1826" spans="1:23" ht="15.75" customHeight="1" x14ac:dyDescent="0.25">
      <c r="A1826" s="23"/>
      <c r="B1826" s="23" t="str">
        <f t="shared" si="8"/>
        <v/>
      </c>
      <c r="C1826" s="23"/>
      <c r="D1826" s="23"/>
      <c r="E1826" s="23"/>
      <c r="F1826" s="24"/>
      <c r="G1826" s="23"/>
      <c r="H1826" s="23"/>
      <c r="I1826" s="23"/>
      <c r="J1826" s="25"/>
      <c r="K1826" s="23"/>
      <c r="L1826" s="23"/>
      <c r="M1826" s="23"/>
      <c r="N1826" s="26"/>
      <c r="O1826" s="26"/>
      <c r="P1826" s="26"/>
      <c r="Q1826" s="26"/>
      <c r="R1826" s="26"/>
      <c r="S1826" s="26"/>
      <c r="T1826" s="26"/>
      <c r="U1826" s="26"/>
      <c r="V1826" s="26"/>
      <c r="W1826" s="27"/>
    </row>
    <row r="1827" spans="1:23" ht="15.75" customHeight="1" x14ac:dyDescent="0.25">
      <c r="A1827" s="23"/>
      <c r="B1827" s="23" t="str">
        <f t="shared" si="8"/>
        <v/>
      </c>
      <c r="C1827" s="23"/>
      <c r="D1827" s="23"/>
      <c r="E1827" s="23"/>
      <c r="F1827" s="24"/>
      <c r="G1827" s="23"/>
      <c r="H1827" s="23"/>
      <c r="I1827" s="23"/>
      <c r="J1827" s="25"/>
      <c r="K1827" s="23"/>
      <c r="L1827" s="23"/>
      <c r="M1827" s="23"/>
      <c r="N1827" s="26"/>
      <c r="O1827" s="26"/>
      <c r="P1827" s="26"/>
      <c r="Q1827" s="26"/>
      <c r="R1827" s="26"/>
      <c r="S1827" s="26"/>
      <c r="T1827" s="26"/>
      <c r="U1827" s="26"/>
      <c r="V1827" s="26"/>
      <c r="W1827" s="27"/>
    </row>
    <row r="1828" spans="1:23" ht="15.75" customHeight="1" x14ac:dyDescent="0.25">
      <c r="A1828" s="23"/>
      <c r="B1828" s="23" t="str">
        <f t="shared" si="8"/>
        <v/>
      </c>
      <c r="C1828" s="23"/>
      <c r="D1828" s="23"/>
      <c r="E1828" s="23"/>
      <c r="F1828" s="24"/>
      <c r="G1828" s="23"/>
      <c r="H1828" s="23"/>
      <c r="I1828" s="23"/>
      <c r="J1828" s="25"/>
      <c r="K1828" s="23"/>
      <c r="L1828" s="23"/>
      <c r="M1828" s="23"/>
      <c r="N1828" s="26"/>
      <c r="O1828" s="26"/>
      <c r="P1828" s="26"/>
      <c r="Q1828" s="26"/>
      <c r="R1828" s="26"/>
      <c r="S1828" s="26"/>
      <c r="T1828" s="26"/>
      <c r="U1828" s="26"/>
      <c r="V1828" s="26"/>
      <c r="W1828" s="27"/>
    </row>
    <row r="1829" spans="1:23" ht="15.75" customHeight="1" x14ac:dyDescent="0.25">
      <c r="A1829" s="23"/>
      <c r="B1829" s="23" t="str">
        <f t="shared" si="8"/>
        <v/>
      </c>
      <c r="C1829" s="23"/>
      <c r="D1829" s="23"/>
      <c r="E1829" s="23"/>
      <c r="F1829" s="24"/>
      <c r="G1829" s="23"/>
      <c r="H1829" s="23"/>
      <c r="I1829" s="23"/>
      <c r="J1829" s="25"/>
      <c r="K1829" s="23"/>
      <c r="L1829" s="23"/>
      <c r="M1829" s="23"/>
      <c r="N1829" s="26"/>
      <c r="O1829" s="26"/>
      <c r="P1829" s="26"/>
      <c r="Q1829" s="26"/>
      <c r="R1829" s="26"/>
      <c r="S1829" s="26"/>
      <c r="T1829" s="26"/>
      <c r="U1829" s="26"/>
      <c r="V1829" s="26"/>
      <c r="W1829" s="27"/>
    </row>
    <row r="1830" spans="1:23" ht="15.75" customHeight="1" x14ac:dyDescent="0.25">
      <c r="A1830" s="23"/>
      <c r="B1830" s="23" t="str">
        <f t="shared" si="8"/>
        <v/>
      </c>
      <c r="C1830" s="23"/>
      <c r="D1830" s="23"/>
      <c r="E1830" s="23"/>
      <c r="F1830" s="24"/>
      <c r="G1830" s="23"/>
      <c r="H1830" s="23"/>
      <c r="I1830" s="23"/>
      <c r="J1830" s="25"/>
      <c r="K1830" s="23"/>
      <c r="L1830" s="23"/>
      <c r="M1830" s="23"/>
      <c r="N1830" s="26"/>
      <c r="O1830" s="26"/>
      <c r="P1830" s="26"/>
      <c r="Q1830" s="26"/>
      <c r="R1830" s="26"/>
      <c r="S1830" s="26"/>
      <c r="T1830" s="26"/>
      <c r="U1830" s="26"/>
      <c r="V1830" s="26"/>
      <c r="W1830" s="27"/>
    </row>
    <row r="1831" spans="1:23" ht="15.75" customHeight="1" x14ac:dyDescent="0.25">
      <c r="A1831" s="23"/>
      <c r="B1831" s="23" t="str">
        <f t="shared" si="8"/>
        <v/>
      </c>
      <c r="C1831" s="23"/>
      <c r="D1831" s="23"/>
      <c r="E1831" s="23"/>
      <c r="F1831" s="24"/>
      <c r="G1831" s="23"/>
      <c r="H1831" s="23"/>
      <c r="I1831" s="23"/>
      <c r="J1831" s="25"/>
      <c r="K1831" s="23"/>
      <c r="L1831" s="23"/>
      <c r="M1831" s="23"/>
      <c r="N1831" s="26"/>
      <c r="O1831" s="26"/>
      <c r="P1831" s="26"/>
      <c r="Q1831" s="26"/>
      <c r="R1831" s="26"/>
      <c r="S1831" s="26"/>
      <c r="T1831" s="26"/>
      <c r="U1831" s="26"/>
      <c r="V1831" s="26"/>
      <c r="W1831" s="27"/>
    </row>
    <row r="1832" spans="1:23" ht="15.75" customHeight="1" x14ac:dyDescent="0.25">
      <c r="A1832" s="23"/>
      <c r="B1832" s="23" t="str">
        <f t="shared" si="8"/>
        <v/>
      </c>
      <c r="C1832" s="23"/>
      <c r="D1832" s="23"/>
      <c r="E1832" s="23"/>
      <c r="F1832" s="24"/>
      <c r="G1832" s="23"/>
      <c r="H1832" s="23"/>
      <c r="I1832" s="23"/>
      <c r="J1832" s="25"/>
      <c r="K1832" s="23"/>
      <c r="L1832" s="23"/>
      <c r="M1832" s="23"/>
      <c r="N1832" s="26"/>
      <c r="O1832" s="26"/>
      <c r="P1832" s="26"/>
      <c r="Q1832" s="26"/>
      <c r="R1832" s="26"/>
      <c r="S1832" s="26"/>
      <c r="T1832" s="26"/>
      <c r="U1832" s="26"/>
      <c r="V1832" s="26"/>
      <c r="W1832" s="27"/>
    </row>
    <row r="1833" spans="1:23" ht="15.75" customHeight="1" x14ac:dyDescent="0.25">
      <c r="A1833" s="23"/>
      <c r="B1833" s="23" t="str">
        <f t="shared" si="8"/>
        <v/>
      </c>
      <c r="C1833" s="23"/>
      <c r="D1833" s="23"/>
      <c r="E1833" s="23"/>
      <c r="F1833" s="24"/>
      <c r="G1833" s="23"/>
      <c r="H1833" s="23"/>
      <c r="I1833" s="23"/>
      <c r="J1833" s="25"/>
      <c r="K1833" s="23"/>
      <c r="L1833" s="23"/>
      <c r="M1833" s="23"/>
      <c r="N1833" s="26"/>
      <c r="O1833" s="26"/>
      <c r="P1833" s="26"/>
      <c r="Q1833" s="26"/>
      <c r="R1833" s="26"/>
      <c r="S1833" s="26"/>
      <c r="T1833" s="26"/>
      <c r="U1833" s="26"/>
      <c r="V1833" s="26"/>
      <c r="W1833" s="27"/>
    </row>
    <row r="1834" spans="1:23" ht="15.75" customHeight="1" x14ac:dyDescent="0.25">
      <c r="A1834" s="23"/>
      <c r="B1834" s="23" t="str">
        <f t="shared" si="8"/>
        <v/>
      </c>
      <c r="C1834" s="23"/>
      <c r="D1834" s="23"/>
      <c r="E1834" s="23"/>
      <c r="F1834" s="24"/>
      <c r="G1834" s="23"/>
      <c r="H1834" s="23"/>
      <c r="I1834" s="23"/>
      <c r="J1834" s="25"/>
      <c r="K1834" s="23"/>
      <c r="L1834" s="23"/>
      <c r="M1834" s="23"/>
      <c r="N1834" s="26"/>
      <c r="O1834" s="26"/>
      <c r="P1834" s="26"/>
      <c r="Q1834" s="26"/>
      <c r="R1834" s="26"/>
      <c r="S1834" s="26"/>
      <c r="T1834" s="26"/>
      <c r="U1834" s="26"/>
      <c r="V1834" s="26"/>
      <c r="W1834" s="27"/>
    </row>
    <row r="1835" spans="1:23" ht="15.75" customHeight="1" x14ac:dyDescent="0.25">
      <c r="A1835" s="23"/>
      <c r="B1835" s="23" t="str">
        <f t="shared" si="8"/>
        <v/>
      </c>
      <c r="C1835" s="23"/>
      <c r="D1835" s="23"/>
      <c r="E1835" s="23"/>
      <c r="F1835" s="24"/>
      <c r="G1835" s="23"/>
      <c r="H1835" s="23"/>
      <c r="I1835" s="23"/>
      <c r="J1835" s="25"/>
      <c r="K1835" s="23"/>
      <c r="L1835" s="23"/>
      <c r="M1835" s="23"/>
      <c r="N1835" s="26"/>
      <c r="O1835" s="26"/>
      <c r="P1835" s="26"/>
      <c r="Q1835" s="26"/>
      <c r="R1835" s="26"/>
      <c r="S1835" s="26"/>
      <c r="T1835" s="26"/>
      <c r="U1835" s="26"/>
      <c r="V1835" s="26"/>
      <c r="W1835" s="27"/>
    </row>
    <row r="1836" spans="1:23" ht="15.75" customHeight="1" x14ac:dyDescent="0.25">
      <c r="A1836" s="23"/>
      <c r="B1836" s="23" t="str">
        <f t="shared" si="8"/>
        <v/>
      </c>
      <c r="C1836" s="23"/>
      <c r="D1836" s="23"/>
      <c r="E1836" s="23"/>
      <c r="F1836" s="24"/>
      <c r="G1836" s="23"/>
      <c r="H1836" s="23"/>
      <c r="I1836" s="23"/>
      <c r="J1836" s="25"/>
      <c r="K1836" s="23"/>
      <c r="L1836" s="23"/>
      <c r="M1836" s="23"/>
      <c r="N1836" s="26"/>
      <c r="O1836" s="26"/>
      <c r="P1836" s="26"/>
      <c r="Q1836" s="26"/>
      <c r="R1836" s="26"/>
      <c r="S1836" s="26"/>
      <c r="T1836" s="26"/>
      <c r="U1836" s="26"/>
      <c r="V1836" s="26"/>
      <c r="W1836" s="27"/>
    </row>
    <row r="1837" spans="1:23" ht="15.75" customHeight="1" x14ac:dyDescent="0.25">
      <c r="A1837" s="23"/>
      <c r="B1837" s="23" t="str">
        <f t="shared" si="8"/>
        <v/>
      </c>
      <c r="C1837" s="23"/>
      <c r="D1837" s="23"/>
      <c r="E1837" s="23"/>
      <c r="F1837" s="24"/>
      <c r="G1837" s="23"/>
      <c r="H1837" s="23"/>
      <c r="I1837" s="23"/>
      <c r="J1837" s="25"/>
      <c r="K1837" s="23"/>
      <c r="L1837" s="23"/>
      <c r="M1837" s="23"/>
      <c r="N1837" s="26"/>
      <c r="O1837" s="26"/>
      <c r="P1837" s="26"/>
      <c r="Q1837" s="26"/>
      <c r="R1837" s="26"/>
      <c r="S1837" s="26"/>
      <c r="T1837" s="26"/>
      <c r="U1837" s="26"/>
      <c r="V1837" s="26"/>
      <c r="W1837" s="27"/>
    </row>
    <row r="1838" spans="1:23" ht="15.75" customHeight="1" x14ac:dyDescent="0.25">
      <c r="A1838" s="23"/>
      <c r="B1838" s="23" t="str">
        <f t="shared" si="8"/>
        <v/>
      </c>
      <c r="C1838" s="23"/>
      <c r="D1838" s="23"/>
      <c r="E1838" s="23"/>
      <c r="F1838" s="24"/>
      <c r="G1838" s="23"/>
      <c r="H1838" s="23"/>
      <c r="I1838" s="23"/>
      <c r="J1838" s="25"/>
      <c r="K1838" s="23"/>
      <c r="L1838" s="23"/>
      <c r="M1838" s="23"/>
      <c r="N1838" s="26"/>
      <c r="O1838" s="26"/>
      <c r="P1838" s="26"/>
      <c r="Q1838" s="26"/>
      <c r="R1838" s="26"/>
      <c r="S1838" s="26"/>
      <c r="T1838" s="26"/>
      <c r="U1838" s="26"/>
      <c r="V1838" s="26"/>
      <c r="W1838" s="27"/>
    </row>
    <row r="1839" spans="1:23" ht="15.75" customHeight="1" x14ac:dyDescent="0.25">
      <c r="A1839" s="23"/>
      <c r="B1839" s="23" t="str">
        <f t="shared" si="8"/>
        <v/>
      </c>
      <c r="C1839" s="23"/>
      <c r="D1839" s="23"/>
      <c r="E1839" s="23"/>
      <c r="F1839" s="24"/>
      <c r="G1839" s="23"/>
      <c r="H1839" s="23"/>
      <c r="I1839" s="23"/>
      <c r="J1839" s="25"/>
      <c r="K1839" s="23"/>
      <c r="L1839" s="23"/>
      <c r="M1839" s="23"/>
      <c r="N1839" s="26"/>
      <c r="O1839" s="26"/>
      <c r="P1839" s="26"/>
      <c r="Q1839" s="26"/>
      <c r="R1839" s="26"/>
      <c r="S1839" s="26"/>
      <c r="T1839" s="26"/>
      <c r="U1839" s="26"/>
      <c r="V1839" s="26"/>
      <c r="W1839" s="27"/>
    </row>
    <row r="1840" spans="1:23" ht="15.75" customHeight="1" x14ac:dyDescent="0.25">
      <c r="A1840" s="23"/>
      <c r="B1840" s="23" t="str">
        <f t="shared" si="8"/>
        <v/>
      </c>
      <c r="C1840" s="23"/>
      <c r="D1840" s="23"/>
      <c r="E1840" s="23"/>
      <c r="F1840" s="24"/>
      <c r="G1840" s="23"/>
      <c r="H1840" s="23"/>
      <c r="I1840" s="23"/>
      <c r="J1840" s="25"/>
      <c r="K1840" s="23"/>
      <c r="L1840" s="23"/>
      <c r="M1840" s="23"/>
      <c r="N1840" s="26"/>
      <c r="O1840" s="26"/>
      <c r="P1840" s="26"/>
      <c r="Q1840" s="26"/>
      <c r="R1840" s="26"/>
      <c r="S1840" s="26"/>
      <c r="T1840" s="26"/>
      <c r="U1840" s="26"/>
      <c r="V1840" s="26"/>
      <c r="W1840" s="27"/>
    </row>
    <row r="1841" spans="1:23" ht="15.75" customHeight="1" x14ac:dyDescent="0.25">
      <c r="A1841" s="23"/>
      <c r="B1841" s="23" t="str">
        <f t="shared" si="8"/>
        <v/>
      </c>
      <c r="C1841" s="23"/>
      <c r="D1841" s="23"/>
      <c r="E1841" s="23"/>
      <c r="F1841" s="24"/>
      <c r="G1841" s="23"/>
      <c r="H1841" s="23"/>
      <c r="I1841" s="23"/>
      <c r="J1841" s="25"/>
      <c r="K1841" s="23"/>
      <c r="L1841" s="23"/>
      <c r="M1841" s="23"/>
      <c r="N1841" s="26"/>
      <c r="O1841" s="26"/>
      <c r="P1841" s="26"/>
      <c r="Q1841" s="26"/>
      <c r="R1841" s="26"/>
      <c r="S1841" s="26"/>
      <c r="T1841" s="26"/>
      <c r="U1841" s="26"/>
      <c r="V1841" s="26"/>
      <c r="W1841" s="27"/>
    </row>
    <row r="1842" spans="1:23" ht="15.75" customHeight="1" x14ac:dyDescent="0.25">
      <c r="A1842" s="23"/>
      <c r="B1842" s="23" t="str">
        <f t="shared" si="8"/>
        <v/>
      </c>
      <c r="C1842" s="23"/>
      <c r="D1842" s="23"/>
      <c r="E1842" s="23"/>
      <c r="F1842" s="24"/>
      <c r="G1842" s="23"/>
      <c r="H1842" s="23"/>
      <c r="I1842" s="23"/>
      <c r="J1842" s="25"/>
      <c r="K1842" s="23"/>
      <c r="L1842" s="23"/>
      <c r="M1842" s="23"/>
      <c r="N1842" s="26"/>
      <c r="O1842" s="26"/>
      <c r="P1842" s="26"/>
      <c r="Q1842" s="26"/>
      <c r="R1842" s="26"/>
      <c r="S1842" s="26"/>
      <c r="T1842" s="26"/>
      <c r="U1842" s="26"/>
      <c r="V1842" s="26"/>
      <c r="W1842" s="27"/>
    </row>
    <row r="1843" spans="1:23" ht="15.75" customHeight="1" x14ac:dyDescent="0.25">
      <c r="A1843" s="23"/>
      <c r="B1843" s="23" t="str">
        <f t="shared" si="8"/>
        <v/>
      </c>
      <c r="C1843" s="23"/>
      <c r="D1843" s="23"/>
      <c r="E1843" s="23"/>
      <c r="F1843" s="24"/>
      <c r="G1843" s="23"/>
      <c r="H1843" s="23"/>
      <c r="I1843" s="23"/>
      <c r="J1843" s="25"/>
      <c r="K1843" s="23"/>
      <c r="L1843" s="23"/>
      <c r="M1843" s="23"/>
      <c r="N1843" s="26"/>
      <c r="O1843" s="26"/>
      <c r="P1843" s="26"/>
      <c r="Q1843" s="26"/>
      <c r="R1843" s="26"/>
      <c r="S1843" s="26"/>
      <c r="T1843" s="26"/>
      <c r="U1843" s="26"/>
      <c r="V1843" s="26"/>
      <c r="W1843" s="27"/>
    </row>
    <row r="1844" spans="1:23" ht="15.75" customHeight="1" x14ac:dyDescent="0.25">
      <c r="A1844" s="23"/>
      <c r="B1844" s="23" t="str">
        <f t="shared" si="8"/>
        <v/>
      </c>
      <c r="C1844" s="23"/>
      <c r="D1844" s="23"/>
      <c r="E1844" s="23"/>
      <c r="F1844" s="24"/>
      <c r="G1844" s="23"/>
      <c r="H1844" s="23"/>
      <c r="I1844" s="23"/>
      <c r="J1844" s="25"/>
      <c r="K1844" s="23"/>
      <c r="L1844" s="23"/>
      <c r="M1844" s="23"/>
      <c r="N1844" s="26"/>
      <c r="O1844" s="26"/>
      <c r="P1844" s="26"/>
      <c r="Q1844" s="26"/>
      <c r="R1844" s="26"/>
      <c r="S1844" s="26"/>
      <c r="T1844" s="26"/>
      <c r="U1844" s="26"/>
      <c r="V1844" s="26"/>
      <c r="W1844" s="27"/>
    </row>
    <row r="1845" spans="1:23" ht="15.75" customHeight="1" x14ac:dyDescent="0.25">
      <c r="A1845" s="23"/>
      <c r="B1845" s="23" t="str">
        <f t="shared" si="8"/>
        <v/>
      </c>
      <c r="C1845" s="23"/>
      <c r="D1845" s="23"/>
      <c r="E1845" s="23"/>
      <c r="F1845" s="24"/>
      <c r="G1845" s="23"/>
      <c r="H1845" s="23"/>
      <c r="I1845" s="23"/>
      <c r="J1845" s="25"/>
      <c r="K1845" s="23"/>
      <c r="L1845" s="23"/>
      <c r="M1845" s="23"/>
      <c r="N1845" s="26"/>
      <c r="O1845" s="26"/>
      <c r="P1845" s="26"/>
      <c r="Q1845" s="26"/>
      <c r="R1845" s="26"/>
      <c r="S1845" s="26"/>
      <c r="T1845" s="26"/>
      <c r="U1845" s="26"/>
      <c r="V1845" s="26"/>
      <c r="W1845" s="27"/>
    </row>
    <row r="1846" spans="1:23" ht="15.75" customHeight="1" x14ac:dyDescent="0.25">
      <c r="A1846" s="23"/>
      <c r="B1846" s="23" t="str">
        <f t="shared" si="8"/>
        <v/>
      </c>
      <c r="C1846" s="23"/>
      <c r="D1846" s="23"/>
      <c r="E1846" s="23"/>
      <c r="F1846" s="24"/>
      <c r="G1846" s="23"/>
      <c r="H1846" s="23"/>
      <c r="I1846" s="23"/>
      <c r="J1846" s="25"/>
      <c r="K1846" s="23"/>
      <c r="L1846" s="23"/>
      <c r="M1846" s="23"/>
      <c r="N1846" s="26"/>
      <c r="O1846" s="26"/>
      <c r="P1846" s="26"/>
      <c r="Q1846" s="26"/>
      <c r="R1846" s="26"/>
      <c r="S1846" s="26"/>
      <c r="T1846" s="26"/>
      <c r="U1846" s="26"/>
      <c r="V1846" s="26"/>
      <c r="W1846" s="27"/>
    </row>
    <row r="1847" spans="1:23" ht="15.75" customHeight="1" x14ac:dyDescent="0.25">
      <c r="A1847" s="23"/>
      <c r="B1847" s="23" t="str">
        <f t="shared" si="8"/>
        <v/>
      </c>
      <c r="C1847" s="23"/>
      <c r="D1847" s="23"/>
      <c r="E1847" s="23"/>
      <c r="F1847" s="24"/>
      <c r="G1847" s="23"/>
      <c r="H1847" s="23"/>
      <c r="I1847" s="23"/>
      <c r="J1847" s="25"/>
      <c r="K1847" s="23"/>
      <c r="L1847" s="23"/>
      <c r="M1847" s="23"/>
      <c r="N1847" s="26"/>
      <c r="O1847" s="26"/>
      <c r="P1847" s="26"/>
      <c r="Q1847" s="26"/>
      <c r="R1847" s="26"/>
      <c r="S1847" s="26"/>
      <c r="T1847" s="26"/>
      <c r="U1847" s="26"/>
      <c r="V1847" s="26"/>
      <c r="W1847" s="27"/>
    </row>
    <row r="1848" spans="1:23" ht="15.75" customHeight="1" x14ac:dyDescent="0.25">
      <c r="A1848" s="23"/>
      <c r="B1848" s="23" t="str">
        <f t="shared" si="8"/>
        <v/>
      </c>
      <c r="C1848" s="23"/>
      <c r="D1848" s="23"/>
      <c r="E1848" s="23"/>
      <c r="F1848" s="24"/>
      <c r="G1848" s="23"/>
      <c r="H1848" s="23"/>
      <c r="I1848" s="23"/>
      <c r="J1848" s="25"/>
      <c r="K1848" s="23"/>
      <c r="L1848" s="23"/>
      <c r="M1848" s="23"/>
      <c r="N1848" s="26"/>
      <c r="O1848" s="26"/>
      <c r="P1848" s="26"/>
      <c r="Q1848" s="26"/>
      <c r="R1848" s="26"/>
      <c r="S1848" s="26"/>
      <c r="T1848" s="26"/>
      <c r="U1848" s="26"/>
      <c r="V1848" s="26"/>
      <c r="W1848" s="27"/>
    </row>
    <row r="1849" spans="1:23" ht="15.75" customHeight="1" x14ac:dyDescent="0.25">
      <c r="A1849" s="23"/>
      <c r="B1849" s="23" t="str">
        <f t="shared" si="8"/>
        <v/>
      </c>
      <c r="C1849" s="23"/>
      <c r="D1849" s="23"/>
      <c r="E1849" s="23"/>
      <c r="F1849" s="24"/>
      <c r="G1849" s="23"/>
      <c r="H1849" s="23"/>
      <c r="I1849" s="23"/>
      <c r="J1849" s="25"/>
      <c r="K1849" s="23"/>
      <c r="L1849" s="23"/>
      <c r="M1849" s="23"/>
      <c r="N1849" s="26"/>
      <c r="O1849" s="26"/>
      <c r="P1849" s="26"/>
      <c r="Q1849" s="26"/>
      <c r="R1849" s="26"/>
      <c r="S1849" s="26"/>
      <c r="T1849" s="26"/>
      <c r="U1849" s="26"/>
      <c r="V1849" s="26"/>
      <c r="W1849" s="27"/>
    </row>
    <row r="1850" spans="1:23" ht="15.75" customHeight="1" x14ac:dyDescent="0.25">
      <c r="A1850" s="23"/>
      <c r="B1850" s="23" t="str">
        <f t="shared" si="8"/>
        <v/>
      </c>
      <c r="C1850" s="23"/>
      <c r="D1850" s="23"/>
      <c r="E1850" s="23"/>
      <c r="F1850" s="24"/>
      <c r="G1850" s="23"/>
      <c r="H1850" s="23"/>
      <c r="I1850" s="23"/>
      <c r="J1850" s="25"/>
      <c r="K1850" s="23"/>
      <c r="L1850" s="23"/>
      <c r="M1850" s="23"/>
      <c r="N1850" s="26"/>
      <c r="O1850" s="26"/>
      <c r="P1850" s="26"/>
      <c r="Q1850" s="26"/>
      <c r="R1850" s="26"/>
      <c r="S1850" s="26"/>
      <c r="T1850" s="26"/>
      <c r="U1850" s="26"/>
      <c r="V1850" s="26"/>
      <c r="W1850" s="27"/>
    </row>
    <row r="1851" spans="1:23" ht="15.75" customHeight="1" x14ac:dyDescent="0.25">
      <c r="A1851" s="23"/>
      <c r="B1851" s="23" t="str">
        <f t="shared" si="8"/>
        <v/>
      </c>
      <c r="C1851" s="23"/>
      <c r="D1851" s="23"/>
      <c r="E1851" s="23"/>
      <c r="F1851" s="24"/>
      <c r="G1851" s="23"/>
      <c r="H1851" s="23"/>
      <c r="I1851" s="23"/>
      <c r="J1851" s="25"/>
      <c r="K1851" s="23"/>
      <c r="L1851" s="23"/>
      <c r="M1851" s="23"/>
      <c r="N1851" s="26"/>
      <c r="O1851" s="26"/>
      <c r="P1851" s="26"/>
      <c r="Q1851" s="26"/>
      <c r="R1851" s="26"/>
      <c r="S1851" s="26"/>
      <c r="T1851" s="26"/>
      <c r="U1851" s="26"/>
      <c r="V1851" s="26"/>
      <c r="W1851" s="27"/>
    </row>
    <row r="1852" spans="1:23" ht="15.75" customHeight="1" x14ac:dyDescent="0.25">
      <c r="A1852" s="23"/>
      <c r="B1852" s="23" t="str">
        <f t="shared" si="8"/>
        <v/>
      </c>
      <c r="C1852" s="23"/>
      <c r="D1852" s="23"/>
      <c r="E1852" s="23"/>
      <c r="F1852" s="24"/>
      <c r="G1852" s="23"/>
      <c r="H1852" s="23"/>
      <c r="I1852" s="23"/>
      <c r="J1852" s="25"/>
      <c r="K1852" s="23"/>
      <c r="L1852" s="23"/>
      <c r="M1852" s="23"/>
      <c r="N1852" s="26"/>
      <c r="O1852" s="26"/>
      <c r="P1852" s="26"/>
      <c r="Q1852" s="26"/>
      <c r="R1852" s="26"/>
      <c r="S1852" s="26"/>
      <c r="T1852" s="26"/>
      <c r="U1852" s="26"/>
      <c r="V1852" s="26"/>
      <c r="W1852" s="27"/>
    </row>
    <row r="1853" spans="1:23" ht="15.75" customHeight="1" x14ac:dyDescent="0.25">
      <c r="A1853" s="23"/>
      <c r="B1853" s="23" t="str">
        <f t="shared" si="8"/>
        <v/>
      </c>
      <c r="C1853" s="23"/>
      <c r="D1853" s="23"/>
      <c r="E1853" s="23"/>
      <c r="F1853" s="24"/>
      <c r="G1853" s="23"/>
      <c r="H1853" s="23"/>
      <c r="I1853" s="23"/>
      <c r="J1853" s="25"/>
      <c r="K1853" s="23"/>
      <c r="L1853" s="23"/>
      <c r="M1853" s="23"/>
      <c r="N1853" s="26"/>
      <c r="O1853" s="26"/>
      <c r="P1853" s="26"/>
      <c r="Q1853" s="26"/>
      <c r="R1853" s="26"/>
      <c r="S1853" s="26"/>
      <c r="T1853" s="26"/>
      <c r="U1853" s="26"/>
      <c r="V1853" s="26"/>
      <c r="W1853" s="27"/>
    </row>
    <row r="1854" spans="1:23" ht="15.75" customHeight="1" x14ac:dyDescent="0.25">
      <c r="A1854" s="23"/>
      <c r="B1854" s="23" t="str">
        <f t="shared" si="8"/>
        <v/>
      </c>
      <c r="C1854" s="23"/>
      <c r="D1854" s="23"/>
      <c r="E1854" s="23"/>
      <c r="F1854" s="24"/>
      <c r="G1854" s="23"/>
      <c r="H1854" s="23"/>
      <c r="I1854" s="23"/>
      <c r="J1854" s="25"/>
      <c r="K1854" s="23"/>
      <c r="L1854" s="23"/>
      <c r="M1854" s="23"/>
      <c r="N1854" s="26"/>
      <c r="O1854" s="26"/>
      <c r="P1854" s="26"/>
      <c r="Q1854" s="26"/>
      <c r="R1854" s="26"/>
      <c r="S1854" s="26"/>
      <c r="T1854" s="26"/>
      <c r="U1854" s="26"/>
      <c r="V1854" s="26"/>
      <c r="W1854" s="27"/>
    </row>
    <row r="1855" spans="1:23" ht="15.75" customHeight="1" x14ac:dyDescent="0.25">
      <c r="A1855" s="23"/>
      <c r="B1855" s="23" t="str">
        <f t="shared" si="8"/>
        <v/>
      </c>
      <c r="C1855" s="23"/>
      <c r="D1855" s="23"/>
      <c r="E1855" s="23"/>
      <c r="F1855" s="24"/>
      <c r="G1855" s="23"/>
      <c r="H1855" s="23"/>
      <c r="I1855" s="23"/>
      <c r="J1855" s="25"/>
      <c r="K1855" s="23"/>
      <c r="L1855" s="23"/>
      <c r="M1855" s="23"/>
      <c r="N1855" s="26"/>
      <c r="O1855" s="26"/>
      <c r="P1855" s="26"/>
      <c r="Q1855" s="26"/>
      <c r="R1855" s="26"/>
      <c r="S1855" s="26"/>
      <c r="T1855" s="26"/>
      <c r="U1855" s="26"/>
      <c r="V1855" s="26"/>
      <c r="W1855" s="27"/>
    </row>
    <row r="1856" spans="1:23" ht="15.75" customHeight="1" x14ac:dyDescent="0.25">
      <c r="A1856" s="23"/>
      <c r="B1856" s="23" t="str">
        <f t="shared" si="8"/>
        <v/>
      </c>
      <c r="C1856" s="23"/>
      <c r="D1856" s="23"/>
      <c r="E1856" s="23"/>
      <c r="F1856" s="24"/>
      <c r="G1856" s="23"/>
      <c r="H1856" s="23"/>
      <c r="I1856" s="23"/>
      <c r="J1856" s="25"/>
      <c r="K1856" s="23"/>
      <c r="L1856" s="23"/>
      <c r="M1856" s="23"/>
      <c r="N1856" s="26"/>
      <c r="O1856" s="26"/>
      <c r="P1856" s="26"/>
      <c r="Q1856" s="26"/>
      <c r="R1856" s="26"/>
      <c r="S1856" s="26"/>
      <c r="T1856" s="26"/>
      <c r="U1856" s="26"/>
      <c r="V1856" s="26"/>
      <c r="W1856" s="27"/>
    </row>
    <row r="1857" spans="1:23" ht="15.75" customHeight="1" x14ac:dyDescent="0.25">
      <c r="A1857" s="23"/>
      <c r="B1857" s="23" t="str">
        <f t="shared" si="8"/>
        <v/>
      </c>
      <c r="C1857" s="23"/>
      <c r="D1857" s="23"/>
      <c r="E1857" s="23"/>
      <c r="F1857" s="24"/>
      <c r="G1857" s="23"/>
      <c r="H1857" s="23"/>
      <c r="I1857" s="23"/>
      <c r="J1857" s="25"/>
      <c r="K1857" s="23"/>
      <c r="L1857" s="23"/>
      <c r="M1857" s="23"/>
      <c r="N1857" s="26"/>
      <c r="O1857" s="26"/>
      <c r="P1857" s="26"/>
      <c r="Q1857" s="26"/>
      <c r="R1857" s="26"/>
      <c r="S1857" s="26"/>
      <c r="T1857" s="26"/>
      <c r="U1857" s="26"/>
      <c r="V1857" s="26"/>
      <c r="W1857" s="27"/>
    </row>
    <row r="1858" spans="1:23" ht="15.75" customHeight="1" x14ac:dyDescent="0.25">
      <c r="A1858" s="23"/>
      <c r="B1858" s="23" t="str">
        <f t="shared" si="8"/>
        <v/>
      </c>
      <c r="C1858" s="23"/>
      <c r="D1858" s="23"/>
      <c r="E1858" s="23"/>
      <c r="F1858" s="24"/>
      <c r="G1858" s="23"/>
      <c r="H1858" s="23"/>
      <c r="I1858" s="23"/>
      <c r="J1858" s="25"/>
      <c r="K1858" s="23"/>
      <c r="L1858" s="23"/>
      <c r="M1858" s="23"/>
      <c r="N1858" s="26"/>
      <c r="O1858" s="26"/>
      <c r="P1858" s="26"/>
      <c r="Q1858" s="26"/>
      <c r="R1858" s="26"/>
      <c r="S1858" s="26"/>
      <c r="T1858" s="26"/>
      <c r="U1858" s="26"/>
      <c r="V1858" s="26"/>
      <c r="W1858" s="27"/>
    </row>
    <row r="1859" spans="1:23" ht="15.75" customHeight="1" x14ac:dyDescent="0.25">
      <c r="A1859" s="23"/>
      <c r="B1859" s="23" t="str">
        <f t="shared" si="8"/>
        <v/>
      </c>
      <c r="C1859" s="23"/>
      <c r="D1859" s="23"/>
      <c r="E1859" s="23"/>
      <c r="F1859" s="24"/>
      <c r="G1859" s="23"/>
      <c r="H1859" s="23"/>
      <c r="I1859" s="23"/>
      <c r="J1859" s="25"/>
      <c r="K1859" s="23"/>
      <c r="L1859" s="23"/>
      <c r="M1859" s="23"/>
      <c r="N1859" s="26"/>
      <c r="O1859" s="26"/>
      <c r="P1859" s="26"/>
      <c r="Q1859" s="26"/>
      <c r="R1859" s="26"/>
      <c r="S1859" s="26"/>
      <c r="T1859" s="26"/>
      <c r="U1859" s="26"/>
      <c r="V1859" s="26"/>
      <c r="W1859" s="27"/>
    </row>
    <row r="1860" spans="1:23" ht="15.75" customHeight="1" x14ac:dyDescent="0.25">
      <c r="A1860" s="23"/>
      <c r="B1860" s="23" t="str">
        <f t="shared" si="8"/>
        <v/>
      </c>
      <c r="C1860" s="23"/>
      <c r="D1860" s="23"/>
      <c r="E1860" s="23"/>
      <c r="F1860" s="24"/>
      <c r="G1860" s="23"/>
      <c r="H1860" s="23"/>
      <c r="I1860" s="23"/>
      <c r="J1860" s="25"/>
      <c r="K1860" s="23"/>
      <c r="L1860" s="23"/>
      <c r="M1860" s="23"/>
      <c r="N1860" s="26"/>
      <c r="O1860" s="26"/>
      <c r="P1860" s="26"/>
      <c r="Q1860" s="26"/>
      <c r="R1860" s="26"/>
      <c r="S1860" s="26"/>
      <c r="T1860" s="26"/>
      <c r="U1860" s="26"/>
      <c r="V1860" s="26"/>
      <c r="W1860" s="27"/>
    </row>
    <row r="1861" spans="1:23" ht="15.75" customHeight="1" x14ac:dyDescent="0.25">
      <c r="A1861" s="23"/>
      <c r="B1861" s="23" t="str">
        <f t="shared" si="8"/>
        <v/>
      </c>
      <c r="C1861" s="23"/>
      <c r="D1861" s="23"/>
      <c r="E1861" s="23"/>
      <c r="F1861" s="24"/>
      <c r="G1861" s="23"/>
      <c r="H1861" s="23"/>
      <c r="I1861" s="23"/>
      <c r="J1861" s="25"/>
      <c r="K1861" s="23"/>
      <c r="L1861" s="23"/>
      <c r="M1861" s="23"/>
      <c r="N1861" s="26"/>
      <c r="O1861" s="26"/>
      <c r="P1861" s="26"/>
      <c r="Q1861" s="26"/>
      <c r="R1861" s="26"/>
      <c r="S1861" s="26"/>
      <c r="T1861" s="26"/>
      <c r="U1861" s="26"/>
      <c r="V1861" s="26"/>
      <c r="W1861" s="27"/>
    </row>
    <row r="1862" spans="1:23" ht="15.75" customHeight="1" x14ac:dyDescent="0.25">
      <c r="A1862" s="23"/>
      <c r="B1862" s="23" t="str">
        <f t="shared" si="8"/>
        <v/>
      </c>
      <c r="C1862" s="23"/>
      <c r="D1862" s="23"/>
      <c r="E1862" s="23"/>
      <c r="F1862" s="24"/>
      <c r="G1862" s="23"/>
      <c r="H1862" s="23"/>
      <c r="I1862" s="23"/>
      <c r="J1862" s="25"/>
      <c r="K1862" s="23"/>
      <c r="L1862" s="23"/>
      <c r="M1862" s="23"/>
      <c r="N1862" s="26"/>
      <c r="O1862" s="26"/>
      <c r="P1862" s="26"/>
      <c r="Q1862" s="26"/>
      <c r="R1862" s="26"/>
      <c r="S1862" s="26"/>
      <c r="T1862" s="26"/>
      <c r="U1862" s="26"/>
      <c r="V1862" s="26"/>
      <c r="W1862" s="27"/>
    </row>
    <row r="1863" spans="1:23" ht="15.75" customHeight="1" x14ac:dyDescent="0.25">
      <c r="A1863" s="23"/>
      <c r="B1863" s="23" t="str">
        <f t="shared" si="8"/>
        <v/>
      </c>
      <c r="C1863" s="23"/>
      <c r="D1863" s="23"/>
      <c r="E1863" s="23"/>
      <c r="F1863" s="24"/>
      <c r="G1863" s="23"/>
      <c r="H1863" s="23"/>
      <c r="I1863" s="23"/>
      <c r="J1863" s="25"/>
      <c r="K1863" s="23"/>
      <c r="L1863" s="23"/>
      <c r="M1863" s="23"/>
      <c r="N1863" s="26"/>
      <c r="O1863" s="26"/>
      <c r="P1863" s="26"/>
      <c r="Q1863" s="26"/>
      <c r="R1863" s="26"/>
      <c r="S1863" s="26"/>
      <c r="T1863" s="26"/>
      <c r="U1863" s="26"/>
      <c r="V1863" s="26"/>
      <c r="W1863" s="27"/>
    </row>
    <row r="1864" spans="1:23" ht="15.75" customHeight="1" x14ac:dyDescent="0.25">
      <c r="A1864" s="23"/>
      <c r="B1864" s="23" t="str">
        <f t="shared" si="8"/>
        <v/>
      </c>
      <c r="C1864" s="23"/>
      <c r="D1864" s="23"/>
      <c r="E1864" s="23"/>
      <c r="F1864" s="24"/>
      <c r="G1864" s="23"/>
      <c r="H1864" s="23"/>
      <c r="I1864" s="23"/>
      <c r="J1864" s="25"/>
      <c r="K1864" s="23"/>
      <c r="L1864" s="23"/>
      <c r="M1864" s="23"/>
      <c r="N1864" s="26"/>
      <c r="O1864" s="26"/>
      <c r="P1864" s="26"/>
      <c r="Q1864" s="26"/>
      <c r="R1864" s="26"/>
      <c r="S1864" s="26"/>
      <c r="T1864" s="26"/>
      <c r="U1864" s="26"/>
      <c r="V1864" s="26"/>
      <c r="W1864" s="27"/>
    </row>
    <row r="1865" spans="1:23" ht="15.75" customHeight="1" x14ac:dyDescent="0.25">
      <c r="A1865" s="23"/>
      <c r="B1865" s="23" t="str">
        <f t="shared" si="8"/>
        <v/>
      </c>
      <c r="C1865" s="23"/>
      <c r="D1865" s="23"/>
      <c r="E1865" s="23"/>
      <c r="F1865" s="24"/>
      <c r="G1865" s="23"/>
      <c r="H1865" s="23"/>
      <c r="I1865" s="23"/>
      <c r="J1865" s="25"/>
      <c r="K1865" s="23"/>
      <c r="L1865" s="23"/>
      <c r="M1865" s="23"/>
      <c r="N1865" s="26"/>
      <c r="O1865" s="26"/>
      <c r="P1865" s="26"/>
      <c r="Q1865" s="26"/>
      <c r="R1865" s="26"/>
      <c r="S1865" s="26"/>
      <c r="T1865" s="26"/>
      <c r="U1865" s="26"/>
      <c r="V1865" s="26"/>
      <c r="W1865" s="27"/>
    </row>
    <row r="1866" spans="1:23" ht="15.75" customHeight="1" x14ac:dyDescent="0.25">
      <c r="A1866" s="23"/>
      <c r="B1866" s="23" t="str">
        <f t="shared" si="8"/>
        <v/>
      </c>
      <c r="C1866" s="23"/>
      <c r="D1866" s="23"/>
      <c r="E1866" s="23"/>
      <c r="F1866" s="24"/>
      <c r="G1866" s="23"/>
      <c r="H1866" s="23"/>
      <c r="I1866" s="23"/>
      <c r="J1866" s="25"/>
      <c r="K1866" s="23"/>
      <c r="L1866" s="23"/>
      <c r="M1866" s="23"/>
      <c r="N1866" s="26"/>
      <c r="O1866" s="26"/>
      <c r="P1866" s="26"/>
      <c r="Q1866" s="26"/>
      <c r="R1866" s="26"/>
      <c r="S1866" s="26"/>
      <c r="T1866" s="26"/>
      <c r="U1866" s="26"/>
      <c r="V1866" s="26"/>
      <c r="W1866" s="27"/>
    </row>
    <row r="1867" spans="1:23" ht="15.75" customHeight="1" x14ac:dyDescent="0.25">
      <c r="A1867" s="23"/>
      <c r="B1867" s="23" t="str">
        <f t="shared" si="8"/>
        <v/>
      </c>
      <c r="C1867" s="23"/>
      <c r="D1867" s="23"/>
      <c r="E1867" s="23"/>
      <c r="F1867" s="24"/>
      <c r="G1867" s="23"/>
      <c r="H1867" s="23"/>
      <c r="I1867" s="23"/>
      <c r="J1867" s="25"/>
      <c r="K1867" s="23"/>
      <c r="L1867" s="23"/>
      <c r="M1867" s="23"/>
      <c r="N1867" s="26"/>
      <c r="O1867" s="26"/>
      <c r="P1867" s="26"/>
      <c r="Q1867" s="26"/>
      <c r="R1867" s="26"/>
      <c r="S1867" s="26"/>
      <c r="T1867" s="26"/>
      <c r="U1867" s="26"/>
      <c r="V1867" s="26"/>
      <c r="W1867" s="27"/>
    </row>
    <row r="1868" spans="1:23" ht="15.75" customHeight="1" x14ac:dyDescent="0.25">
      <c r="A1868" s="23"/>
      <c r="B1868" s="23" t="str">
        <f t="shared" si="8"/>
        <v/>
      </c>
      <c r="C1868" s="23"/>
      <c r="D1868" s="23"/>
      <c r="E1868" s="23"/>
      <c r="F1868" s="24"/>
      <c r="G1868" s="23"/>
      <c r="H1868" s="23"/>
      <c r="I1868" s="23"/>
      <c r="J1868" s="25"/>
      <c r="K1868" s="23"/>
      <c r="L1868" s="23"/>
      <c r="M1868" s="23"/>
      <c r="N1868" s="26"/>
      <c r="O1868" s="26"/>
      <c r="P1868" s="26"/>
      <c r="Q1868" s="26"/>
      <c r="R1868" s="26"/>
      <c r="S1868" s="26"/>
      <c r="T1868" s="26"/>
      <c r="U1868" s="26"/>
      <c r="V1868" s="26"/>
      <c r="W1868" s="27"/>
    </row>
    <row r="1869" spans="1:23" ht="15.75" customHeight="1" x14ac:dyDescent="0.25">
      <c r="A1869" s="23"/>
      <c r="B1869" s="23" t="str">
        <f t="shared" si="8"/>
        <v/>
      </c>
      <c r="C1869" s="23"/>
      <c r="D1869" s="23"/>
      <c r="E1869" s="23"/>
      <c r="F1869" s="24"/>
      <c r="G1869" s="23"/>
      <c r="H1869" s="23"/>
      <c r="I1869" s="23"/>
      <c r="J1869" s="25"/>
      <c r="K1869" s="23"/>
      <c r="L1869" s="23"/>
      <c r="M1869" s="23"/>
      <c r="N1869" s="26"/>
      <c r="O1869" s="26"/>
      <c r="P1869" s="26"/>
      <c r="Q1869" s="26"/>
      <c r="R1869" s="26"/>
      <c r="S1869" s="26"/>
      <c r="T1869" s="26"/>
      <c r="U1869" s="26"/>
      <c r="V1869" s="26"/>
      <c r="W1869" s="27"/>
    </row>
    <row r="1870" spans="1:23" ht="15.75" customHeight="1" x14ac:dyDescent="0.25">
      <c r="A1870" s="23"/>
      <c r="B1870" s="23" t="str">
        <f t="shared" si="8"/>
        <v/>
      </c>
      <c r="C1870" s="23"/>
      <c r="D1870" s="23"/>
      <c r="E1870" s="23"/>
      <c r="F1870" s="24"/>
      <c r="G1870" s="23"/>
      <c r="H1870" s="23"/>
      <c r="I1870" s="23"/>
      <c r="J1870" s="25"/>
      <c r="K1870" s="23"/>
      <c r="L1870" s="23"/>
      <c r="M1870" s="23"/>
      <c r="N1870" s="26"/>
      <c r="O1870" s="26"/>
      <c r="P1870" s="26"/>
      <c r="Q1870" s="26"/>
      <c r="R1870" s="26"/>
      <c r="S1870" s="26"/>
      <c r="T1870" s="26"/>
      <c r="U1870" s="26"/>
      <c r="V1870" s="26"/>
      <c r="W1870" s="27"/>
    </row>
    <row r="1871" spans="1:23" ht="15.75" customHeight="1" x14ac:dyDescent="0.25">
      <c r="A1871" s="23"/>
      <c r="B1871" s="23" t="str">
        <f t="shared" si="8"/>
        <v/>
      </c>
      <c r="C1871" s="23"/>
      <c r="D1871" s="23"/>
      <c r="E1871" s="23"/>
      <c r="F1871" s="24"/>
      <c r="G1871" s="23"/>
      <c r="H1871" s="23"/>
      <c r="I1871" s="23"/>
      <c r="J1871" s="25"/>
      <c r="K1871" s="23"/>
      <c r="L1871" s="23"/>
      <c r="M1871" s="23"/>
      <c r="N1871" s="26"/>
      <c r="O1871" s="26"/>
      <c r="P1871" s="26"/>
      <c r="Q1871" s="26"/>
      <c r="R1871" s="26"/>
      <c r="S1871" s="26"/>
      <c r="T1871" s="26"/>
      <c r="U1871" s="26"/>
      <c r="V1871" s="26"/>
      <c r="W1871" s="27"/>
    </row>
    <row r="1872" spans="1:23" ht="15.75" customHeight="1" x14ac:dyDescent="0.25">
      <c r="A1872" s="23"/>
      <c r="B1872" s="23" t="str">
        <f t="shared" si="8"/>
        <v/>
      </c>
      <c r="C1872" s="23"/>
      <c r="D1872" s="23"/>
      <c r="E1872" s="23"/>
      <c r="F1872" s="24"/>
      <c r="G1872" s="23"/>
      <c r="H1872" s="23"/>
      <c r="I1872" s="23"/>
      <c r="J1872" s="25"/>
      <c r="K1872" s="23"/>
      <c r="L1872" s="23"/>
      <c r="M1872" s="23"/>
      <c r="N1872" s="26"/>
      <c r="O1872" s="26"/>
      <c r="P1872" s="26"/>
      <c r="Q1872" s="26"/>
      <c r="R1872" s="26"/>
      <c r="S1872" s="26"/>
      <c r="T1872" s="26"/>
      <c r="U1872" s="26"/>
      <c r="V1872" s="26"/>
      <c r="W1872" s="27"/>
    </row>
    <row r="1873" spans="1:23" ht="15.75" customHeight="1" x14ac:dyDescent="0.25">
      <c r="A1873" s="23"/>
      <c r="B1873" s="23" t="str">
        <f t="shared" si="8"/>
        <v/>
      </c>
      <c r="C1873" s="23"/>
      <c r="D1873" s="23"/>
      <c r="E1873" s="23"/>
      <c r="F1873" s="24"/>
      <c r="G1873" s="23"/>
      <c r="H1873" s="23"/>
      <c r="I1873" s="23"/>
      <c r="J1873" s="25"/>
      <c r="K1873" s="23"/>
      <c r="L1873" s="23"/>
      <c r="M1873" s="23"/>
      <c r="N1873" s="26"/>
      <c r="O1873" s="26"/>
      <c r="P1873" s="26"/>
      <c r="Q1873" s="26"/>
      <c r="R1873" s="26"/>
      <c r="S1873" s="26"/>
      <c r="T1873" s="26"/>
      <c r="U1873" s="26"/>
      <c r="V1873" s="26"/>
      <c r="W1873" s="27"/>
    </row>
    <row r="1874" spans="1:23" ht="15.75" customHeight="1" x14ac:dyDescent="0.25">
      <c r="A1874" s="23"/>
      <c r="B1874" s="23" t="str">
        <f t="shared" si="8"/>
        <v/>
      </c>
      <c r="C1874" s="23"/>
      <c r="D1874" s="23"/>
      <c r="E1874" s="23"/>
      <c r="F1874" s="24"/>
      <c r="G1874" s="23"/>
      <c r="H1874" s="23"/>
      <c r="I1874" s="23"/>
      <c r="J1874" s="25"/>
      <c r="K1874" s="23"/>
      <c r="L1874" s="23"/>
      <c r="M1874" s="23"/>
      <c r="N1874" s="26"/>
      <c r="O1874" s="26"/>
      <c r="P1874" s="26"/>
      <c r="Q1874" s="26"/>
      <c r="R1874" s="26"/>
      <c r="S1874" s="26"/>
      <c r="T1874" s="26"/>
      <c r="U1874" s="26"/>
      <c r="V1874" s="26"/>
      <c r="W1874" s="27"/>
    </row>
    <row r="1875" spans="1:23" ht="15.75" customHeight="1" x14ac:dyDescent="0.25">
      <c r="A1875" s="23"/>
      <c r="B1875" s="23" t="str">
        <f t="shared" si="8"/>
        <v/>
      </c>
      <c r="C1875" s="23"/>
      <c r="D1875" s="23"/>
      <c r="E1875" s="23"/>
      <c r="F1875" s="24"/>
      <c r="G1875" s="23"/>
      <c r="H1875" s="23"/>
      <c r="I1875" s="23"/>
      <c r="J1875" s="25"/>
      <c r="K1875" s="23"/>
      <c r="L1875" s="23"/>
      <c r="M1875" s="23"/>
      <c r="N1875" s="26"/>
      <c r="O1875" s="26"/>
      <c r="P1875" s="26"/>
      <c r="Q1875" s="26"/>
      <c r="R1875" s="26"/>
      <c r="S1875" s="26"/>
      <c r="T1875" s="26"/>
      <c r="U1875" s="26"/>
      <c r="V1875" s="26"/>
      <c r="W1875" s="27"/>
    </row>
    <row r="1876" spans="1:23" ht="15.75" customHeight="1" x14ac:dyDescent="0.25">
      <c r="A1876" s="23"/>
      <c r="B1876" s="23" t="str">
        <f t="shared" si="8"/>
        <v/>
      </c>
      <c r="C1876" s="23"/>
      <c r="D1876" s="23"/>
      <c r="E1876" s="23"/>
      <c r="F1876" s="24"/>
      <c r="G1876" s="23"/>
      <c r="H1876" s="23"/>
      <c r="I1876" s="23"/>
      <c r="J1876" s="25"/>
      <c r="K1876" s="23"/>
      <c r="L1876" s="23"/>
      <c r="M1876" s="23"/>
      <c r="N1876" s="26"/>
      <c r="O1876" s="26"/>
      <c r="P1876" s="26"/>
      <c r="Q1876" s="26"/>
      <c r="R1876" s="26"/>
      <c r="S1876" s="26"/>
      <c r="T1876" s="26"/>
      <c r="U1876" s="26"/>
      <c r="V1876" s="26"/>
      <c r="W1876" s="27"/>
    </row>
    <row r="1877" spans="1:23" ht="15.75" customHeight="1" x14ac:dyDescent="0.25">
      <c r="A1877" s="23"/>
      <c r="B1877" s="23" t="str">
        <f t="shared" si="8"/>
        <v/>
      </c>
      <c r="C1877" s="23"/>
      <c r="D1877" s="23"/>
      <c r="E1877" s="23"/>
      <c r="F1877" s="24"/>
      <c r="G1877" s="23"/>
      <c r="H1877" s="23"/>
      <c r="I1877" s="23"/>
      <c r="J1877" s="25"/>
      <c r="K1877" s="23"/>
      <c r="L1877" s="23"/>
      <c r="M1877" s="23"/>
      <c r="N1877" s="26"/>
      <c r="O1877" s="26"/>
      <c r="P1877" s="26"/>
      <c r="Q1877" s="26"/>
      <c r="R1877" s="26"/>
      <c r="S1877" s="26"/>
      <c r="T1877" s="26"/>
      <c r="U1877" s="26"/>
      <c r="V1877" s="26"/>
      <c r="W1877" s="27"/>
    </row>
    <row r="1878" spans="1:23" ht="15.75" customHeight="1" x14ac:dyDescent="0.25">
      <c r="A1878" s="23"/>
      <c r="B1878" s="23" t="str">
        <f t="shared" si="8"/>
        <v/>
      </c>
      <c r="C1878" s="23"/>
      <c r="D1878" s="23"/>
      <c r="E1878" s="23"/>
      <c r="F1878" s="24"/>
      <c r="G1878" s="23"/>
      <c r="H1878" s="23"/>
      <c r="I1878" s="23"/>
      <c r="J1878" s="25"/>
      <c r="K1878" s="23"/>
      <c r="L1878" s="23"/>
      <c r="M1878" s="23"/>
      <c r="N1878" s="26"/>
      <c r="O1878" s="26"/>
      <c r="P1878" s="26"/>
      <c r="Q1878" s="26"/>
      <c r="R1878" s="26"/>
      <c r="S1878" s="26"/>
      <c r="T1878" s="26"/>
      <c r="U1878" s="26"/>
      <c r="V1878" s="26"/>
      <c r="W1878" s="27"/>
    </row>
    <row r="1879" spans="1:23" ht="15.75" customHeight="1" x14ac:dyDescent="0.25">
      <c r="A1879" s="23"/>
      <c r="B1879" s="23" t="str">
        <f t="shared" si="8"/>
        <v/>
      </c>
      <c r="C1879" s="23"/>
      <c r="D1879" s="23"/>
      <c r="E1879" s="23"/>
      <c r="F1879" s="24"/>
      <c r="G1879" s="23"/>
      <c r="H1879" s="23"/>
      <c r="I1879" s="23"/>
      <c r="J1879" s="25"/>
      <c r="K1879" s="23"/>
      <c r="L1879" s="23"/>
      <c r="M1879" s="23"/>
      <c r="N1879" s="26"/>
      <c r="O1879" s="26"/>
      <c r="P1879" s="26"/>
      <c r="Q1879" s="26"/>
      <c r="R1879" s="26"/>
      <c r="S1879" s="26"/>
      <c r="T1879" s="26"/>
      <c r="U1879" s="26"/>
      <c r="V1879" s="26"/>
      <c r="W1879" s="27"/>
    </row>
    <row r="1880" spans="1:23" ht="15.75" customHeight="1" x14ac:dyDescent="0.25">
      <c r="A1880" s="23"/>
      <c r="B1880" s="23" t="str">
        <f t="shared" si="8"/>
        <v/>
      </c>
      <c r="C1880" s="23"/>
      <c r="D1880" s="23"/>
      <c r="E1880" s="23"/>
      <c r="F1880" s="24"/>
      <c r="G1880" s="23"/>
      <c r="H1880" s="23"/>
      <c r="I1880" s="23"/>
      <c r="J1880" s="25"/>
      <c r="K1880" s="23"/>
      <c r="L1880" s="23"/>
      <c r="M1880" s="23"/>
      <c r="N1880" s="26"/>
      <c r="O1880" s="26"/>
      <c r="P1880" s="26"/>
      <c r="Q1880" s="26"/>
      <c r="R1880" s="26"/>
      <c r="S1880" s="26"/>
      <c r="T1880" s="26"/>
      <c r="U1880" s="26"/>
      <c r="V1880" s="26"/>
      <c r="W1880" s="27"/>
    </row>
    <row r="1881" spans="1:23" ht="15.75" customHeight="1" x14ac:dyDescent="0.25">
      <c r="A1881" s="23"/>
      <c r="B1881" s="23" t="str">
        <f t="shared" si="8"/>
        <v/>
      </c>
      <c r="C1881" s="23"/>
      <c r="D1881" s="23"/>
      <c r="E1881" s="23"/>
      <c r="F1881" s="24"/>
      <c r="G1881" s="23"/>
      <c r="H1881" s="23"/>
      <c r="I1881" s="23"/>
      <c r="J1881" s="25"/>
      <c r="K1881" s="23"/>
      <c r="L1881" s="23"/>
      <c r="M1881" s="23"/>
      <c r="N1881" s="26"/>
      <c r="O1881" s="26"/>
      <c r="P1881" s="26"/>
      <c r="Q1881" s="26"/>
      <c r="R1881" s="26"/>
      <c r="S1881" s="26"/>
      <c r="T1881" s="26"/>
      <c r="U1881" s="26"/>
      <c r="V1881" s="26"/>
      <c r="W1881" s="27"/>
    </row>
    <row r="1882" spans="1:23" ht="15.75" customHeight="1" x14ac:dyDescent="0.25">
      <c r="A1882" s="23"/>
      <c r="B1882" s="23" t="str">
        <f t="shared" si="8"/>
        <v/>
      </c>
      <c r="C1882" s="23"/>
      <c r="D1882" s="23"/>
      <c r="E1882" s="23"/>
      <c r="F1882" s="24"/>
      <c r="G1882" s="23"/>
      <c r="H1882" s="23"/>
      <c r="I1882" s="23"/>
      <c r="J1882" s="25"/>
      <c r="K1882" s="23"/>
      <c r="L1882" s="23"/>
      <c r="M1882" s="23"/>
      <c r="N1882" s="26"/>
      <c r="O1882" s="26"/>
      <c r="P1882" s="26"/>
      <c r="Q1882" s="26"/>
      <c r="R1882" s="26"/>
      <c r="S1882" s="26"/>
      <c r="T1882" s="26"/>
      <c r="U1882" s="26"/>
      <c r="V1882" s="26"/>
      <c r="W1882" s="27"/>
    </row>
    <row r="1883" spans="1:23" ht="15.75" customHeight="1" x14ac:dyDescent="0.25">
      <c r="A1883" s="23"/>
      <c r="B1883" s="23" t="str">
        <f t="shared" si="8"/>
        <v/>
      </c>
      <c r="C1883" s="23"/>
      <c r="D1883" s="23"/>
      <c r="E1883" s="23"/>
      <c r="F1883" s="24"/>
      <c r="G1883" s="23"/>
      <c r="H1883" s="23"/>
      <c r="I1883" s="23"/>
      <c r="J1883" s="25"/>
      <c r="K1883" s="23"/>
      <c r="L1883" s="23"/>
      <c r="M1883" s="23"/>
      <c r="N1883" s="26"/>
      <c r="O1883" s="26"/>
      <c r="P1883" s="26"/>
      <c r="Q1883" s="26"/>
      <c r="R1883" s="26"/>
      <c r="S1883" s="26"/>
      <c r="T1883" s="26"/>
      <c r="U1883" s="26"/>
      <c r="V1883" s="26"/>
      <c r="W1883" s="27"/>
    </row>
    <row r="1884" spans="1:23" ht="15.75" customHeight="1" x14ac:dyDescent="0.25">
      <c r="A1884" s="23"/>
      <c r="B1884" s="23" t="str">
        <f t="shared" si="8"/>
        <v/>
      </c>
      <c r="C1884" s="23"/>
      <c r="D1884" s="23"/>
      <c r="E1884" s="23"/>
      <c r="F1884" s="24"/>
      <c r="G1884" s="23"/>
      <c r="H1884" s="23"/>
      <c r="I1884" s="23"/>
      <c r="J1884" s="25"/>
      <c r="K1884" s="23"/>
      <c r="L1884" s="23"/>
      <c r="M1884" s="23"/>
      <c r="N1884" s="26"/>
      <c r="O1884" s="26"/>
      <c r="P1884" s="26"/>
      <c r="Q1884" s="26"/>
      <c r="R1884" s="26"/>
      <c r="S1884" s="26"/>
      <c r="T1884" s="26"/>
      <c r="U1884" s="26"/>
      <c r="V1884" s="26"/>
      <c r="W1884" s="27"/>
    </row>
    <row r="1885" spans="1:23" ht="15.75" customHeight="1" x14ac:dyDescent="0.25">
      <c r="A1885" s="23"/>
      <c r="B1885" s="23" t="str">
        <f t="shared" si="8"/>
        <v/>
      </c>
      <c r="C1885" s="23"/>
      <c r="D1885" s="23"/>
      <c r="E1885" s="23"/>
      <c r="F1885" s="24"/>
      <c r="G1885" s="23"/>
      <c r="H1885" s="23"/>
      <c r="I1885" s="23"/>
      <c r="J1885" s="25"/>
      <c r="K1885" s="23"/>
      <c r="L1885" s="23"/>
      <c r="M1885" s="23"/>
      <c r="N1885" s="26"/>
      <c r="O1885" s="26"/>
      <c r="P1885" s="26"/>
      <c r="Q1885" s="26"/>
      <c r="R1885" s="26"/>
      <c r="S1885" s="26"/>
      <c r="T1885" s="26"/>
      <c r="U1885" s="26"/>
      <c r="V1885" s="26"/>
      <c r="W1885" s="27"/>
    </row>
    <row r="1886" spans="1:23" ht="15.75" customHeight="1" x14ac:dyDescent="0.25">
      <c r="A1886" s="23"/>
      <c r="B1886" s="23" t="str">
        <f t="shared" si="8"/>
        <v/>
      </c>
      <c r="C1886" s="23"/>
      <c r="D1886" s="23"/>
      <c r="E1886" s="23"/>
      <c r="F1886" s="24"/>
      <c r="G1886" s="23"/>
      <c r="H1886" s="23"/>
      <c r="I1886" s="23"/>
      <c r="J1886" s="25"/>
      <c r="K1886" s="23"/>
      <c r="L1886" s="23"/>
      <c r="M1886" s="23"/>
      <c r="N1886" s="26"/>
      <c r="O1886" s="26"/>
      <c r="P1886" s="26"/>
      <c r="Q1886" s="26"/>
      <c r="R1886" s="26"/>
      <c r="S1886" s="26"/>
      <c r="T1886" s="26"/>
      <c r="U1886" s="26"/>
      <c r="V1886" s="26"/>
      <c r="W1886" s="27"/>
    </row>
    <row r="1887" spans="1:23" ht="15.75" customHeight="1" x14ac:dyDescent="0.25">
      <c r="A1887" s="23"/>
      <c r="B1887" s="23" t="str">
        <f t="shared" si="8"/>
        <v/>
      </c>
      <c r="C1887" s="23"/>
      <c r="D1887" s="23"/>
      <c r="E1887" s="23"/>
      <c r="F1887" s="24"/>
      <c r="G1887" s="23"/>
      <c r="H1887" s="23"/>
      <c r="I1887" s="23"/>
      <c r="J1887" s="25"/>
      <c r="K1887" s="23"/>
      <c r="L1887" s="23"/>
      <c r="M1887" s="23"/>
      <c r="N1887" s="26"/>
      <c r="O1887" s="26"/>
      <c r="P1887" s="26"/>
      <c r="Q1887" s="26"/>
      <c r="R1887" s="26"/>
      <c r="S1887" s="26"/>
      <c r="T1887" s="26"/>
      <c r="U1887" s="26"/>
      <c r="V1887" s="26"/>
      <c r="W1887" s="27"/>
    </row>
    <row r="1888" spans="1:23" ht="15.75" customHeight="1" x14ac:dyDescent="0.25">
      <c r="A1888" s="23"/>
      <c r="B1888" s="23" t="str">
        <f t="shared" si="8"/>
        <v/>
      </c>
      <c r="C1888" s="23"/>
      <c r="D1888" s="23"/>
      <c r="E1888" s="23"/>
      <c r="F1888" s="24"/>
      <c r="G1888" s="23"/>
      <c r="H1888" s="23"/>
      <c r="I1888" s="23"/>
      <c r="J1888" s="25"/>
      <c r="K1888" s="23"/>
      <c r="L1888" s="23"/>
      <c r="M1888" s="23"/>
      <c r="N1888" s="26"/>
      <c r="O1888" s="26"/>
      <c r="P1888" s="26"/>
      <c r="Q1888" s="26"/>
      <c r="R1888" s="26"/>
      <c r="S1888" s="26"/>
      <c r="T1888" s="26"/>
      <c r="U1888" s="26"/>
      <c r="V1888" s="26"/>
      <c r="W1888" s="27"/>
    </row>
    <row r="1889" spans="1:23" ht="15.75" customHeight="1" x14ac:dyDescent="0.25">
      <c r="A1889" s="23"/>
      <c r="B1889" s="23" t="str">
        <f t="shared" si="8"/>
        <v/>
      </c>
      <c r="C1889" s="23"/>
      <c r="D1889" s="23"/>
      <c r="E1889" s="23"/>
      <c r="F1889" s="24"/>
      <c r="G1889" s="23"/>
      <c r="H1889" s="23"/>
      <c r="I1889" s="23"/>
      <c r="J1889" s="25"/>
      <c r="K1889" s="23"/>
      <c r="L1889" s="23"/>
      <c r="M1889" s="23"/>
      <c r="N1889" s="26"/>
      <c r="O1889" s="26"/>
      <c r="P1889" s="26"/>
      <c r="Q1889" s="26"/>
      <c r="R1889" s="26"/>
      <c r="S1889" s="26"/>
      <c r="T1889" s="26"/>
      <c r="U1889" s="26"/>
      <c r="V1889" s="26"/>
      <c r="W1889" s="27"/>
    </row>
    <row r="1890" spans="1:23" ht="15.75" customHeight="1" x14ac:dyDescent="0.25">
      <c r="A1890" s="23"/>
      <c r="B1890" s="23" t="str">
        <f t="shared" si="8"/>
        <v/>
      </c>
      <c r="C1890" s="23"/>
      <c r="D1890" s="23"/>
      <c r="E1890" s="23"/>
      <c r="F1890" s="24"/>
      <c r="G1890" s="23"/>
      <c r="H1890" s="23"/>
      <c r="I1890" s="23"/>
      <c r="J1890" s="25"/>
      <c r="K1890" s="23"/>
      <c r="L1890" s="23"/>
      <c r="M1890" s="23"/>
      <c r="N1890" s="26"/>
      <c r="O1890" s="26"/>
      <c r="P1890" s="26"/>
      <c r="Q1890" s="26"/>
      <c r="R1890" s="26"/>
      <c r="S1890" s="26"/>
      <c r="T1890" s="26"/>
      <c r="U1890" s="26"/>
      <c r="V1890" s="26"/>
      <c r="W1890" s="27"/>
    </row>
    <row r="1891" spans="1:23" ht="15.75" customHeight="1" x14ac:dyDescent="0.25">
      <c r="A1891" s="23"/>
      <c r="B1891" s="23" t="str">
        <f t="shared" si="8"/>
        <v/>
      </c>
      <c r="C1891" s="23"/>
      <c r="D1891" s="23"/>
      <c r="E1891" s="23"/>
      <c r="F1891" s="24"/>
      <c r="G1891" s="23"/>
      <c r="H1891" s="23"/>
      <c r="I1891" s="23"/>
      <c r="J1891" s="25"/>
      <c r="K1891" s="23"/>
      <c r="L1891" s="23"/>
      <c r="M1891" s="23"/>
      <c r="N1891" s="26"/>
      <c r="O1891" s="26"/>
      <c r="P1891" s="26"/>
      <c r="Q1891" s="26"/>
      <c r="R1891" s="26"/>
      <c r="S1891" s="26"/>
      <c r="T1891" s="26"/>
      <c r="U1891" s="26"/>
      <c r="V1891" s="26"/>
      <c r="W1891" s="27"/>
    </row>
    <row r="1892" spans="1:23" ht="15.75" customHeight="1" x14ac:dyDescent="0.25">
      <c r="A1892" s="23"/>
      <c r="B1892" s="23" t="str">
        <f t="shared" si="8"/>
        <v/>
      </c>
      <c r="C1892" s="23"/>
      <c r="D1892" s="23"/>
      <c r="E1892" s="23"/>
      <c r="F1892" s="24"/>
      <c r="G1892" s="23"/>
      <c r="H1892" s="23"/>
      <c r="I1892" s="23"/>
      <c r="J1892" s="25"/>
      <c r="K1892" s="23"/>
      <c r="L1892" s="23"/>
      <c r="M1892" s="23"/>
      <c r="N1892" s="26"/>
      <c r="O1892" s="26"/>
      <c r="P1892" s="26"/>
      <c r="Q1892" s="26"/>
      <c r="R1892" s="26"/>
      <c r="S1892" s="26"/>
      <c r="T1892" s="26"/>
      <c r="U1892" s="26"/>
      <c r="V1892" s="26"/>
      <c r="W1892" s="27"/>
    </row>
    <row r="1893" spans="1:23" ht="15.75" customHeight="1" x14ac:dyDescent="0.25">
      <c r="A1893" s="23"/>
      <c r="B1893" s="23" t="str">
        <f t="shared" si="8"/>
        <v/>
      </c>
      <c r="C1893" s="23"/>
      <c r="D1893" s="23"/>
      <c r="E1893" s="23"/>
      <c r="F1893" s="24"/>
      <c r="G1893" s="23"/>
      <c r="H1893" s="23"/>
      <c r="I1893" s="23"/>
      <c r="J1893" s="25"/>
      <c r="K1893" s="23"/>
      <c r="L1893" s="23"/>
      <c r="M1893" s="23"/>
      <c r="N1893" s="26"/>
      <c r="O1893" s="26"/>
      <c r="P1893" s="26"/>
      <c r="Q1893" s="26"/>
      <c r="R1893" s="26"/>
      <c r="S1893" s="26"/>
      <c r="T1893" s="26"/>
      <c r="U1893" s="26"/>
      <c r="V1893" s="26"/>
      <c r="W1893" s="27"/>
    </row>
    <row r="1894" spans="1:23" ht="15.75" customHeight="1" x14ac:dyDescent="0.25">
      <c r="A1894" s="23"/>
      <c r="B1894" s="23" t="str">
        <f t="shared" si="8"/>
        <v/>
      </c>
      <c r="C1894" s="23"/>
      <c r="D1894" s="23"/>
      <c r="E1894" s="23"/>
      <c r="F1894" s="24"/>
      <c r="G1894" s="23"/>
      <c r="H1894" s="23"/>
      <c r="I1894" s="23"/>
      <c r="J1894" s="25"/>
      <c r="K1894" s="23"/>
      <c r="L1894" s="23"/>
      <c r="M1894" s="23"/>
      <c r="N1894" s="26"/>
      <c r="O1894" s="26"/>
      <c r="P1894" s="26"/>
      <c r="Q1894" s="26"/>
      <c r="R1894" s="26"/>
      <c r="S1894" s="26"/>
      <c r="T1894" s="26"/>
      <c r="U1894" s="26"/>
      <c r="V1894" s="26"/>
      <c r="W1894" s="27"/>
    </row>
    <row r="1895" spans="1:23" ht="15.75" customHeight="1" x14ac:dyDescent="0.25">
      <c r="A1895" s="23"/>
      <c r="B1895" s="23" t="str">
        <f t="shared" si="8"/>
        <v/>
      </c>
      <c r="C1895" s="23"/>
      <c r="D1895" s="23"/>
      <c r="E1895" s="23"/>
      <c r="F1895" s="24"/>
      <c r="G1895" s="23"/>
      <c r="H1895" s="23"/>
      <c r="I1895" s="23"/>
      <c r="J1895" s="25"/>
      <c r="K1895" s="23"/>
      <c r="L1895" s="23"/>
      <c r="M1895" s="23"/>
      <c r="N1895" s="26"/>
      <c r="O1895" s="26"/>
      <c r="P1895" s="26"/>
      <c r="Q1895" s="26"/>
      <c r="R1895" s="26"/>
      <c r="S1895" s="26"/>
      <c r="T1895" s="26"/>
      <c r="U1895" s="26"/>
      <c r="V1895" s="26"/>
      <c r="W1895" s="27"/>
    </row>
    <row r="1896" spans="1:23" ht="15.75" customHeight="1" x14ac:dyDescent="0.25">
      <c r="A1896" s="23"/>
      <c r="B1896" s="23" t="str">
        <f t="shared" si="8"/>
        <v/>
      </c>
      <c r="C1896" s="23"/>
      <c r="D1896" s="23"/>
      <c r="E1896" s="23"/>
      <c r="F1896" s="24"/>
      <c r="G1896" s="23"/>
      <c r="H1896" s="23"/>
      <c r="I1896" s="23"/>
      <c r="J1896" s="25"/>
      <c r="K1896" s="23"/>
      <c r="L1896" s="23"/>
      <c r="M1896" s="23"/>
      <c r="N1896" s="26"/>
      <c r="O1896" s="26"/>
      <c r="P1896" s="26"/>
      <c r="Q1896" s="26"/>
      <c r="R1896" s="26"/>
      <c r="S1896" s="26"/>
      <c r="T1896" s="26"/>
      <c r="U1896" s="26"/>
      <c r="V1896" s="26"/>
      <c r="W1896" s="27"/>
    </row>
    <row r="1897" spans="1:23" ht="15.75" customHeight="1" x14ac:dyDescent="0.25">
      <c r="A1897" s="23"/>
      <c r="B1897" s="23" t="str">
        <f t="shared" si="8"/>
        <v/>
      </c>
      <c r="C1897" s="23"/>
      <c r="D1897" s="23"/>
      <c r="E1897" s="23"/>
      <c r="F1897" s="24"/>
      <c r="G1897" s="23"/>
      <c r="H1897" s="23"/>
      <c r="I1897" s="23"/>
      <c r="J1897" s="25"/>
      <c r="K1897" s="23"/>
      <c r="L1897" s="23"/>
      <c r="M1897" s="23"/>
      <c r="N1897" s="26"/>
      <c r="O1897" s="26"/>
      <c r="P1897" s="26"/>
      <c r="Q1897" s="26"/>
      <c r="R1897" s="26"/>
      <c r="S1897" s="26"/>
      <c r="T1897" s="26"/>
      <c r="U1897" s="26"/>
      <c r="V1897" s="26"/>
      <c r="W1897" s="27"/>
    </row>
    <row r="1898" spans="1:23" ht="15.75" customHeight="1" x14ac:dyDescent="0.25">
      <c r="A1898" s="23"/>
      <c r="B1898" s="23" t="str">
        <f t="shared" si="8"/>
        <v/>
      </c>
      <c r="C1898" s="23"/>
      <c r="D1898" s="23"/>
      <c r="E1898" s="23"/>
      <c r="F1898" s="24"/>
      <c r="G1898" s="23"/>
      <c r="H1898" s="23"/>
      <c r="I1898" s="23"/>
      <c r="J1898" s="25"/>
      <c r="K1898" s="23"/>
      <c r="L1898" s="23"/>
      <c r="M1898" s="23"/>
      <c r="N1898" s="26"/>
      <c r="O1898" s="26"/>
      <c r="P1898" s="26"/>
      <c r="Q1898" s="26"/>
      <c r="R1898" s="26"/>
      <c r="S1898" s="26"/>
      <c r="T1898" s="26"/>
      <c r="U1898" s="26"/>
      <c r="V1898" s="26"/>
      <c r="W1898" s="27"/>
    </row>
    <row r="1899" spans="1:23" ht="15.75" customHeight="1" x14ac:dyDescent="0.25">
      <c r="A1899" s="23"/>
      <c r="B1899" s="23" t="str">
        <f t="shared" si="8"/>
        <v/>
      </c>
      <c r="C1899" s="23"/>
      <c r="D1899" s="23"/>
      <c r="E1899" s="23"/>
      <c r="F1899" s="24"/>
      <c r="G1899" s="23"/>
      <c r="H1899" s="23"/>
      <c r="I1899" s="23"/>
      <c r="J1899" s="25"/>
      <c r="K1899" s="23"/>
      <c r="L1899" s="23"/>
      <c r="M1899" s="23"/>
      <c r="N1899" s="26"/>
      <c r="O1899" s="26"/>
      <c r="P1899" s="26"/>
      <c r="Q1899" s="26"/>
      <c r="R1899" s="26"/>
      <c r="S1899" s="26"/>
      <c r="T1899" s="26"/>
      <c r="U1899" s="26"/>
      <c r="V1899" s="26"/>
      <c r="W1899" s="27"/>
    </row>
    <row r="1900" spans="1:23" ht="15.75" customHeight="1" x14ac:dyDescent="0.25">
      <c r="A1900" s="23"/>
      <c r="B1900" s="23" t="str">
        <f t="shared" si="8"/>
        <v/>
      </c>
      <c r="C1900" s="23"/>
      <c r="D1900" s="23"/>
      <c r="E1900" s="23"/>
      <c r="F1900" s="24"/>
      <c r="G1900" s="23"/>
      <c r="H1900" s="23"/>
      <c r="I1900" s="23"/>
      <c r="J1900" s="25"/>
      <c r="K1900" s="23"/>
      <c r="L1900" s="23"/>
      <c r="M1900" s="23"/>
      <c r="N1900" s="26"/>
      <c r="O1900" s="26"/>
      <c r="P1900" s="26"/>
      <c r="Q1900" s="26"/>
      <c r="R1900" s="26"/>
      <c r="S1900" s="26"/>
      <c r="T1900" s="26"/>
      <c r="U1900" s="26"/>
      <c r="V1900" s="26"/>
      <c r="W1900" s="27"/>
    </row>
    <row r="1901" spans="1:23" ht="15.75" customHeight="1" x14ac:dyDescent="0.25">
      <c r="A1901" s="23"/>
      <c r="B1901" s="23" t="str">
        <f t="shared" si="8"/>
        <v/>
      </c>
      <c r="C1901" s="23"/>
      <c r="D1901" s="23"/>
      <c r="E1901" s="23"/>
      <c r="F1901" s="24"/>
      <c r="G1901" s="23"/>
      <c r="H1901" s="23"/>
      <c r="I1901" s="23"/>
      <c r="J1901" s="25"/>
      <c r="K1901" s="23"/>
      <c r="L1901" s="23"/>
      <c r="M1901" s="23"/>
      <c r="N1901" s="26"/>
      <c r="O1901" s="26"/>
      <c r="P1901" s="26"/>
      <c r="Q1901" s="26"/>
      <c r="R1901" s="26"/>
      <c r="S1901" s="26"/>
      <c r="T1901" s="26"/>
      <c r="U1901" s="26"/>
      <c r="V1901" s="26"/>
      <c r="W1901" s="27"/>
    </row>
    <row r="1902" spans="1:23" ht="15.75" customHeight="1" x14ac:dyDescent="0.25">
      <c r="A1902" s="23"/>
      <c r="B1902" s="23" t="str">
        <f t="shared" si="8"/>
        <v/>
      </c>
      <c r="C1902" s="23"/>
      <c r="D1902" s="23"/>
      <c r="E1902" s="23"/>
      <c r="F1902" s="24"/>
      <c r="G1902" s="23"/>
      <c r="H1902" s="23"/>
      <c r="I1902" s="23"/>
      <c r="J1902" s="25"/>
      <c r="K1902" s="23"/>
      <c r="L1902" s="23"/>
      <c r="M1902" s="23"/>
      <c r="N1902" s="26"/>
      <c r="O1902" s="26"/>
      <c r="P1902" s="26"/>
      <c r="Q1902" s="26"/>
      <c r="R1902" s="26"/>
      <c r="S1902" s="26"/>
      <c r="T1902" s="26"/>
      <c r="U1902" s="26"/>
      <c r="V1902" s="26"/>
      <c r="W1902" s="27"/>
    </row>
    <row r="1903" spans="1:23" ht="15.75" customHeight="1" x14ac:dyDescent="0.25">
      <c r="A1903" s="23"/>
      <c r="B1903" s="23" t="str">
        <f t="shared" si="8"/>
        <v/>
      </c>
      <c r="C1903" s="23"/>
      <c r="D1903" s="23"/>
      <c r="E1903" s="23"/>
      <c r="F1903" s="24"/>
      <c r="G1903" s="23"/>
      <c r="H1903" s="23"/>
      <c r="I1903" s="23"/>
      <c r="J1903" s="25"/>
      <c r="K1903" s="23"/>
      <c r="L1903" s="23"/>
      <c r="M1903" s="23"/>
      <c r="N1903" s="26"/>
      <c r="O1903" s="26"/>
      <c r="P1903" s="26"/>
      <c r="Q1903" s="26"/>
      <c r="R1903" s="26"/>
      <c r="S1903" s="26"/>
      <c r="T1903" s="26"/>
      <c r="U1903" s="26"/>
      <c r="V1903" s="26"/>
      <c r="W1903" s="27"/>
    </row>
    <row r="1904" spans="1:23" ht="15.75" customHeight="1" x14ac:dyDescent="0.25">
      <c r="A1904" s="23"/>
      <c r="B1904" s="23" t="str">
        <f t="shared" si="8"/>
        <v/>
      </c>
      <c r="C1904" s="23"/>
      <c r="D1904" s="23"/>
      <c r="E1904" s="23"/>
      <c r="F1904" s="24"/>
      <c r="G1904" s="23"/>
      <c r="H1904" s="23"/>
      <c r="I1904" s="23"/>
      <c r="J1904" s="25"/>
      <c r="K1904" s="23"/>
      <c r="L1904" s="23"/>
      <c r="M1904" s="23"/>
      <c r="N1904" s="26"/>
      <c r="O1904" s="26"/>
      <c r="P1904" s="26"/>
      <c r="Q1904" s="26"/>
      <c r="R1904" s="26"/>
      <c r="S1904" s="26"/>
      <c r="T1904" s="26"/>
      <c r="U1904" s="26"/>
      <c r="V1904" s="26"/>
      <c r="W1904" s="27"/>
    </row>
    <row r="1905" spans="1:23" ht="15.75" customHeight="1" x14ac:dyDescent="0.25">
      <c r="A1905" s="23"/>
      <c r="B1905" s="23" t="str">
        <f t="shared" si="8"/>
        <v/>
      </c>
      <c r="C1905" s="23"/>
      <c r="D1905" s="23"/>
      <c r="E1905" s="23"/>
      <c r="F1905" s="24"/>
      <c r="G1905" s="23"/>
      <c r="H1905" s="23"/>
      <c r="I1905" s="23"/>
      <c r="J1905" s="25"/>
      <c r="K1905" s="23"/>
      <c r="L1905" s="23"/>
      <c r="M1905" s="23"/>
      <c r="N1905" s="26"/>
      <c r="O1905" s="26"/>
      <c r="P1905" s="26"/>
      <c r="Q1905" s="26"/>
      <c r="R1905" s="26"/>
      <c r="S1905" s="26"/>
      <c r="T1905" s="26"/>
      <c r="U1905" s="26"/>
      <c r="V1905" s="26"/>
      <c r="W1905" s="27"/>
    </row>
    <row r="1906" spans="1:23" ht="15.75" customHeight="1" x14ac:dyDescent="0.25">
      <c r="A1906" s="23"/>
      <c r="B1906" s="23" t="str">
        <f t="shared" si="8"/>
        <v/>
      </c>
      <c r="C1906" s="23"/>
      <c r="D1906" s="23"/>
      <c r="E1906" s="23"/>
      <c r="F1906" s="24"/>
      <c r="G1906" s="23"/>
      <c r="H1906" s="23"/>
      <c r="I1906" s="23"/>
      <c r="J1906" s="25"/>
      <c r="K1906" s="23"/>
      <c r="L1906" s="23"/>
      <c r="M1906" s="23"/>
      <c r="N1906" s="26"/>
      <c r="O1906" s="26"/>
      <c r="P1906" s="26"/>
      <c r="Q1906" s="26"/>
      <c r="R1906" s="26"/>
      <c r="S1906" s="26"/>
      <c r="T1906" s="26"/>
      <c r="U1906" s="26"/>
      <c r="V1906" s="26"/>
      <c r="W1906" s="27"/>
    </row>
    <row r="1907" spans="1:23" ht="15.75" customHeight="1" x14ac:dyDescent="0.25">
      <c r="A1907" s="23"/>
      <c r="B1907" s="23" t="str">
        <f t="shared" si="8"/>
        <v/>
      </c>
      <c r="C1907" s="23"/>
      <c r="D1907" s="23"/>
      <c r="E1907" s="23"/>
      <c r="F1907" s="24"/>
      <c r="G1907" s="23"/>
      <c r="H1907" s="23"/>
      <c r="I1907" s="23"/>
      <c r="J1907" s="25"/>
      <c r="K1907" s="23"/>
      <c r="L1907" s="23"/>
      <c r="M1907" s="23"/>
      <c r="N1907" s="26"/>
      <c r="O1907" s="26"/>
      <c r="P1907" s="26"/>
      <c r="Q1907" s="26"/>
      <c r="R1907" s="26"/>
      <c r="S1907" s="26"/>
      <c r="T1907" s="26"/>
      <c r="U1907" s="26"/>
      <c r="V1907" s="26"/>
      <c r="W1907" s="27"/>
    </row>
    <row r="1908" spans="1:23" ht="15.75" customHeight="1" x14ac:dyDescent="0.25">
      <c r="A1908" s="23"/>
      <c r="B1908" s="23" t="str">
        <f t="shared" si="8"/>
        <v/>
      </c>
      <c r="C1908" s="23"/>
      <c r="D1908" s="23"/>
      <c r="E1908" s="23"/>
      <c r="F1908" s="24"/>
      <c r="G1908" s="23"/>
      <c r="H1908" s="23"/>
      <c r="I1908" s="23"/>
      <c r="J1908" s="25"/>
      <c r="K1908" s="23"/>
      <c r="L1908" s="23"/>
      <c r="M1908" s="23"/>
      <c r="N1908" s="26"/>
      <c r="O1908" s="26"/>
      <c r="P1908" s="26"/>
      <c r="Q1908" s="26"/>
      <c r="R1908" s="26"/>
      <c r="S1908" s="26"/>
      <c r="T1908" s="26"/>
      <c r="U1908" s="26"/>
      <c r="V1908" s="26"/>
      <c r="W1908" s="27"/>
    </row>
    <row r="1909" spans="1:23" ht="15.75" customHeight="1" x14ac:dyDescent="0.25">
      <c r="A1909" s="23"/>
      <c r="B1909" s="23" t="str">
        <f t="shared" si="8"/>
        <v/>
      </c>
      <c r="C1909" s="23"/>
      <c r="D1909" s="23"/>
      <c r="E1909" s="23"/>
      <c r="F1909" s="24"/>
      <c r="G1909" s="23"/>
      <c r="H1909" s="23"/>
      <c r="I1909" s="23"/>
      <c r="J1909" s="25"/>
      <c r="K1909" s="23"/>
      <c r="L1909" s="23"/>
      <c r="M1909" s="23"/>
      <c r="N1909" s="26"/>
      <c r="O1909" s="26"/>
      <c r="P1909" s="26"/>
      <c r="Q1909" s="26"/>
      <c r="R1909" s="26"/>
      <c r="S1909" s="26"/>
      <c r="T1909" s="26"/>
      <c r="U1909" s="26"/>
      <c r="V1909" s="26"/>
      <c r="W1909" s="27"/>
    </row>
    <row r="1910" spans="1:23" ht="15.75" customHeight="1" x14ac:dyDescent="0.25">
      <c r="A1910" s="23"/>
      <c r="B1910" s="23" t="str">
        <f t="shared" si="8"/>
        <v/>
      </c>
      <c r="C1910" s="23"/>
      <c r="D1910" s="23"/>
      <c r="E1910" s="23"/>
      <c r="F1910" s="24"/>
      <c r="G1910" s="23"/>
      <c r="H1910" s="23"/>
      <c r="I1910" s="23"/>
      <c r="J1910" s="25"/>
      <c r="K1910" s="23"/>
      <c r="L1910" s="23"/>
      <c r="M1910" s="23"/>
      <c r="N1910" s="26"/>
      <c r="O1910" s="26"/>
      <c r="P1910" s="26"/>
      <c r="Q1910" s="26"/>
      <c r="R1910" s="26"/>
      <c r="S1910" s="26"/>
      <c r="T1910" s="26"/>
      <c r="U1910" s="26"/>
      <c r="V1910" s="26"/>
      <c r="W1910" s="27"/>
    </row>
    <row r="1911" spans="1:23" ht="15.75" customHeight="1" x14ac:dyDescent="0.25">
      <c r="A1911" s="23"/>
      <c r="B1911" s="23" t="str">
        <f t="shared" si="8"/>
        <v/>
      </c>
      <c r="C1911" s="23"/>
      <c r="D1911" s="23"/>
      <c r="E1911" s="23"/>
      <c r="F1911" s="24"/>
      <c r="G1911" s="23"/>
      <c r="H1911" s="23"/>
      <c r="I1911" s="23"/>
      <c r="J1911" s="25"/>
      <c r="K1911" s="23"/>
      <c r="L1911" s="23"/>
      <c r="M1911" s="23"/>
      <c r="N1911" s="26"/>
      <c r="O1911" s="26"/>
      <c r="P1911" s="26"/>
      <c r="Q1911" s="26"/>
      <c r="R1911" s="26"/>
      <c r="S1911" s="26"/>
      <c r="T1911" s="26"/>
      <c r="U1911" s="26"/>
      <c r="V1911" s="26"/>
      <c r="W1911" s="27"/>
    </row>
    <row r="1912" spans="1:23" ht="15.75" customHeight="1" x14ac:dyDescent="0.25">
      <c r="A1912" s="23"/>
      <c r="B1912" s="23" t="str">
        <f t="shared" si="8"/>
        <v/>
      </c>
      <c r="C1912" s="23"/>
      <c r="D1912" s="23"/>
      <c r="E1912" s="23"/>
      <c r="F1912" s="24"/>
      <c r="G1912" s="23"/>
      <c r="H1912" s="23"/>
      <c r="I1912" s="23"/>
      <c r="J1912" s="25"/>
      <c r="K1912" s="23"/>
      <c r="L1912" s="23"/>
      <c r="M1912" s="23"/>
      <c r="N1912" s="26"/>
      <c r="O1912" s="26"/>
      <c r="P1912" s="26"/>
      <c r="Q1912" s="26"/>
      <c r="R1912" s="26"/>
      <c r="S1912" s="26"/>
      <c r="T1912" s="26"/>
      <c r="U1912" s="26"/>
      <c r="V1912" s="26"/>
      <c r="W1912" s="27"/>
    </row>
    <row r="1913" spans="1:23" ht="15.75" customHeight="1" x14ac:dyDescent="0.25">
      <c r="A1913" s="23"/>
      <c r="B1913" s="23" t="str">
        <f t="shared" si="8"/>
        <v/>
      </c>
      <c r="C1913" s="23"/>
      <c r="D1913" s="23"/>
      <c r="E1913" s="23"/>
      <c r="F1913" s="24"/>
      <c r="G1913" s="23"/>
      <c r="H1913" s="23"/>
      <c r="I1913" s="23"/>
      <c r="J1913" s="25"/>
      <c r="K1913" s="23"/>
      <c r="L1913" s="23"/>
      <c r="M1913" s="23"/>
      <c r="N1913" s="26"/>
      <c r="O1913" s="26"/>
      <c r="P1913" s="26"/>
      <c r="Q1913" s="26"/>
      <c r="R1913" s="26"/>
      <c r="S1913" s="26"/>
      <c r="T1913" s="26"/>
      <c r="U1913" s="26"/>
      <c r="V1913" s="26"/>
      <c r="W1913" s="27"/>
    </row>
    <row r="1914" spans="1:23" ht="15.75" customHeight="1" x14ac:dyDescent="0.25">
      <c r="A1914" s="23"/>
      <c r="B1914" s="23" t="str">
        <f t="shared" si="8"/>
        <v/>
      </c>
      <c r="C1914" s="23"/>
      <c r="D1914" s="23"/>
      <c r="E1914" s="23"/>
      <c r="F1914" s="24"/>
      <c r="G1914" s="23"/>
      <c r="H1914" s="23"/>
      <c r="I1914" s="23"/>
      <c r="J1914" s="25"/>
      <c r="K1914" s="23"/>
      <c r="L1914" s="23"/>
      <c r="M1914" s="23"/>
      <c r="N1914" s="26"/>
      <c r="O1914" s="26"/>
      <c r="P1914" s="26"/>
      <c r="Q1914" s="26"/>
      <c r="R1914" s="26"/>
      <c r="S1914" s="26"/>
      <c r="T1914" s="26"/>
      <c r="U1914" s="26"/>
      <c r="V1914" s="26"/>
      <c r="W1914" s="27"/>
    </row>
    <row r="1915" spans="1:23" ht="15.75" customHeight="1" x14ac:dyDescent="0.25">
      <c r="A1915" s="23"/>
      <c r="B1915" s="23" t="str">
        <f t="shared" si="8"/>
        <v/>
      </c>
      <c r="C1915" s="23"/>
      <c r="D1915" s="23"/>
      <c r="E1915" s="23"/>
      <c r="F1915" s="24"/>
      <c r="G1915" s="23"/>
      <c r="H1915" s="23"/>
      <c r="I1915" s="23"/>
      <c r="J1915" s="25"/>
      <c r="K1915" s="23"/>
      <c r="L1915" s="23"/>
      <c r="M1915" s="23"/>
      <c r="N1915" s="26"/>
      <c r="O1915" s="26"/>
      <c r="P1915" s="26"/>
      <c r="Q1915" s="26"/>
      <c r="R1915" s="26"/>
      <c r="S1915" s="26"/>
      <c r="T1915" s="26"/>
      <c r="U1915" s="26"/>
      <c r="V1915" s="26"/>
      <c r="W1915" s="27"/>
    </row>
    <row r="1916" spans="1:23" ht="15.75" customHeight="1" x14ac:dyDescent="0.25">
      <c r="A1916" s="23"/>
      <c r="B1916" s="23" t="str">
        <f t="shared" si="8"/>
        <v/>
      </c>
      <c r="C1916" s="23"/>
      <c r="D1916" s="23"/>
      <c r="E1916" s="23"/>
      <c r="F1916" s="24"/>
      <c r="G1916" s="23"/>
      <c r="H1916" s="23"/>
      <c r="I1916" s="23"/>
      <c r="J1916" s="25"/>
      <c r="K1916" s="23"/>
      <c r="L1916" s="23"/>
      <c r="M1916" s="23"/>
      <c r="N1916" s="26"/>
      <c r="O1916" s="26"/>
      <c r="P1916" s="26"/>
      <c r="Q1916" s="26"/>
      <c r="R1916" s="26"/>
      <c r="S1916" s="26"/>
      <c r="T1916" s="26"/>
      <c r="U1916" s="26"/>
      <c r="V1916" s="26"/>
      <c r="W1916" s="27"/>
    </row>
    <row r="1917" spans="1:23" ht="15.75" customHeight="1" x14ac:dyDescent="0.25">
      <c r="A1917" s="23"/>
      <c r="B1917" s="23" t="str">
        <f t="shared" si="8"/>
        <v/>
      </c>
      <c r="C1917" s="23"/>
      <c r="D1917" s="23"/>
      <c r="E1917" s="23"/>
      <c r="F1917" s="24"/>
      <c r="G1917" s="23"/>
      <c r="H1917" s="23"/>
      <c r="I1917" s="23"/>
      <c r="J1917" s="25"/>
      <c r="K1917" s="23"/>
      <c r="L1917" s="23"/>
      <c r="M1917" s="23"/>
      <c r="N1917" s="26"/>
      <c r="O1917" s="26"/>
      <c r="P1917" s="26"/>
      <c r="Q1917" s="26"/>
      <c r="R1917" s="26"/>
      <c r="S1917" s="26"/>
      <c r="T1917" s="26"/>
      <c r="U1917" s="26"/>
      <c r="V1917" s="26"/>
      <c r="W1917" s="27"/>
    </row>
    <row r="1918" spans="1:23" ht="15.75" customHeight="1" x14ac:dyDescent="0.25">
      <c r="A1918" s="23"/>
      <c r="B1918" s="23" t="str">
        <f t="shared" si="8"/>
        <v/>
      </c>
      <c r="C1918" s="23"/>
      <c r="D1918" s="23"/>
      <c r="E1918" s="23"/>
      <c r="F1918" s="24"/>
      <c r="G1918" s="23"/>
      <c r="H1918" s="23"/>
      <c r="I1918" s="23"/>
      <c r="J1918" s="25"/>
      <c r="K1918" s="23"/>
      <c r="L1918" s="23"/>
      <c r="M1918" s="23"/>
      <c r="N1918" s="26"/>
      <c r="O1918" s="26"/>
      <c r="P1918" s="26"/>
      <c r="Q1918" s="26"/>
      <c r="R1918" s="26"/>
      <c r="S1918" s="26"/>
      <c r="T1918" s="26"/>
      <c r="U1918" s="26"/>
      <c r="V1918" s="26"/>
      <c r="W1918" s="27"/>
    </row>
    <row r="1919" spans="1:23" ht="15.75" customHeight="1" x14ac:dyDescent="0.25">
      <c r="A1919" s="23"/>
      <c r="B1919" s="23" t="str">
        <f t="shared" si="8"/>
        <v/>
      </c>
      <c r="C1919" s="23"/>
      <c r="D1919" s="23"/>
      <c r="E1919" s="23"/>
      <c r="F1919" s="24"/>
      <c r="G1919" s="23"/>
      <c r="H1919" s="23"/>
      <c r="I1919" s="23"/>
      <c r="J1919" s="25"/>
      <c r="K1919" s="23"/>
      <c r="L1919" s="23"/>
      <c r="M1919" s="23"/>
      <c r="N1919" s="26"/>
      <c r="O1919" s="26"/>
      <c r="P1919" s="26"/>
      <c r="Q1919" s="26"/>
      <c r="R1919" s="26"/>
      <c r="S1919" s="26"/>
      <c r="T1919" s="26"/>
      <c r="U1919" s="26"/>
      <c r="V1919" s="26"/>
      <c r="W1919" s="27"/>
    </row>
    <row r="1920" spans="1:23" ht="15.75" customHeight="1" x14ac:dyDescent="0.25">
      <c r="A1920" s="23"/>
      <c r="B1920" s="23" t="str">
        <f t="shared" si="8"/>
        <v/>
      </c>
      <c r="C1920" s="23"/>
      <c r="D1920" s="23"/>
      <c r="E1920" s="23"/>
      <c r="F1920" s="24"/>
      <c r="G1920" s="23"/>
      <c r="H1920" s="23"/>
      <c r="I1920" s="23"/>
      <c r="J1920" s="25"/>
      <c r="K1920" s="23"/>
      <c r="L1920" s="23"/>
      <c r="M1920" s="23"/>
      <c r="N1920" s="26"/>
      <c r="O1920" s="26"/>
      <c r="P1920" s="26"/>
      <c r="Q1920" s="26"/>
      <c r="R1920" s="26"/>
      <c r="S1920" s="26"/>
      <c r="T1920" s="26"/>
      <c r="U1920" s="26"/>
      <c r="V1920" s="26"/>
      <c r="W1920" s="27"/>
    </row>
    <row r="1921" spans="1:23" ht="15.75" customHeight="1" x14ac:dyDescent="0.25">
      <c r="A1921" s="23"/>
      <c r="B1921" s="23" t="str">
        <f t="shared" si="8"/>
        <v/>
      </c>
      <c r="C1921" s="23"/>
      <c r="D1921" s="23"/>
      <c r="E1921" s="23"/>
      <c r="F1921" s="24"/>
      <c r="G1921" s="23"/>
      <c r="H1921" s="23"/>
      <c r="I1921" s="23"/>
      <c r="J1921" s="25"/>
      <c r="K1921" s="23"/>
      <c r="L1921" s="23"/>
      <c r="M1921" s="23"/>
      <c r="N1921" s="26"/>
      <c r="O1921" s="26"/>
      <c r="P1921" s="26"/>
      <c r="Q1921" s="26"/>
      <c r="R1921" s="26"/>
      <c r="S1921" s="26"/>
      <c r="T1921" s="26"/>
      <c r="U1921" s="26"/>
      <c r="V1921" s="26"/>
      <c r="W1921" s="27"/>
    </row>
    <row r="1922" spans="1:23" ht="15.75" customHeight="1" x14ac:dyDescent="0.25">
      <c r="A1922" s="23"/>
      <c r="B1922" s="23" t="str">
        <f t="shared" si="8"/>
        <v/>
      </c>
      <c r="C1922" s="23"/>
      <c r="D1922" s="23"/>
      <c r="E1922" s="23"/>
      <c r="F1922" s="24"/>
      <c r="G1922" s="23"/>
      <c r="H1922" s="23"/>
      <c r="I1922" s="23"/>
      <c r="J1922" s="25"/>
      <c r="K1922" s="23"/>
      <c r="L1922" s="23"/>
      <c r="M1922" s="23"/>
      <c r="N1922" s="26"/>
      <c r="O1922" s="26"/>
      <c r="P1922" s="26"/>
      <c r="Q1922" s="26"/>
      <c r="R1922" s="26"/>
      <c r="S1922" s="26"/>
      <c r="T1922" s="26"/>
      <c r="U1922" s="26"/>
      <c r="V1922" s="26"/>
      <c r="W1922" s="27"/>
    </row>
    <row r="1923" spans="1:23" ht="15.75" customHeight="1" x14ac:dyDescent="0.25">
      <c r="A1923" s="23"/>
      <c r="B1923" s="23" t="str">
        <f t="shared" si="8"/>
        <v/>
      </c>
      <c r="C1923" s="23"/>
      <c r="D1923" s="23"/>
      <c r="E1923" s="23"/>
      <c r="F1923" s="24"/>
      <c r="G1923" s="23"/>
      <c r="H1923" s="23"/>
      <c r="I1923" s="23"/>
      <c r="J1923" s="25"/>
      <c r="K1923" s="23"/>
      <c r="L1923" s="23"/>
      <c r="M1923" s="23"/>
      <c r="N1923" s="26"/>
      <c r="O1923" s="26"/>
      <c r="P1923" s="26"/>
      <c r="Q1923" s="26"/>
      <c r="R1923" s="26"/>
      <c r="S1923" s="26"/>
      <c r="T1923" s="26"/>
      <c r="U1923" s="26"/>
      <c r="V1923" s="26"/>
      <c r="W1923" s="27"/>
    </row>
    <row r="1924" spans="1:23" ht="15.75" customHeight="1" x14ac:dyDescent="0.25">
      <c r="A1924" s="23"/>
      <c r="B1924" s="23" t="str">
        <f t="shared" si="8"/>
        <v/>
      </c>
      <c r="C1924" s="23"/>
      <c r="D1924" s="23"/>
      <c r="E1924" s="23"/>
      <c r="F1924" s="24"/>
      <c r="G1924" s="23"/>
      <c r="H1924" s="23"/>
      <c r="I1924" s="23"/>
      <c r="J1924" s="25"/>
      <c r="K1924" s="23"/>
      <c r="L1924" s="23"/>
      <c r="M1924" s="23"/>
      <c r="N1924" s="26"/>
      <c r="O1924" s="26"/>
      <c r="P1924" s="26"/>
      <c r="Q1924" s="26"/>
      <c r="R1924" s="26"/>
      <c r="S1924" s="26"/>
      <c r="T1924" s="26"/>
      <c r="U1924" s="26"/>
      <c r="V1924" s="26"/>
      <c r="W1924" s="27"/>
    </row>
    <row r="1925" spans="1:23" ht="15.75" customHeight="1" x14ac:dyDescent="0.25">
      <c r="A1925" s="23"/>
      <c r="B1925" s="23" t="str">
        <f t="shared" si="8"/>
        <v/>
      </c>
      <c r="C1925" s="23"/>
      <c r="D1925" s="23"/>
      <c r="E1925" s="23"/>
      <c r="F1925" s="24"/>
      <c r="G1925" s="23"/>
      <c r="H1925" s="23"/>
      <c r="I1925" s="23"/>
      <c r="J1925" s="25"/>
      <c r="K1925" s="23"/>
      <c r="L1925" s="23"/>
      <c r="M1925" s="23"/>
      <c r="N1925" s="26"/>
      <c r="O1925" s="26"/>
      <c r="P1925" s="26"/>
      <c r="Q1925" s="26"/>
      <c r="R1925" s="26"/>
      <c r="S1925" s="26"/>
      <c r="T1925" s="26"/>
      <c r="U1925" s="26"/>
      <c r="V1925" s="26"/>
      <c r="W1925" s="27"/>
    </row>
    <row r="1926" spans="1:23" ht="15.75" customHeight="1" x14ac:dyDescent="0.25">
      <c r="A1926" s="23"/>
      <c r="B1926" s="23" t="str">
        <f t="shared" si="8"/>
        <v/>
      </c>
      <c r="C1926" s="23"/>
      <c r="D1926" s="23"/>
      <c r="E1926" s="23"/>
      <c r="F1926" s="24"/>
      <c r="G1926" s="23"/>
      <c r="H1926" s="23"/>
      <c r="I1926" s="23"/>
      <c r="J1926" s="25"/>
      <c r="K1926" s="23"/>
      <c r="L1926" s="23"/>
      <c r="M1926" s="23"/>
      <c r="N1926" s="26"/>
      <c r="O1926" s="26"/>
      <c r="P1926" s="26"/>
      <c r="Q1926" s="26"/>
      <c r="R1926" s="26"/>
      <c r="S1926" s="26"/>
      <c r="T1926" s="26"/>
      <c r="U1926" s="26"/>
      <c r="V1926" s="26"/>
      <c r="W1926" s="27"/>
    </row>
    <row r="1927" spans="1:23" ht="15.75" customHeight="1" x14ac:dyDescent="0.25">
      <c r="A1927" s="23"/>
      <c r="B1927" s="23" t="str">
        <f t="shared" si="8"/>
        <v/>
      </c>
      <c r="C1927" s="23"/>
      <c r="D1927" s="23"/>
      <c r="E1927" s="23"/>
      <c r="F1927" s="24"/>
      <c r="G1927" s="23"/>
      <c r="H1927" s="23"/>
      <c r="I1927" s="23"/>
      <c r="J1927" s="25"/>
      <c r="K1927" s="23"/>
      <c r="L1927" s="23"/>
      <c r="M1927" s="23"/>
      <c r="N1927" s="26"/>
      <c r="O1927" s="26"/>
      <c r="P1927" s="26"/>
      <c r="Q1927" s="26"/>
      <c r="R1927" s="26"/>
      <c r="S1927" s="26"/>
      <c r="T1927" s="26"/>
      <c r="U1927" s="26"/>
      <c r="V1927" s="26"/>
      <c r="W1927" s="27"/>
    </row>
    <row r="1928" spans="1:23" ht="15.75" customHeight="1" x14ac:dyDescent="0.25">
      <c r="A1928" s="23"/>
      <c r="B1928" s="23" t="str">
        <f t="shared" si="8"/>
        <v/>
      </c>
      <c r="C1928" s="23"/>
      <c r="D1928" s="23"/>
      <c r="E1928" s="23"/>
      <c r="F1928" s="24"/>
      <c r="G1928" s="23"/>
      <c r="H1928" s="23"/>
      <c r="I1928" s="23"/>
      <c r="J1928" s="25"/>
      <c r="K1928" s="23"/>
      <c r="L1928" s="23"/>
      <c r="M1928" s="23"/>
      <c r="N1928" s="26"/>
      <c r="O1928" s="26"/>
      <c r="P1928" s="26"/>
      <c r="Q1928" s="26"/>
      <c r="R1928" s="26"/>
      <c r="S1928" s="26"/>
      <c r="T1928" s="26"/>
      <c r="U1928" s="26"/>
      <c r="V1928" s="26"/>
      <c r="W1928" s="27"/>
    </row>
    <row r="1929" spans="1:23" ht="15.75" customHeight="1" x14ac:dyDescent="0.25">
      <c r="A1929" s="23"/>
      <c r="B1929" s="23" t="str">
        <f t="shared" si="8"/>
        <v/>
      </c>
      <c r="C1929" s="23"/>
      <c r="D1929" s="23"/>
      <c r="E1929" s="23"/>
      <c r="F1929" s="24"/>
      <c r="G1929" s="23"/>
      <c r="H1929" s="23"/>
      <c r="I1929" s="23"/>
      <c r="J1929" s="25"/>
      <c r="K1929" s="23"/>
      <c r="L1929" s="23"/>
      <c r="M1929" s="23"/>
      <c r="N1929" s="26"/>
      <c r="O1929" s="26"/>
      <c r="P1929" s="26"/>
      <c r="Q1929" s="26"/>
      <c r="R1929" s="26"/>
      <c r="S1929" s="26"/>
      <c r="T1929" s="26"/>
      <c r="U1929" s="26"/>
      <c r="V1929" s="26"/>
      <c r="W1929" s="27"/>
    </row>
    <row r="1930" spans="1:23" ht="15.75" customHeight="1" x14ac:dyDescent="0.25">
      <c r="A1930" s="23"/>
      <c r="B1930" s="23" t="str">
        <f t="shared" si="8"/>
        <v/>
      </c>
      <c r="C1930" s="23"/>
      <c r="D1930" s="23"/>
      <c r="E1930" s="23"/>
      <c r="F1930" s="24"/>
      <c r="G1930" s="23"/>
      <c r="H1930" s="23"/>
      <c r="I1930" s="23"/>
      <c r="J1930" s="25"/>
      <c r="K1930" s="23"/>
      <c r="L1930" s="23"/>
      <c r="M1930" s="23"/>
      <c r="N1930" s="26"/>
      <c r="O1930" s="26"/>
      <c r="P1930" s="26"/>
      <c r="Q1930" s="26"/>
      <c r="R1930" s="26"/>
      <c r="S1930" s="26"/>
      <c r="T1930" s="26"/>
      <c r="U1930" s="26"/>
      <c r="V1930" s="26"/>
      <c r="W1930" s="27"/>
    </row>
    <row r="1931" spans="1:23" ht="15.75" customHeight="1" x14ac:dyDescent="0.25">
      <c r="A1931" s="23"/>
      <c r="B1931" s="23" t="str">
        <f t="shared" si="8"/>
        <v/>
      </c>
      <c r="C1931" s="23"/>
      <c r="D1931" s="23"/>
      <c r="E1931" s="23"/>
      <c r="F1931" s="24"/>
      <c r="G1931" s="23"/>
      <c r="H1931" s="23"/>
      <c r="I1931" s="23"/>
      <c r="J1931" s="25"/>
      <c r="K1931" s="23"/>
      <c r="L1931" s="23"/>
      <c r="M1931" s="23"/>
      <c r="N1931" s="26"/>
      <c r="O1931" s="26"/>
      <c r="P1931" s="26"/>
      <c r="Q1931" s="26"/>
      <c r="R1931" s="26"/>
      <c r="S1931" s="26"/>
      <c r="T1931" s="26"/>
      <c r="U1931" s="26"/>
      <c r="V1931" s="26"/>
      <c r="W1931" s="27"/>
    </row>
    <row r="1932" spans="1:23" ht="15.75" customHeight="1" x14ac:dyDescent="0.25">
      <c r="A1932" s="23"/>
      <c r="B1932" s="23" t="str">
        <f t="shared" si="8"/>
        <v/>
      </c>
      <c r="C1932" s="23"/>
      <c r="D1932" s="23"/>
      <c r="E1932" s="23"/>
      <c r="F1932" s="24"/>
      <c r="G1932" s="23"/>
      <c r="H1932" s="23"/>
      <c r="I1932" s="23"/>
      <c r="J1932" s="25"/>
      <c r="K1932" s="23"/>
      <c r="L1932" s="23"/>
      <c r="M1932" s="23"/>
      <c r="N1932" s="26"/>
      <c r="O1932" s="26"/>
      <c r="P1932" s="26"/>
      <c r="Q1932" s="26"/>
      <c r="R1932" s="26"/>
      <c r="S1932" s="26"/>
      <c r="T1932" s="26"/>
      <c r="U1932" s="26"/>
      <c r="V1932" s="26"/>
      <c r="W1932" s="27"/>
    </row>
    <row r="1933" spans="1:23" ht="15.75" customHeight="1" x14ac:dyDescent="0.25">
      <c r="A1933" s="23"/>
      <c r="B1933" s="23" t="str">
        <f t="shared" si="8"/>
        <v/>
      </c>
      <c r="C1933" s="23"/>
      <c r="D1933" s="23"/>
      <c r="E1933" s="23"/>
      <c r="F1933" s="24"/>
      <c r="G1933" s="23"/>
      <c r="H1933" s="23"/>
      <c r="I1933" s="23"/>
      <c r="J1933" s="25"/>
      <c r="K1933" s="23"/>
      <c r="L1933" s="23"/>
      <c r="M1933" s="23"/>
      <c r="N1933" s="26"/>
      <c r="O1933" s="26"/>
      <c r="P1933" s="26"/>
      <c r="Q1933" s="26"/>
      <c r="R1933" s="26"/>
      <c r="S1933" s="26"/>
      <c r="T1933" s="26"/>
      <c r="U1933" s="26"/>
      <c r="V1933" s="26"/>
      <c r="W1933" s="27"/>
    </row>
    <row r="1934" spans="1:23" ht="15.75" customHeight="1" x14ac:dyDescent="0.25">
      <c r="A1934" s="23"/>
      <c r="B1934" s="23" t="str">
        <f t="shared" si="8"/>
        <v/>
      </c>
      <c r="C1934" s="23"/>
      <c r="D1934" s="23"/>
      <c r="E1934" s="23"/>
      <c r="F1934" s="24"/>
      <c r="G1934" s="23"/>
      <c r="H1934" s="23"/>
      <c r="I1934" s="23"/>
      <c r="J1934" s="25"/>
      <c r="K1934" s="23"/>
      <c r="L1934" s="23"/>
      <c r="M1934" s="23"/>
      <c r="N1934" s="26"/>
      <c r="O1934" s="26"/>
      <c r="P1934" s="26"/>
      <c r="Q1934" s="26"/>
      <c r="R1934" s="26"/>
      <c r="S1934" s="26"/>
      <c r="T1934" s="26"/>
      <c r="U1934" s="26"/>
      <c r="V1934" s="26"/>
      <c r="W1934" s="27"/>
    </row>
    <row r="1935" spans="1:23" ht="15.75" customHeight="1" x14ac:dyDescent="0.25">
      <c r="A1935" s="23"/>
      <c r="B1935" s="23" t="str">
        <f t="shared" si="8"/>
        <v/>
      </c>
      <c r="C1935" s="23"/>
      <c r="D1935" s="23"/>
      <c r="E1935" s="23"/>
      <c r="F1935" s="24"/>
      <c r="G1935" s="23"/>
      <c r="H1935" s="23"/>
      <c r="I1935" s="23"/>
      <c r="J1935" s="25"/>
      <c r="K1935" s="23"/>
      <c r="L1935" s="23"/>
      <c r="M1935" s="23"/>
      <c r="N1935" s="26"/>
      <c r="O1935" s="26"/>
      <c r="P1935" s="26"/>
      <c r="Q1935" s="26"/>
      <c r="R1935" s="26"/>
      <c r="S1935" s="26"/>
      <c r="T1935" s="26"/>
      <c r="U1935" s="26"/>
      <c r="V1935" s="26"/>
      <c r="W1935" s="27"/>
    </row>
    <row r="1936" spans="1:23" ht="15.75" customHeight="1" x14ac:dyDescent="0.25">
      <c r="A1936" s="23"/>
      <c r="B1936" s="23" t="str">
        <f t="shared" si="8"/>
        <v/>
      </c>
      <c r="C1936" s="23"/>
      <c r="D1936" s="23"/>
      <c r="E1936" s="23"/>
      <c r="F1936" s="24"/>
      <c r="G1936" s="23"/>
      <c r="H1936" s="23"/>
      <c r="I1936" s="23"/>
      <c r="J1936" s="25"/>
      <c r="K1936" s="23"/>
      <c r="L1936" s="23"/>
      <c r="M1936" s="23"/>
      <c r="N1936" s="26"/>
      <c r="O1936" s="26"/>
      <c r="P1936" s="26"/>
      <c r="Q1936" s="26"/>
      <c r="R1936" s="26"/>
      <c r="S1936" s="26"/>
      <c r="T1936" s="26"/>
      <c r="U1936" s="26"/>
      <c r="V1936" s="26"/>
      <c r="W1936" s="27"/>
    </row>
    <row r="1937" spans="1:23" ht="15.75" customHeight="1" x14ac:dyDescent="0.25">
      <c r="A1937" s="23"/>
      <c r="B1937" s="23" t="str">
        <f t="shared" si="8"/>
        <v/>
      </c>
      <c r="C1937" s="23"/>
      <c r="D1937" s="23"/>
      <c r="E1937" s="23"/>
      <c r="F1937" s="24"/>
      <c r="G1937" s="23"/>
      <c r="H1937" s="23"/>
      <c r="I1937" s="23"/>
      <c r="J1937" s="25"/>
      <c r="K1937" s="23"/>
      <c r="L1937" s="23"/>
      <c r="M1937" s="23"/>
      <c r="N1937" s="26"/>
      <c r="O1937" s="26"/>
      <c r="P1937" s="26"/>
      <c r="Q1937" s="26"/>
      <c r="R1937" s="26"/>
      <c r="S1937" s="26"/>
      <c r="T1937" s="26"/>
      <c r="U1937" s="26"/>
      <c r="V1937" s="26"/>
      <c r="W1937" s="27"/>
    </row>
    <row r="1938" spans="1:23" ht="15.75" customHeight="1" x14ac:dyDescent="0.25">
      <c r="A1938" s="23"/>
      <c r="B1938" s="23" t="str">
        <f t="shared" si="8"/>
        <v/>
      </c>
      <c r="C1938" s="23"/>
      <c r="D1938" s="23"/>
      <c r="E1938" s="23"/>
      <c r="F1938" s="24"/>
      <c r="G1938" s="23"/>
      <c r="H1938" s="23"/>
      <c r="I1938" s="23"/>
      <c r="J1938" s="25"/>
      <c r="K1938" s="23"/>
      <c r="L1938" s="23"/>
      <c r="M1938" s="23"/>
      <c r="N1938" s="26"/>
      <c r="O1938" s="26"/>
      <c r="P1938" s="26"/>
      <c r="Q1938" s="26"/>
      <c r="R1938" s="26"/>
      <c r="S1938" s="26"/>
      <c r="T1938" s="26"/>
      <c r="U1938" s="26"/>
      <c r="V1938" s="26"/>
      <c r="W1938" s="27"/>
    </row>
    <row r="1939" spans="1:23" ht="15.75" customHeight="1" x14ac:dyDescent="0.25">
      <c r="A1939" s="23"/>
      <c r="B1939" s="23" t="str">
        <f t="shared" si="8"/>
        <v/>
      </c>
      <c r="C1939" s="23"/>
      <c r="D1939" s="23"/>
      <c r="E1939" s="23"/>
      <c r="F1939" s="24"/>
      <c r="G1939" s="23"/>
      <c r="H1939" s="23"/>
      <c r="I1939" s="23"/>
      <c r="J1939" s="25"/>
      <c r="K1939" s="23"/>
      <c r="L1939" s="23"/>
      <c r="M1939" s="23"/>
      <c r="N1939" s="26"/>
      <c r="O1939" s="26"/>
      <c r="P1939" s="26"/>
      <c r="Q1939" s="26"/>
      <c r="R1939" s="26"/>
      <c r="S1939" s="26"/>
      <c r="T1939" s="26"/>
      <c r="U1939" s="26"/>
      <c r="V1939" s="26"/>
      <c r="W1939" s="27"/>
    </row>
    <row r="1940" spans="1:23" ht="15.75" customHeight="1" x14ac:dyDescent="0.25">
      <c r="A1940" s="23"/>
      <c r="B1940" s="23" t="str">
        <f t="shared" si="8"/>
        <v/>
      </c>
      <c r="C1940" s="23"/>
      <c r="D1940" s="23"/>
      <c r="E1940" s="23"/>
      <c r="F1940" s="24"/>
      <c r="G1940" s="23"/>
      <c r="H1940" s="23"/>
      <c r="I1940" s="23"/>
      <c r="J1940" s="25"/>
      <c r="K1940" s="23"/>
      <c r="L1940" s="23"/>
      <c r="M1940" s="23"/>
      <c r="N1940" s="26"/>
      <c r="O1940" s="26"/>
      <c r="P1940" s="26"/>
      <c r="Q1940" s="26"/>
      <c r="R1940" s="26"/>
      <c r="S1940" s="26"/>
      <c r="T1940" s="26"/>
      <c r="U1940" s="26"/>
      <c r="V1940" s="26"/>
      <c r="W1940" s="27"/>
    </row>
    <row r="1941" spans="1:23" ht="15.75" customHeight="1" x14ac:dyDescent="0.25">
      <c r="A1941" s="23"/>
      <c r="B1941" s="23" t="str">
        <f t="shared" si="8"/>
        <v/>
      </c>
      <c r="C1941" s="23"/>
      <c r="D1941" s="23"/>
      <c r="E1941" s="23"/>
      <c r="F1941" s="24"/>
      <c r="G1941" s="23"/>
      <c r="H1941" s="23"/>
      <c r="I1941" s="23"/>
      <c r="J1941" s="25"/>
      <c r="K1941" s="23"/>
      <c r="L1941" s="23"/>
      <c r="M1941" s="23"/>
      <c r="N1941" s="26"/>
      <c r="O1941" s="26"/>
      <c r="P1941" s="26"/>
      <c r="Q1941" s="26"/>
      <c r="R1941" s="26"/>
      <c r="S1941" s="26"/>
      <c r="T1941" s="26"/>
      <c r="U1941" s="26"/>
      <c r="V1941" s="26"/>
      <c r="W1941" s="27"/>
    </row>
    <row r="1942" spans="1:23" ht="15.75" customHeight="1" x14ac:dyDescent="0.25">
      <c r="A1942" s="23"/>
      <c r="B1942" s="23" t="str">
        <f t="shared" si="8"/>
        <v/>
      </c>
      <c r="C1942" s="23"/>
      <c r="D1942" s="23"/>
      <c r="E1942" s="23"/>
      <c r="F1942" s="24"/>
      <c r="G1942" s="23"/>
      <c r="H1942" s="23"/>
      <c r="I1942" s="23"/>
      <c r="J1942" s="25"/>
      <c r="K1942" s="23"/>
      <c r="L1942" s="23"/>
      <c r="M1942" s="23"/>
      <c r="N1942" s="26"/>
      <c r="O1942" s="26"/>
      <c r="P1942" s="26"/>
      <c r="Q1942" s="26"/>
      <c r="R1942" s="26"/>
      <c r="S1942" s="26"/>
      <c r="T1942" s="26"/>
      <c r="U1942" s="26"/>
      <c r="V1942" s="26"/>
      <c r="W1942" s="27"/>
    </row>
    <row r="1943" spans="1:23" ht="15.75" customHeight="1" x14ac:dyDescent="0.25">
      <c r="A1943" s="23"/>
      <c r="B1943" s="23" t="str">
        <f t="shared" si="8"/>
        <v/>
      </c>
      <c r="C1943" s="23"/>
      <c r="D1943" s="23"/>
      <c r="E1943" s="23"/>
      <c r="F1943" s="24"/>
      <c r="G1943" s="23"/>
      <c r="H1943" s="23"/>
      <c r="I1943" s="23"/>
      <c r="J1943" s="25"/>
      <c r="K1943" s="23"/>
      <c r="L1943" s="23"/>
      <c r="M1943" s="23"/>
      <c r="N1943" s="26"/>
      <c r="O1943" s="26"/>
      <c r="P1943" s="26"/>
      <c r="Q1943" s="26"/>
      <c r="R1943" s="26"/>
      <c r="S1943" s="26"/>
      <c r="T1943" s="26"/>
      <c r="U1943" s="26"/>
      <c r="V1943" s="26"/>
      <c r="W1943" s="27"/>
    </row>
    <row r="1944" spans="1:23" ht="15.75" customHeight="1" x14ac:dyDescent="0.25">
      <c r="A1944" s="23"/>
      <c r="B1944" s="23" t="str">
        <f t="shared" si="8"/>
        <v/>
      </c>
      <c r="C1944" s="23"/>
      <c r="D1944" s="23"/>
      <c r="E1944" s="23"/>
      <c r="F1944" s="24"/>
      <c r="G1944" s="23"/>
      <c r="H1944" s="23"/>
      <c r="I1944" s="23"/>
      <c r="J1944" s="25"/>
      <c r="K1944" s="23"/>
      <c r="L1944" s="23"/>
      <c r="M1944" s="23"/>
      <c r="N1944" s="26"/>
      <c r="O1944" s="26"/>
      <c r="P1944" s="26"/>
      <c r="Q1944" s="26"/>
      <c r="R1944" s="26"/>
      <c r="S1944" s="26"/>
      <c r="T1944" s="26"/>
      <c r="U1944" s="26"/>
      <c r="V1944" s="26"/>
      <c r="W1944" s="27"/>
    </row>
    <row r="1945" spans="1:23" ht="15.75" customHeight="1" x14ac:dyDescent="0.25">
      <c r="A1945" s="23"/>
      <c r="B1945" s="23" t="str">
        <f t="shared" si="8"/>
        <v/>
      </c>
      <c r="C1945" s="23"/>
      <c r="D1945" s="23"/>
      <c r="E1945" s="23"/>
      <c r="F1945" s="24"/>
      <c r="G1945" s="23"/>
      <c r="H1945" s="23"/>
      <c r="I1945" s="23"/>
      <c r="J1945" s="25"/>
      <c r="K1945" s="23"/>
      <c r="L1945" s="23"/>
      <c r="M1945" s="23"/>
      <c r="N1945" s="26"/>
      <c r="O1945" s="26"/>
      <c r="P1945" s="26"/>
      <c r="Q1945" s="26"/>
      <c r="R1945" s="26"/>
      <c r="S1945" s="26"/>
      <c r="T1945" s="26"/>
      <c r="U1945" s="26"/>
      <c r="V1945" s="26"/>
      <c r="W1945" s="27"/>
    </row>
    <row r="1946" spans="1:23" ht="15.75" customHeight="1" x14ac:dyDescent="0.25">
      <c r="A1946" s="23"/>
      <c r="B1946" s="23" t="str">
        <f t="shared" si="8"/>
        <v/>
      </c>
      <c r="C1946" s="23"/>
      <c r="D1946" s="23"/>
      <c r="E1946" s="23"/>
      <c r="F1946" s="24"/>
      <c r="G1946" s="23"/>
      <c r="H1946" s="23"/>
      <c r="I1946" s="23"/>
      <c r="J1946" s="25"/>
      <c r="K1946" s="23"/>
      <c r="L1946" s="23"/>
      <c r="M1946" s="23"/>
      <c r="N1946" s="26"/>
      <c r="O1946" s="26"/>
      <c r="P1946" s="26"/>
      <c r="Q1946" s="26"/>
      <c r="R1946" s="26"/>
      <c r="S1946" s="26"/>
      <c r="T1946" s="26"/>
      <c r="U1946" s="26"/>
      <c r="V1946" s="26"/>
      <c r="W1946" s="27"/>
    </row>
    <row r="1947" spans="1:23" ht="15.75" customHeight="1" x14ac:dyDescent="0.25">
      <c r="A1947" s="23"/>
      <c r="B1947" s="23" t="str">
        <f t="shared" si="8"/>
        <v/>
      </c>
      <c r="C1947" s="23"/>
      <c r="D1947" s="23"/>
      <c r="E1947" s="23"/>
      <c r="F1947" s="24"/>
      <c r="G1947" s="23"/>
      <c r="H1947" s="23"/>
      <c r="I1947" s="23"/>
      <c r="J1947" s="25"/>
      <c r="K1947" s="23"/>
      <c r="L1947" s="23"/>
      <c r="M1947" s="23"/>
      <c r="N1947" s="26"/>
      <c r="O1947" s="26"/>
      <c r="P1947" s="26"/>
      <c r="Q1947" s="26"/>
      <c r="R1947" s="26"/>
      <c r="S1947" s="26"/>
      <c r="T1947" s="26"/>
      <c r="U1947" s="26"/>
      <c r="V1947" s="26"/>
      <c r="W1947" s="27"/>
    </row>
    <row r="1948" spans="1:23" ht="15.75" customHeight="1" x14ac:dyDescent="0.25">
      <c r="A1948" s="23"/>
      <c r="B1948" s="23" t="str">
        <f t="shared" si="8"/>
        <v/>
      </c>
      <c r="C1948" s="23"/>
      <c r="D1948" s="23"/>
      <c r="E1948" s="23"/>
      <c r="F1948" s="24"/>
      <c r="G1948" s="23"/>
      <c r="H1948" s="23"/>
      <c r="I1948" s="23"/>
      <c r="J1948" s="25"/>
      <c r="K1948" s="23"/>
      <c r="L1948" s="23"/>
      <c r="M1948" s="23"/>
      <c r="N1948" s="26"/>
      <c r="O1948" s="26"/>
      <c r="P1948" s="26"/>
      <c r="Q1948" s="26"/>
      <c r="R1948" s="26"/>
      <c r="S1948" s="26"/>
      <c r="T1948" s="26"/>
      <c r="U1948" s="26"/>
      <c r="V1948" s="26"/>
      <c r="W1948" s="27"/>
    </row>
    <row r="1949" spans="1:23" ht="15.75" customHeight="1" x14ac:dyDescent="0.25">
      <c r="A1949" s="23"/>
      <c r="B1949" s="23" t="str">
        <f t="shared" si="8"/>
        <v/>
      </c>
      <c r="C1949" s="23"/>
      <c r="D1949" s="23"/>
      <c r="E1949" s="23"/>
      <c r="F1949" s="24"/>
      <c r="G1949" s="23"/>
      <c r="H1949" s="23"/>
      <c r="I1949" s="23"/>
      <c r="J1949" s="25"/>
      <c r="K1949" s="23"/>
      <c r="L1949" s="23"/>
      <c r="M1949" s="23"/>
      <c r="N1949" s="26"/>
      <c r="O1949" s="26"/>
      <c r="P1949" s="26"/>
      <c r="Q1949" s="26"/>
      <c r="R1949" s="26"/>
      <c r="S1949" s="26"/>
      <c r="T1949" s="26"/>
      <c r="U1949" s="26"/>
      <c r="V1949" s="26"/>
      <c r="W1949" s="27"/>
    </row>
    <row r="1950" spans="1:23" ht="15.75" customHeight="1" x14ac:dyDescent="0.25">
      <c r="A1950" s="23"/>
      <c r="B1950" s="23" t="str">
        <f t="shared" si="8"/>
        <v/>
      </c>
      <c r="C1950" s="23"/>
      <c r="D1950" s="23"/>
      <c r="E1950" s="23"/>
      <c r="F1950" s="24"/>
      <c r="G1950" s="23"/>
      <c r="H1950" s="23"/>
      <c r="I1950" s="23"/>
      <c r="J1950" s="25"/>
      <c r="K1950" s="23"/>
      <c r="L1950" s="23"/>
      <c r="M1950" s="23"/>
      <c r="N1950" s="26"/>
      <c r="O1950" s="26"/>
      <c r="P1950" s="26"/>
      <c r="Q1950" s="26"/>
      <c r="R1950" s="26"/>
      <c r="S1950" s="26"/>
      <c r="T1950" s="26"/>
      <c r="U1950" s="26"/>
      <c r="V1950" s="26"/>
      <c r="W1950" s="27"/>
    </row>
    <row r="1951" spans="1:23" ht="15.75" customHeight="1" x14ac:dyDescent="0.25">
      <c r="A1951" s="23"/>
      <c r="B1951" s="23" t="str">
        <f t="shared" si="8"/>
        <v/>
      </c>
      <c r="C1951" s="23"/>
      <c r="D1951" s="23"/>
      <c r="E1951" s="23"/>
      <c r="F1951" s="24"/>
      <c r="G1951" s="23"/>
      <c r="H1951" s="23"/>
      <c r="I1951" s="23"/>
      <c r="J1951" s="25"/>
      <c r="K1951" s="23"/>
      <c r="L1951" s="23"/>
      <c r="M1951" s="23"/>
      <c r="N1951" s="26"/>
      <c r="O1951" s="26"/>
      <c r="P1951" s="26"/>
      <c r="Q1951" s="26"/>
      <c r="R1951" s="26"/>
      <c r="S1951" s="26"/>
      <c r="T1951" s="26"/>
      <c r="U1951" s="26"/>
      <c r="V1951" s="26"/>
      <c r="W1951" s="27"/>
    </row>
    <row r="1952" spans="1:23" ht="15.75" customHeight="1" x14ac:dyDescent="0.25">
      <c r="A1952" s="23"/>
      <c r="B1952" s="23" t="str">
        <f t="shared" si="8"/>
        <v/>
      </c>
      <c r="C1952" s="23"/>
      <c r="D1952" s="23"/>
      <c r="E1952" s="23"/>
      <c r="F1952" s="24"/>
      <c r="G1952" s="23"/>
      <c r="H1952" s="23"/>
      <c r="I1952" s="23"/>
      <c r="J1952" s="25"/>
      <c r="K1952" s="23"/>
      <c r="L1952" s="23"/>
      <c r="M1952" s="23"/>
      <c r="N1952" s="26"/>
      <c r="O1952" s="26"/>
      <c r="P1952" s="26"/>
      <c r="Q1952" s="26"/>
      <c r="R1952" s="26"/>
      <c r="S1952" s="26"/>
      <c r="T1952" s="26"/>
      <c r="U1952" s="26"/>
      <c r="V1952" s="26"/>
      <c r="W1952" s="27"/>
    </row>
    <row r="1953" spans="1:23" ht="15.75" customHeight="1" x14ac:dyDescent="0.25">
      <c r="A1953" s="23"/>
      <c r="B1953" s="23" t="str">
        <f t="shared" si="8"/>
        <v/>
      </c>
      <c r="C1953" s="23"/>
      <c r="D1953" s="23"/>
      <c r="E1953" s="23"/>
      <c r="F1953" s="24"/>
      <c r="G1953" s="23"/>
      <c r="H1953" s="23"/>
      <c r="I1953" s="23"/>
      <c r="J1953" s="25"/>
      <c r="K1953" s="23"/>
      <c r="L1953" s="23"/>
      <c r="M1953" s="23"/>
      <c r="N1953" s="26"/>
      <c r="O1953" s="26"/>
      <c r="P1953" s="26"/>
      <c r="Q1953" s="26"/>
      <c r="R1953" s="26"/>
      <c r="S1953" s="26"/>
      <c r="T1953" s="26"/>
      <c r="U1953" s="26"/>
      <c r="V1953" s="26"/>
      <c r="W1953" s="27"/>
    </row>
    <row r="1954" spans="1:23" ht="15.75" customHeight="1" x14ac:dyDescent="0.25">
      <c r="A1954" s="23"/>
      <c r="B1954" s="23" t="str">
        <f t="shared" si="8"/>
        <v/>
      </c>
      <c r="C1954" s="23"/>
      <c r="D1954" s="23"/>
      <c r="E1954" s="23"/>
      <c r="F1954" s="24"/>
      <c r="G1954" s="23"/>
      <c r="H1954" s="23"/>
      <c r="I1954" s="23"/>
      <c r="J1954" s="25"/>
      <c r="K1954" s="23"/>
      <c r="L1954" s="23"/>
      <c r="M1954" s="23"/>
      <c r="N1954" s="26"/>
      <c r="O1954" s="26"/>
      <c r="P1954" s="26"/>
      <c r="Q1954" s="26"/>
      <c r="R1954" s="26"/>
      <c r="S1954" s="26"/>
      <c r="T1954" s="26"/>
      <c r="U1954" s="26"/>
      <c r="V1954" s="26"/>
      <c r="W1954" s="27"/>
    </row>
    <row r="1955" spans="1:23" ht="15.75" customHeight="1" x14ac:dyDescent="0.25">
      <c r="A1955" s="23"/>
      <c r="B1955" s="23" t="str">
        <f t="shared" si="8"/>
        <v/>
      </c>
      <c r="C1955" s="23"/>
      <c r="D1955" s="23"/>
      <c r="E1955" s="23"/>
      <c r="F1955" s="24"/>
      <c r="G1955" s="23"/>
      <c r="H1955" s="23"/>
      <c r="I1955" s="23"/>
      <c r="J1955" s="25"/>
      <c r="K1955" s="23"/>
      <c r="L1955" s="23"/>
      <c r="M1955" s="23"/>
      <c r="N1955" s="26"/>
      <c r="O1955" s="26"/>
      <c r="P1955" s="26"/>
      <c r="Q1955" s="26"/>
      <c r="R1955" s="26"/>
      <c r="S1955" s="26"/>
      <c r="T1955" s="26"/>
      <c r="U1955" s="26"/>
      <c r="V1955" s="26"/>
      <c r="W1955" s="27"/>
    </row>
    <row r="1956" spans="1:23" ht="15.75" customHeight="1" x14ac:dyDescent="0.25">
      <c r="A1956" s="23"/>
      <c r="B1956" s="23" t="str">
        <f t="shared" si="8"/>
        <v/>
      </c>
      <c r="C1956" s="23"/>
      <c r="D1956" s="23"/>
      <c r="E1956" s="23"/>
      <c r="F1956" s="24"/>
      <c r="G1956" s="23"/>
      <c r="H1956" s="23"/>
      <c r="I1956" s="23"/>
      <c r="J1956" s="25"/>
      <c r="K1956" s="23"/>
      <c r="L1956" s="23"/>
      <c r="M1956" s="23"/>
      <c r="N1956" s="26"/>
      <c r="O1956" s="26"/>
      <c r="P1956" s="26"/>
      <c r="Q1956" s="26"/>
      <c r="R1956" s="26"/>
      <c r="S1956" s="26"/>
      <c r="T1956" s="26"/>
      <c r="U1956" s="26"/>
      <c r="V1956" s="26"/>
      <c r="W1956" s="27"/>
    </row>
    <row r="1957" spans="1:23" ht="15.75" customHeight="1" x14ac:dyDescent="0.25">
      <c r="A1957" s="23"/>
      <c r="B1957" s="23" t="str">
        <f t="shared" si="8"/>
        <v/>
      </c>
      <c r="C1957" s="23"/>
      <c r="D1957" s="23"/>
      <c r="E1957" s="23"/>
      <c r="F1957" s="24"/>
      <c r="G1957" s="23"/>
      <c r="H1957" s="23"/>
      <c r="I1957" s="23"/>
      <c r="J1957" s="25"/>
      <c r="K1957" s="23"/>
      <c r="L1957" s="23"/>
      <c r="M1957" s="23"/>
      <c r="N1957" s="26"/>
      <c r="O1957" s="26"/>
      <c r="P1957" s="26"/>
      <c r="Q1957" s="26"/>
      <c r="R1957" s="26"/>
      <c r="S1957" s="26"/>
      <c r="T1957" s="26"/>
      <c r="U1957" s="26"/>
      <c r="V1957" s="26"/>
      <c r="W1957" s="27"/>
    </row>
    <row r="1958" spans="1:23" ht="15.75" customHeight="1" x14ac:dyDescent="0.25">
      <c r="A1958" s="23"/>
      <c r="B1958" s="23" t="str">
        <f t="shared" si="8"/>
        <v/>
      </c>
      <c r="C1958" s="23"/>
      <c r="D1958" s="23"/>
      <c r="E1958" s="23"/>
      <c r="F1958" s="24"/>
      <c r="G1958" s="23"/>
      <c r="H1958" s="23"/>
      <c r="I1958" s="23"/>
      <c r="J1958" s="25"/>
      <c r="K1958" s="23"/>
      <c r="L1958" s="23"/>
      <c r="M1958" s="23"/>
      <c r="N1958" s="26"/>
      <c r="O1958" s="26"/>
      <c r="P1958" s="26"/>
      <c r="Q1958" s="26"/>
      <c r="R1958" s="26"/>
      <c r="S1958" s="26"/>
      <c r="T1958" s="26"/>
      <c r="U1958" s="26"/>
      <c r="V1958" s="26"/>
      <c r="W1958" s="27"/>
    </row>
    <row r="1959" spans="1:23" ht="15.75" customHeight="1" x14ac:dyDescent="0.25">
      <c r="A1959" s="23"/>
      <c r="B1959" s="23" t="str">
        <f t="shared" si="8"/>
        <v/>
      </c>
      <c r="C1959" s="23"/>
      <c r="D1959" s="23"/>
      <c r="E1959" s="23"/>
      <c r="F1959" s="24"/>
      <c r="G1959" s="23"/>
      <c r="H1959" s="23"/>
      <c r="I1959" s="23"/>
      <c r="J1959" s="25"/>
      <c r="K1959" s="23"/>
      <c r="L1959" s="23"/>
      <c r="M1959" s="23"/>
      <c r="N1959" s="26"/>
      <c r="O1959" s="26"/>
      <c r="P1959" s="26"/>
      <c r="Q1959" s="26"/>
      <c r="R1959" s="26"/>
      <c r="S1959" s="26"/>
      <c r="T1959" s="26"/>
      <c r="U1959" s="26"/>
      <c r="V1959" s="26"/>
      <c r="W1959" s="27"/>
    </row>
    <row r="1960" spans="1:23" ht="15.75" customHeight="1" x14ac:dyDescent="0.25">
      <c r="A1960" s="23"/>
      <c r="B1960" s="23" t="str">
        <f t="shared" si="8"/>
        <v/>
      </c>
      <c r="C1960" s="23"/>
      <c r="D1960" s="23"/>
      <c r="E1960" s="23"/>
      <c r="F1960" s="24"/>
      <c r="G1960" s="23"/>
      <c r="H1960" s="23"/>
      <c r="I1960" s="23"/>
      <c r="J1960" s="25"/>
      <c r="K1960" s="23"/>
      <c r="L1960" s="23"/>
      <c r="M1960" s="23"/>
      <c r="N1960" s="26"/>
      <c r="O1960" s="26"/>
      <c r="P1960" s="26"/>
      <c r="Q1960" s="26"/>
      <c r="R1960" s="26"/>
      <c r="S1960" s="26"/>
      <c r="T1960" s="26"/>
      <c r="U1960" s="26"/>
      <c r="V1960" s="26"/>
      <c r="W1960" s="27"/>
    </row>
    <row r="1961" spans="1:23" ht="15.75" customHeight="1" x14ac:dyDescent="0.25">
      <c r="A1961" s="23"/>
      <c r="B1961" s="23" t="str">
        <f t="shared" si="8"/>
        <v/>
      </c>
      <c r="C1961" s="23"/>
      <c r="D1961" s="23"/>
      <c r="E1961" s="23"/>
      <c r="F1961" s="24"/>
      <c r="G1961" s="23"/>
      <c r="H1961" s="23"/>
      <c r="I1961" s="23"/>
      <c r="J1961" s="25"/>
      <c r="K1961" s="23"/>
      <c r="L1961" s="23"/>
      <c r="M1961" s="23"/>
      <c r="N1961" s="26"/>
      <c r="O1961" s="26"/>
      <c r="P1961" s="26"/>
      <c r="Q1961" s="26"/>
      <c r="R1961" s="26"/>
      <c r="S1961" s="26"/>
      <c r="T1961" s="26"/>
      <c r="U1961" s="26"/>
      <c r="V1961" s="26"/>
      <c r="W1961" s="27"/>
    </row>
    <row r="1962" spans="1:23" ht="15.75" customHeight="1" x14ac:dyDescent="0.25">
      <c r="A1962" s="23"/>
      <c r="B1962" s="23" t="str">
        <f t="shared" si="8"/>
        <v/>
      </c>
      <c r="C1962" s="23"/>
      <c r="D1962" s="23"/>
      <c r="E1962" s="23"/>
      <c r="F1962" s="24"/>
      <c r="G1962" s="23"/>
      <c r="H1962" s="23"/>
      <c r="I1962" s="23"/>
      <c r="J1962" s="25"/>
      <c r="K1962" s="23"/>
      <c r="L1962" s="23"/>
      <c r="M1962" s="23"/>
      <c r="N1962" s="26"/>
      <c r="O1962" s="26"/>
      <c r="P1962" s="26"/>
      <c r="Q1962" s="26"/>
      <c r="R1962" s="26"/>
      <c r="S1962" s="26"/>
      <c r="T1962" s="26"/>
      <c r="U1962" s="26"/>
      <c r="V1962" s="26"/>
      <c r="W1962" s="27"/>
    </row>
    <row r="1963" spans="1:23" ht="15.75" customHeight="1" x14ac:dyDescent="0.25">
      <c r="A1963" s="23"/>
      <c r="B1963" s="23" t="str">
        <f t="shared" si="8"/>
        <v/>
      </c>
      <c r="C1963" s="23"/>
      <c r="D1963" s="23"/>
      <c r="E1963" s="23"/>
      <c r="F1963" s="24"/>
      <c r="G1963" s="23"/>
      <c r="H1963" s="23"/>
      <c r="I1963" s="23"/>
      <c r="J1963" s="25"/>
      <c r="K1963" s="23"/>
      <c r="L1963" s="23"/>
      <c r="M1963" s="23"/>
      <c r="N1963" s="26"/>
      <c r="O1963" s="26"/>
      <c r="P1963" s="26"/>
      <c r="Q1963" s="26"/>
      <c r="R1963" s="26"/>
      <c r="S1963" s="26"/>
      <c r="T1963" s="26"/>
      <c r="U1963" s="26"/>
      <c r="V1963" s="26"/>
      <c r="W1963" s="27"/>
    </row>
    <row r="1964" spans="1:23" ht="15.75" customHeight="1" x14ac:dyDescent="0.25">
      <c r="A1964" s="23"/>
      <c r="B1964" s="23" t="str">
        <f t="shared" si="8"/>
        <v/>
      </c>
      <c r="C1964" s="23"/>
      <c r="D1964" s="23"/>
      <c r="E1964" s="23"/>
      <c r="F1964" s="24"/>
      <c r="G1964" s="23"/>
      <c r="H1964" s="23"/>
      <c r="I1964" s="23"/>
      <c r="J1964" s="25"/>
      <c r="K1964" s="23"/>
      <c r="L1964" s="23"/>
      <c r="M1964" s="23"/>
      <c r="N1964" s="26"/>
      <c r="O1964" s="26"/>
      <c r="P1964" s="26"/>
      <c r="Q1964" s="26"/>
      <c r="R1964" s="26"/>
      <c r="S1964" s="26"/>
      <c r="T1964" s="26"/>
      <c r="U1964" s="26"/>
      <c r="V1964" s="26"/>
      <c r="W1964" s="27"/>
    </row>
    <row r="1965" spans="1:23" ht="15.75" customHeight="1" x14ac:dyDescent="0.25">
      <c r="A1965" s="23"/>
      <c r="B1965" s="23" t="str">
        <f t="shared" si="8"/>
        <v/>
      </c>
      <c r="C1965" s="23"/>
      <c r="D1965" s="23"/>
      <c r="E1965" s="23"/>
      <c r="F1965" s="24"/>
      <c r="G1965" s="23"/>
      <c r="H1965" s="23"/>
      <c r="I1965" s="23"/>
      <c r="J1965" s="25"/>
      <c r="K1965" s="23"/>
      <c r="L1965" s="23"/>
      <c r="M1965" s="23"/>
      <c r="N1965" s="26"/>
      <c r="O1965" s="26"/>
      <c r="P1965" s="26"/>
      <c r="Q1965" s="26"/>
      <c r="R1965" s="26"/>
      <c r="S1965" s="26"/>
      <c r="T1965" s="26"/>
      <c r="U1965" s="26"/>
      <c r="V1965" s="26"/>
      <c r="W1965" s="27"/>
    </row>
    <row r="1966" spans="1:23" ht="15.75" customHeight="1" x14ac:dyDescent="0.25">
      <c r="A1966" s="23"/>
      <c r="B1966" s="23" t="str">
        <f t="shared" si="8"/>
        <v/>
      </c>
      <c r="C1966" s="23"/>
      <c r="D1966" s="23"/>
      <c r="E1966" s="23"/>
      <c r="F1966" s="24"/>
      <c r="G1966" s="23"/>
      <c r="H1966" s="23"/>
      <c r="I1966" s="23"/>
      <c r="J1966" s="25"/>
      <c r="K1966" s="23"/>
      <c r="L1966" s="23"/>
      <c r="M1966" s="23"/>
      <c r="N1966" s="26"/>
      <c r="O1966" s="26"/>
      <c r="P1966" s="26"/>
      <c r="Q1966" s="26"/>
      <c r="R1966" s="26"/>
      <c r="S1966" s="26"/>
      <c r="T1966" s="26"/>
      <c r="U1966" s="26"/>
      <c r="V1966" s="26"/>
      <c r="W1966" s="27"/>
    </row>
    <row r="1967" spans="1:23" ht="15.75" customHeight="1" x14ac:dyDescent="0.25">
      <c r="A1967" s="23"/>
      <c r="B1967" s="23" t="str">
        <f t="shared" si="8"/>
        <v/>
      </c>
      <c r="C1967" s="23"/>
      <c r="D1967" s="23"/>
      <c r="E1967" s="23"/>
      <c r="F1967" s="24"/>
      <c r="G1967" s="23"/>
      <c r="H1967" s="23"/>
      <c r="I1967" s="23"/>
      <c r="J1967" s="25"/>
      <c r="K1967" s="23"/>
      <c r="L1967" s="23"/>
      <c r="M1967" s="23"/>
      <c r="N1967" s="26"/>
      <c r="O1967" s="26"/>
      <c r="P1967" s="26"/>
      <c r="Q1967" s="26"/>
      <c r="R1967" s="26"/>
      <c r="S1967" s="26"/>
      <c r="T1967" s="26"/>
      <c r="U1967" s="26"/>
      <c r="V1967" s="26"/>
      <c r="W1967" s="27"/>
    </row>
    <row r="1968" spans="1:23" ht="15.75" customHeight="1" x14ac:dyDescent="0.25">
      <c r="A1968" s="23"/>
      <c r="B1968" s="23" t="str">
        <f t="shared" si="8"/>
        <v/>
      </c>
      <c r="C1968" s="23"/>
      <c r="D1968" s="23"/>
      <c r="E1968" s="23"/>
      <c r="F1968" s="24"/>
      <c r="G1968" s="23"/>
      <c r="H1968" s="23"/>
      <c r="I1968" s="23"/>
      <c r="J1968" s="25"/>
      <c r="K1968" s="23"/>
      <c r="L1968" s="23"/>
      <c r="M1968" s="23"/>
      <c r="N1968" s="26"/>
      <c r="O1968" s="26"/>
      <c r="P1968" s="26"/>
      <c r="Q1968" s="26"/>
      <c r="R1968" s="26"/>
      <c r="S1968" s="26"/>
      <c r="T1968" s="26"/>
      <c r="U1968" s="26"/>
      <c r="V1968" s="26"/>
      <c r="W1968" s="27"/>
    </row>
    <row r="1969" spans="1:23" ht="15.75" customHeight="1" x14ac:dyDescent="0.25">
      <c r="A1969" s="23"/>
      <c r="B1969" s="23" t="str">
        <f t="shared" si="8"/>
        <v/>
      </c>
      <c r="C1969" s="23"/>
      <c r="D1969" s="23"/>
      <c r="E1969" s="23"/>
      <c r="F1969" s="24"/>
      <c r="G1969" s="23"/>
      <c r="H1969" s="23"/>
      <c r="I1969" s="23"/>
      <c r="J1969" s="25"/>
      <c r="K1969" s="23"/>
      <c r="L1969" s="23"/>
      <c r="M1969" s="23"/>
      <c r="N1969" s="26"/>
      <c r="O1969" s="26"/>
      <c r="P1969" s="26"/>
      <c r="Q1969" s="26"/>
      <c r="R1969" s="26"/>
      <c r="S1969" s="26"/>
      <c r="T1969" s="26"/>
      <c r="U1969" s="26"/>
      <c r="V1969" s="26"/>
      <c r="W1969" s="27"/>
    </row>
    <row r="1970" spans="1:23" ht="15.75" customHeight="1" x14ac:dyDescent="0.25">
      <c r="A1970" s="23"/>
      <c r="B1970" s="23" t="str">
        <f t="shared" si="8"/>
        <v/>
      </c>
      <c r="C1970" s="23"/>
      <c r="D1970" s="23"/>
      <c r="E1970" s="23"/>
      <c r="F1970" s="24"/>
      <c r="G1970" s="23"/>
      <c r="H1970" s="23"/>
      <c r="I1970" s="23"/>
      <c r="J1970" s="25"/>
      <c r="K1970" s="23"/>
      <c r="L1970" s="23"/>
      <c r="M1970" s="23"/>
      <c r="N1970" s="26"/>
      <c r="O1970" s="26"/>
      <c r="P1970" s="26"/>
      <c r="Q1970" s="26"/>
      <c r="R1970" s="26"/>
      <c r="S1970" s="26"/>
      <c r="T1970" s="26"/>
      <c r="U1970" s="26"/>
      <c r="V1970" s="26"/>
      <c r="W1970" s="27"/>
    </row>
    <row r="1971" spans="1:23" ht="15.75" customHeight="1" x14ac:dyDescent="0.25">
      <c r="A1971" s="23"/>
      <c r="B1971" s="23" t="str">
        <f t="shared" si="8"/>
        <v/>
      </c>
      <c r="C1971" s="23"/>
      <c r="D1971" s="23"/>
      <c r="E1971" s="23"/>
      <c r="F1971" s="24"/>
      <c r="G1971" s="23"/>
      <c r="H1971" s="23"/>
      <c r="I1971" s="23"/>
      <c r="J1971" s="25"/>
      <c r="K1971" s="23"/>
      <c r="L1971" s="23"/>
      <c r="M1971" s="23"/>
      <c r="N1971" s="26"/>
      <c r="O1971" s="26"/>
      <c r="P1971" s="26"/>
      <c r="Q1971" s="26"/>
      <c r="R1971" s="26"/>
      <c r="S1971" s="26"/>
      <c r="T1971" s="26"/>
      <c r="U1971" s="26"/>
      <c r="V1971" s="26"/>
      <c r="W1971" s="27"/>
    </row>
    <row r="1972" spans="1:23" ht="15.75" customHeight="1" x14ac:dyDescent="0.25">
      <c r="A1972" s="23"/>
      <c r="B1972" s="23" t="str">
        <f t="shared" si="8"/>
        <v/>
      </c>
      <c r="C1972" s="23"/>
      <c r="D1972" s="23"/>
      <c r="E1972" s="23"/>
      <c r="F1972" s="24"/>
      <c r="G1972" s="23"/>
      <c r="H1972" s="23"/>
      <c r="I1972" s="23"/>
      <c r="J1972" s="25"/>
      <c r="K1972" s="23"/>
      <c r="L1972" s="23"/>
      <c r="M1972" s="23"/>
      <c r="N1972" s="26"/>
      <c r="O1972" s="26"/>
      <c r="P1972" s="26"/>
      <c r="Q1972" s="26"/>
      <c r="R1972" s="26"/>
      <c r="S1972" s="26"/>
      <c r="T1972" s="26"/>
      <c r="U1972" s="26"/>
      <c r="V1972" s="26"/>
      <c r="W1972" s="27"/>
    </row>
    <row r="1973" spans="1:23" ht="15.75" customHeight="1" x14ac:dyDescent="0.25">
      <c r="A1973" s="23"/>
      <c r="B1973" s="23" t="str">
        <f t="shared" si="8"/>
        <v/>
      </c>
      <c r="C1973" s="23"/>
      <c r="D1973" s="23"/>
      <c r="E1973" s="23"/>
      <c r="F1973" s="24"/>
      <c r="G1973" s="23"/>
      <c r="H1973" s="23"/>
      <c r="I1973" s="23"/>
      <c r="J1973" s="25"/>
      <c r="K1973" s="23"/>
      <c r="L1973" s="23"/>
      <c r="M1973" s="23"/>
      <c r="N1973" s="26"/>
      <c r="O1973" s="26"/>
      <c r="P1973" s="26"/>
      <c r="Q1973" s="26"/>
      <c r="R1973" s="26"/>
      <c r="S1973" s="26"/>
      <c r="T1973" s="26"/>
      <c r="U1973" s="26"/>
      <c r="V1973" s="26"/>
      <c r="W1973" s="27"/>
    </row>
    <row r="1974" spans="1:23" ht="15.75" customHeight="1" x14ac:dyDescent="0.25">
      <c r="A1974" s="23"/>
      <c r="B1974" s="23" t="str">
        <f t="shared" si="8"/>
        <v/>
      </c>
      <c r="C1974" s="23"/>
      <c r="D1974" s="23"/>
      <c r="E1974" s="23"/>
      <c r="F1974" s="24"/>
      <c r="G1974" s="23"/>
      <c r="H1974" s="23"/>
      <c r="I1974" s="23"/>
      <c r="J1974" s="25"/>
      <c r="K1974" s="23"/>
      <c r="L1974" s="23"/>
      <c r="M1974" s="23"/>
      <c r="N1974" s="26"/>
      <c r="O1974" s="26"/>
      <c r="P1974" s="26"/>
      <c r="Q1974" s="26"/>
      <c r="R1974" s="26"/>
      <c r="S1974" s="26"/>
      <c r="T1974" s="26"/>
      <c r="U1974" s="26"/>
      <c r="V1974" s="26"/>
      <c r="W1974" s="27"/>
    </row>
    <row r="1975" spans="1:23" ht="15.75" customHeight="1" x14ac:dyDescent="0.25">
      <c r="A1975" s="23"/>
      <c r="B1975" s="23" t="str">
        <f t="shared" si="8"/>
        <v/>
      </c>
      <c r="C1975" s="23"/>
      <c r="D1975" s="23"/>
      <c r="E1975" s="23"/>
      <c r="F1975" s="24"/>
      <c r="G1975" s="23"/>
      <c r="H1975" s="23"/>
      <c r="I1975" s="23"/>
      <c r="J1975" s="25"/>
      <c r="K1975" s="23"/>
      <c r="L1975" s="23"/>
      <c r="M1975" s="23"/>
      <c r="N1975" s="26"/>
      <c r="O1975" s="26"/>
      <c r="P1975" s="26"/>
      <c r="Q1975" s="26"/>
      <c r="R1975" s="26"/>
      <c r="S1975" s="26"/>
      <c r="T1975" s="26"/>
      <c r="U1975" s="26"/>
      <c r="V1975" s="26"/>
      <c r="W1975" s="27"/>
    </row>
    <row r="1976" spans="1:23" ht="15.75" customHeight="1" x14ac:dyDescent="0.25">
      <c r="A1976" s="23"/>
      <c r="B1976" s="23" t="str">
        <f t="shared" si="8"/>
        <v/>
      </c>
      <c r="C1976" s="23"/>
      <c r="D1976" s="23"/>
      <c r="E1976" s="23"/>
      <c r="F1976" s="24"/>
      <c r="G1976" s="23"/>
      <c r="H1976" s="23"/>
      <c r="I1976" s="23"/>
      <c r="J1976" s="25"/>
      <c r="K1976" s="23"/>
      <c r="L1976" s="23"/>
      <c r="M1976" s="23"/>
      <c r="N1976" s="26"/>
      <c r="O1976" s="26"/>
      <c r="P1976" s="26"/>
      <c r="Q1976" s="26"/>
      <c r="R1976" s="26"/>
      <c r="S1976" s="26"/>
      <c r="T1976" s="26"/>
      <c r="U1976" s="26"/>
      <c r="V1976" s="26"/>
      <c r="W1976" s="27"/>
    </row>
    <row r="1977" spans="1:23" ht="15.75" customHeight="1" x14ac:dyDescent="0.25">
      <c r="A1977" s="23"/>
      <c r="B1977" s="23" t="str">
        <f t="shared" si="8"/>
        <v/>
      </c>
      <c r="C1977" s="23"/>
      <c r="D1977" s="23"/>
      <c r="E1977" s="23"/>
      <c r="F1977" s="24"/>
      <c r="G1977" s="23"/>
      <c r="H1977" s="23"/>
      <c r="I1977" s="23"/>
      <c r="J1977" s="25"/>
      <c r="K1977" s="23"/>
      <c r="L1977" s="23"/>
      <c r="M1977" s="23"/>
      <c r="N1977" s="26"/>
      <c r="O1977" s="26"/>
      <c r="P1977" s="26"/>
      <c r="Q1977" s="26"/>
      <c r="R1977" s="26"/>
      <c r="S1977" s="26"/>
      <c r="T1977" s="26"/>
      <c r="U1977" s="26"/>
      <c r="V1977" s="26"/>
      <c r="W1977" s="27"/>
    </row>
    <row r="1978" spans="1:23" ht="15.75" customHeight="1" x14ac:dyDescent="0.25">
      <c r="A1978" s="23"/>
      <c r="B1978" s="23" t="str">
        <f t="shared" si="8"/>
        <v/>
      </c>
      <c r="C1978" s="23"/>
      <c r="D1978" s="23"/>
      <c r="E1978" s="23"/>
      <c r="F1978" s="24"/>
      <c r="G1978" s="23"/>
      <c r="H1978" s="23"/>
      <c r="I1978" s="23"/>
      <c r="J1978" s="25"/>
      <c r="K1978" s="23"/>
      <c r="L1978" s="23"/>
      <c r="M1978" s="23"/>
      <c r="N1978" s="26"/>
      <c r="O1978" s="26"/>
      <c r="P1978" s="26"/>
      <c r="Q1978" s="26"/>
      <c r="R1978" s="26"/>
      <c r="S1978" s="26"/>
      <c r="T1978" s="26"/>
      <c r="U1978" s="26"/>
      <c r="V1978" s="26"/>
      <c r="W1978" s="27"/>
    </row>
    <row r="1979" spans="1:23" ht="15.75" customHeight="1" x14ac:dyDescent="0.25">
      <c r="A1979" s="23"/>
      <c r="B1979" s="23" t="str">
        <f t="shared" si="8"/>
        <v/>
      </c>
      <c r="C1979" s="23"/>
      <c r="D1979" s="23"/>
      <c r="E1979" s="23"/>
      <c r="F1979" s="24"/>
      <c r="G1979" s="23"/>
      <c r="H1979" s="23"/>
      <c r="I1979" s="23"/>
      <c r="J1979" s="25"/>
      <c r="K1979" s="23"/>
      <c r="L1979" s="23"/>
      <c r="M1979" s="23"/>
      <c r="N1979" s="26"/>
      <c r="O1979" s="26"/>
      <c r="P1979" s="26"/>
      <c r="Q1979" s="26"/>
      <c r="R1979" s="26"/>
      <c r="S1979" s="26"/>
      <c r="T1979" s="26"/>
      <c r="U1979" s="26"/>
      <c r="V1979" s="26"/>
      <c r="W1979" s="27"/>
    </row>
    <row r="1980" spans="1:23" ht="15.75" customHeight="1" x14ac:dyDescent="0.25">
      <c r="A1980" s="23"/>
      <c r="B1980" s="23" t="str">
        <f t="shared" si="8"/>
        <v/>
      </c>
      <c r="C1980" s="23"/>
      <c r="D1980" s="23"/>
      <c r="E1980" s="23"/>
      <c r="F1980" s="24"/>
      <c r="G1980" s="23"/>
      <c r="H1980" s="23"/>
      <c r="I1980" s="23"/>
      <c r="J1980" s="25"/>
      <c r="K1980" s="23"/>
      <c r="L1980" s="23"/>
      <c r="M1980" s="23"/>
      <c r="N1980" s="26"/>
      <c r="O1980" s="26"/>
      <c r="P1980" s="26"/>
      <c r="Q1980" s="26"/>
      <c r="R1980" s="26"/>
      <c r="S1980" s="26"/>
      <c r="T1980" s="26"/>
      <c r="U1980" s="26"/>
      <c r="V1980" s="26"/>
      <c r="W1980" s="27"/>
    </row>
    <row r="1981" spans="1:23" ht="15.75" customHeight="1" x14ac:dyDescent="0.25">
      <c r="A1981" s="23"/>
      <c r="B1981" s="23" t="str">
        <f t="shared" si="8"/>
        <v/>
      </c>
      <c r="C1981" s="23"/>
      <c r="D1981" s="23"/>
      <c r="E1981" s="23"/>
      <c r="F1981" s="24"/>
      <c r="G1981" s="23"/>
      <c r="H1981" s="23"/>
      <c r="I1981" s="23"/>
      <c r="J1981" s="25"/>
      <c r="K1981" s="23"/>
      <c r="L1981" s="23"/>
      <c r="M1981" s="23"/>
      <c r="N1981" s="26"/>
      <c r="O1981" s="26"/>
      <c r="P1981" s="26"/>
      <c r="Q1981" s="26"/>
      <c r="R1981" s="26"/>
      <c r="S1981" s="26"/>
      <c r="T1981" s="26"/>
      <c r="U1981" s="26"/>
      <c r="V1981" s="26"/>
      <c r="W1981" s="27"/>
    </row>
    <row r="1982" spans="1:23" ht="15.75" customHeight="1" x14ac:dyDescent="0.25">
      <c r="A1982" s="23"/>
      <c r="B1982" s="23" t="str">
        <f t="shared" si="8"/>
        <v/>
      </c>
      <c r="C1982" s="23"/>
      <c r="D1982" s="23"/>
      <c r="E1982" s="23"/>
      <c r="F1982" s="24"/>
      <c r="G1982" s="23"/>
      <c r="H1982" s="23"/>
      <c r="I1982" s="23"/>
      <c r="J1982" s="25"/>
      <c r="K1982" s="23"/>
      <c r="L1982" s="23"/>
      <c r="M1982" s="23"/>
      <c r="N1982" s="26"/>
      <c r="O1982" s="26"/>
      <c r="P1982" s="26"/>
      <c r="Q1982" s="26"/>
      <c r="R1982" s="26"/>
      <c r="S1982" s="26"/>
      <c r="T1982" s="26"/>
      <c r="U1982" s="26"/>
      <c r="V1982" s="26"/>
      <c r="W1982" s="27"/>
    </row>
    <row r="1983" spans="1:23" ht="15.75" customHeight="1" x14ac:dyDescent="0.25">
      <c r="A1983" s="23"/>
      <c r="B1983" s="23" t="str">
        <f t="shared" si="8"/>
        <v/>
      </c>
      <c r="C1983" s="23"/>
      <c r="D1983" s="23"/>
      <c r="E1983" s="23"/>
      <c r="F1983" s="24"/>
      <c r="G1983" s="23"/>
      <c r="H1983" s="23"/>
      <c r="I1983" s="23"/>
      <c r="J1983" s="25"/>
      <c r="K1983" s="23"/>
      <c r="L1983" s="23"/>
      <c r="M1983" s="23"/>
      <c r="N1983" s="26"/>
      <c r="O1983" s="26"/>
      <c r="P1983" s="26"/>
      <c r="Q1983" s="26"/>
      <c r="R1983" s="26"/>
      <c r="S1983" s="26"/>
      <c r="T1983" s="26"/>
      <c r="U1983" s="26"/>
      <c r="V1983" s="26"/>
      <c r="W1983" s="27"/>
    </row>
    <row r="1984" spans="1:23" ht="15.75" customHeight="1" x14ac:dyDescent="0.25">
      <c r="A1984" s="23"/>
      <c r="B1984" s="23" t="str">
        <f t="shared" si="8"/>
        <v/>
      </c>
      <c r="C1984" s="23"/>
      <c r="D1984" s="23"/>
      <c r="E1984" s="23"/>
      <c r="F1984" s="24"/>
      <c r="G1984" s="23"/>
      <c r="H1984" s="23"/>
      <c r="I1984" s="23"/>
      <c r="J1984" s="25"/>
      <c r="K1984" s="23"/>
      <c r="L1984" s="23"/>
      <c r="M1984" s="23"/>
      <c r="N1984" s="26"/>
      <c r="O1984" s="26"/>
      <c r="P1984" s="26"/>
      <c r="Q1984" s="26"/>
      <c r="R1984" s="26"/>
      <c r="S1984" s="26"/>
      <c r="T1984" s="26"/>
      <c r="U1984" s="26"/>
      <c r="V1984" s="26"/>
      <c r="W1984" s="27"/>
    </row>
    <row r="1985" spans="1:23" ht="15.75" customHeight="1" x14ac:dyDescent="0.25">
      <c r="A1985" s="23"/>
      <c r="B1985" s="23" t="str">
        <f t="shared" si="8"/>
        <v/>
      </c>
      <c r="C1985" s="23"/>
      <c r="D1985" s="23"/>
      <c r="E1985" s="23"/>
      <c r="F1985" s="24"/>
      <c r="G1985" s="23"/>
      <c r="H1985" s="23"/>
      <c r="I1985" s="23"/>
      <c r="J1985" s="25"/>
      <c r="K1985" s="23"/>
      <c r="L1985" s="23"/>
      <c r="M1985" s="23"/>
      <c r="N1985" s="26"/>
      <c r="O1985" s="26"/>
      <c r="P1985" s="26"/>
      <c r="Q1985" s="26"/>
      <c r="R1985" s="26"/>
      <c r="S1985" s="26"/>
      <c r="T1985" s="26"/>
      <c r="U1985" s="26"/>
      <c r="V1985" s="26"/>
      <c r="W1985" s="27"/>
    </row>
    <row r="1986" spans="1:23" ht="15.75" customHeight="1" x14ac:dyDescent="0.25">
      <c r="A1986" s="23"/>
      <c r="B1986" s="23" t="str">
        <f t="shared" si="8"/>
        <v/>
      </c>
      <c r="C1986" s="23"/>
      <c r="D1986" s="23"/>
      <c r="E1986" s="23"/>
      <c r="F1986" s="24"/>
      <c r="G1986" s="23"/>
      <c r="H1986" s="23"/>
      <c r="I1986" s="23"/>
      <c r="J1986" s="25"/>
      <c r="K1986" s="23"/>
      <c r="L1986" s="23"/>
      <c r="M1986" s="23"/>
      <c r="N1986" s="26"/>
      <c r="O1986" s="26"/>
      <c r="P1986" s="26"/>
      <c r="Q1986" s="26"/>
      <c r="R1986" s="26"/>
      <c r="S1986" s="26"/>
      <c r="T1986" s="26"/>
      <c r="U1986" s="26"/>
      <c r="V1986" s="26"/>
      <c r="W1986" s="27"/>
    </row>
    <row r="1987" spans="1:23" ht="15.75" customHeight="1" x14ac:dyDescent="0.25">
      <c r="A1987" s="23"/>
      <c r="B1987" s="23" t="str">
        <f t="shared" si="8"/>
        <v/>
      </c>
      <c r="C1987" s="23"/>
      <c r="D1987" s="23"/>
      <c r="E1987" s="23"/>
      <c r="F1987" s="24"/>
      <c r="G1987" s="23"/>
      <c r="H1987" s="23"/>
      <c r="I1987" s="23"/>
      <c r="J1987" s="25"/>
      <c r="K1987" s="23"/>
      <c r="L1987" s="23"/>
      <c r="M1987" s="23"/>
      <c r="N1987" s="26"/>
      <c r="O1987" s="26"/>
      <c r="P1987" s="26"/>
      <c r="Q1987" s="26"/>
      <c r="R1987" s="26"/>
      <c r="S1987" s="26"/>
      <c r="T1987" s="26"/>
      <c r="U1987" s="26"/>
      <c r="V1987" s="26"/>
      <c r="W1987" s="27"/>
    </row>
    <row r="1988" spans="1:23" ht="15.75" customHeight="1" x14ac:dyDescent="0.25">
      <c r="A1988" s="23"/>
      <c r="B1988" s="23" t="str">
        <f t="shared" si="8"/>
        <v/>
      </c>
      <c r="C1988" s="23"/>
      <c r="D1988" s="23"/>
      <c r="E1988" s="23"/>
      <c r="F1988" s="24"/>
      <c r="G1988" s="23"/>
      <c r="H1988" s="23"/>
      <c r="I1988" s="23"/>
      <c r="J1988" s="25"/>
      <c r="K1988" s="23"/>
      <c r="L1988" s="23"/>
      <c r="M1988" s="23"/>
      <c r="N1988" s="26"/>
      <c r="O1988" s="26"/>
      <c r="P1988" s="26"/>
      <c r="Q1988" s="26"/>
      <c r="R1988" s="26"/>
      <c r="S1988" s="26"/>
      <c r="T1988" s="26"/>
      <c r="U1988" s="26"/>
      <c r="V1988" s="26"/>
      <c r="W1988" s="27"/>
    </row>
    <row r="1989" spans="1:23" ht="15.75" customHeight="1" x14ac:dyDescent="0.25">
      <c r="A1989" s="23"/>
      <c r="B1989" s="23" t="str">
        <f t="shared" si="8"/>
        <v/>
      </c>
      <c r="C1989" s="23"/>
      <c r="D1989" s="23"/>
      <c r="E1989" s="23"/>
      <c r="F1989" s="24"/>
      <c r="G1989" s="23"/>
      <c r="H1989" s="23"/>
      <c r="I1989" s="23"/>
      <c r="J1989" s="25"/>
      <c r="K1989" s="23"/>
      <c r="L1989" s="23"/>
      <c r="M1989" s="23"/>
      <c r="N1989" s="26"/>
      <c r="O1989" s="26"/>
      <c r="P1989" s="26"/>
      <c r="Q1989" s="26"/>
      <c r="R1989" s="26"/>
      <c r="S1989" s="26"/>
      <c r="T1989" s="26"/>
      <c r="U1989" s="26"/>
      <c r="V1989" s="26"/>
      <c r="W1989" s="27"/>
    </row>
    <row r="1990" spans="1:23" ht="15.75" customHeight="1" x14ac:dyDescent="0.25">
      <c r="A1990" s="23"/>
      <c r="B1990" s="23" t="str">
        <f t="shared" si="8"/>
        <v/>
      </c>
      <c r="C1990" s="23"/>
      <c r="D1990" s="23"/>
      <c r="E1990" s="23"/>
      <c r="F1990" s="24"/>
      <c r="G1990" s="23"/>
      <c r="H1990" s="23"/>
      <c r="I1990" s="23"/>
      <c r="J1990" s="25"/>
      <c r="K1990" s="23"/>
      <c r="L1990" s="23"/>
      <c r="M1990" s="23"/>
      <c r="N1990" s="26"/>
      <c r="O1990" s="26"/>
      <c r="P1990" s="26"/>
      <c r="Q1990" s="26"/>
      <c r="R1990" s="26"/>
      <c r="S1990" s="26"/>
      <c r="T1990" s="26"/>
      <c r="U1990" s="26"/>
      <c r="V1990" s="26"/>
      <c r="W1990" s="27"/>
    </row>
    <row r="1991" spans="1:23" ht="15.75" customHeight="1" x14ac:dyDescent="0.25">
      <c r="A1991" s="23"/>
      <c r="B1991" s="23" t="str">
        <f t="shared" si="8"/>
        <v/>
      </c>
      <c r="C1991" s="23"/>
      <c r="D1991" s="23"/>
      <c r="E1991" s="23"/>
      <c r="F1991" s="24"/>
      <c r="G1991" s="23"/>
      <c r="H1991" s="23"/>
      <c r="I1991" s="23"/>
      <c r="J1991" s="25"/>
      <c r="K1991" s="23"/>
      <c r="L1991" s="23"/>
      <c r="M1991" s="23"/>
      <c r="N1991" s="26"/>
      <c r="O1991" s="26"/>
      <c r="P1991" s="26"/>
      <c r="Q1991" s="26"/>
      <c r="R1991" s="26"/>
      <c r="S1991" s="26"/>
      <c r="T1991" s="26"/>
      <c r="U1991" s="26"/>
      <c r="V1991" s="26"/>
      <c r="W1991" s="27"/>
    </row>
    <row r="1992" spans="1:23" ht="15.75" customHeight="1" x14ac:dyDescent="0.25">
      <c r="A1992" s="23"/>
      <c r="B1992" s="23" t="str">
        <f t="shared" si="8"/>
        <v/>
      </c>
      <c r="C1992" s="23"/>
      <c r="D1992" s="23"/>
      <c r="E1992" s="23"/>
      <c r="F1992" s="24"/>
      <c r="G1992" s="23"/>
      <c r="H1992" s="23"/>
      <c r="I1992" s="23"/>
      <c r="J1992" s="25"/>
      <c r="K1992" s="23"/>
      <c r="L1992" s="23"/>
      <c r="M1992" s="23"/>
      <c r="N1992" s="26"/>
      <c r="O1992" s="26"/>
      <c r="P1992" s="26"/>
      <c r="Q1992" s="26"/>
      <c r="R1992" s="26"/>
      <c r="S1992" s="26"/>
      <c r="T1992" s="26"/>
      <c r="U1992" s="26"/>
      <c r="V1992" s="26"/>
      <c r="W1992" s="27"/>
    </row>
    <row r="1993" spans="1:23" ht="15.75" customHeight="1" x14ac:dyDescent="0.25">
      <c r="A1993" s="23"/>
      <c r="B1993" s="23" t="str">
        <f t="shared" si="8"/>
        <v/>
      </c>
      <c r="C1993" s="23"/>
      <c r="D1993" s="23"/>
      <c r="E1993" s="23"/>
      <c r="F1993" s="24"/>
      <c r="G1993" s="23"/>
      <c r="H1993" s="23"/>
      <c r="I1993" s="23"/>
      <c r="J1993" s="25"/>
      <c r="K1993" s="23"/>
      <c r="L1993" s="23"/>
      <c r="M1993" s="23"/>
      <c r="N1993" s="26"/>
      <c r="O1993" s="26"/>
      <c r="P1993" s="26"/>
      <c r="Q1993" s="26"/>
      <c r="R1993" s="26"/>
      <c r="S1993" s="26"/>
      <c r="T1993" s="26"/>
      <c r="U1993" s="26"/>
      <c r="V1993" s="26"/>
      <c r="W1993" s="27"/>
    </row>
    <row r="1994" spans="1:23" ht="15.75" customHeight="1" x14ac:dyDescent="0.25">
      <c r="A1994" s="23"/>
      <c r="B1994" s="23" t="str">
        <f t="shared" si="8"/>
        <v/>
      </c>
      <c r="C1994" s="23"/>
      <c r="D1994" s="23"/>
      <c r="E1994" s="23"/>
      <c r="F1994" s="24"/>
      <c r="G1994" s="23"/>
      <c r="H1994" s="23"/>
      <c r="I1994" s="23"/>
      <c r="J1994" s="25"/>
      <c r="K1994" s="23"/>
      <c r="L1994" s="23"/>
      <c r="M1994" s="23"/>
      <c r="N1994" s="26"/>
      <c r="O1994" s="26"/>
      <c r="P1994" s="26"/>
      <c r="Q1994" s="26"/>
      <c r="R1994" s="26"/>
      <c r="S1994" s="26"/>
      <c r="T1994" s="26"/>
      <c r="U1994" s="26"/>
      <c r="V1994" s="26"/>
      <c r="W1994" s="27"/>
    </row>
    <row r="1995" spans="1:23" ht="15.75" customHeight="1" x14ac:dyDescent="0.25">
      <c r="A1995" s="23"/>
      <c r="B1995" s="23" t="str">
        <f t="shared" si="8"/>
        <v/>
      </c>
      <c r="C1995" s="23"/>
      <c r="D1995" s="23"/>
      <c r="E1995" s="23"/>
      <c r="F1995" s="24"/>
      <c r="G1995" s="23"/>
      <c r="H1995" s="23"/>
      <c r="I1995" s="23"/>
      <c r="J1995" s="25"/>
      <c r="K1995" s="23"/>
      <c r="L1995" s="23"/>
      <c r="M1995" s="23"/>
      <c r="N1995" s="26"/>
      <c r="O1995" s="26"/>
      <c r="P1995" s="26"/>
      <c r="Q1995" s="26"/>
      <c r="R1995" s="26"/>
      <c r="S1995" s="26"/>
      <c r="T1995" s="26"/>
      <c r="U1995" s="26"/>
      <c r="V1995" s="26"/>
      <c r="W1995" s="27"/>
    </row>
    <row r="1996" spans="1:23" ht="15.75" customHeight="1" x14ac:dyDescent="0.25">
      <c r="A1996" s="23"/>
      <c r="B1996" s="23" t="str">
        <f t="shared" si="8"/>
        <v/>
      </c>
      <c r="C1996" s="23"/>
      <c r="D1996" s="23"/>
      <c r="E1996" s="23"/>
      <c r="F1996" s="24"/>
      <c r="G1996" s="23"/>
      <c r="H1996" s="23"/>
      <c r="I1996" s="23"/>
      <c r="J1996" s="25"/>
      <c r="K1996" s="23"/>
      <c r="L1996" s="23"/>
      <c r="M1996" s="23"/>
      <c r="N1996" s="26"/>
      <c r="O1996" s="26"/>
      <c r="P1996" s="26"/>
      <c r="Q1996" s="26"/>
      <c r="R1996" s="26"/>
      <c r="S1996" s="26"/>
      <c r="T1996" s="26"/>
      <c r="U1996" s="26"/>
      <c r="V1996" s="26"/>
      <c r="W1996" s="27"/>
    </row>
    <row r="1997" spans="1:23" ht="15.75" customHeight="1" x14ac:dyDescent="0.25">
      <c r="A1997" s="23"/>
      <c r="B1997" s="23" t="str">
        <f t="shared" si="8"/>
        <v/>
      </c>
      <c r="C1997" s="23"/>
      <c r="D1997" s="23"/>
      <c r="E1997" s="23"/>
      <c r="F1997" s="24"/>
      <c r="G1997" s="23"/>
      <c r="H1997" s="23"/>
      <c r="I1997" s="23"/>
      <c r="J1997" s="25"/>
      <c r="K1997" s="23"/>
      <c r="L1997" s="23"/>
      <c r="M1997" s="23"/>
      <c r="N1997" s="26"/>
      <c r="O1997" s="26"/>
      <c r="P1997" s="26"/>
      <c r="Q1997" s="26"/>
      <c r="R1997" s="26"/>
      <c r="S1997" s="26"/>
      <c r="T1997" s="26"/>
      <c r="U1997" s="26"/>
      <c r="V1997" s="26"/>
      <c r="W1997" s="27"/>
    </row>
    <row r="1998" spans="1:23" ht="15.75" customHeight="1" x14ac:dyDescent="0.25">
      <c r="A1998" s="23"/>
      <c r="B1998" s="23" t="str">
        <f t="shared" si="8"/>
        <v/>
      </c>
      <c r="C1998" s="23"/>
      <c r="D1998" s="23"/>
      <c r="E1998" s="23"/>
      <c r="F1998" s="24"/>
      <c r="G1998" s="23"/>
      <c r="H1998" s="23"/>
      <c r="I1998" s="23"/>
      <c r="J1998" s="25"/>
      <c r="K1998" s="23"/>
      <c r="L1998" s="23"/>
      <c r="M1998" s="23"/>
      <c r="N1998" s="26"/>
      <c r="O1998" s="26"/>
      <c r="P1998" s="26"/>
      <c r="Q1998" s="26"/>
      <c r="R1998" s="26"/>
      <c r="S1998" s="26"/>
      <c r="T1998" s="26"/>
      <c r="U1998" s="26"/>
      <c r="V1998" s="26"/>
      <c r="W1998" s="27"/>
    </row>
    <row r="1999" spans="1:23" ht="15.75" customHeight="1" x14ac:dyDescent="0.25">
      <c r="A1999" s="23"/>
      <c r="B1999" s="23" t="str">
        <f t="shared" si="8"/>
        <v/>
      </c>
      <c r="C1999" s="23"/>
      <c r="D1999" s="23"/>
      <c r="E1999" s="23"/>
      <c r="F1999" s="24"/>
      <c r="G1999" s="23"/>
      <c r="H1999" s="23"/>
      <c r="I1999" s="23"/>
      <c r="J1999" s="25"/>
      <c r="K1999" s="23"/>
      <c r="L1999" s="23"/>
      <c r="M1999" s="23"/>
      <c r="N1999" s="26"/>
      <c r="O1999" s="26"/>
      <c r="P1999" s="26"/>
      <c r="Q1999" s="26"/>
      <c r="R1999" s="26"/>
      <c r="S1999" s="26"/>
      <c r="T1999" s="26"/>
      <c r="U1999" s="26"/>
      <c r="V1999" s="26"/>
      <c r="W1999" s="27"/>
    </row>
  </sheetData>
  <mergeCells count="5">
    <mergeCell ref="A13:B15"/>
    <mergeCell ref="C13:W15"/>
    <mergeCell ref="A16:B16"/>
    <mergeCell ref="C16:W16"/>
    <mergeCell ref="K20:W20"/>
  </mergeCells>
  <conditionalFormatting sqref="E21">
    <cfRule type="expression" dxfId="0" priority="1" stopIfTrue="1">
      <formula>AND(COUNTIF(#REF!, E21)+COUNTIF($E$21, E21)&gt;1,NOT(ISBLANK(E21)))</formula>
    </cfRule>
  </conditionalFormatting>
  <dataValidations count="1">
    <dataValidation type="list" allowBlank="1" showErrorMessage="1" sqref="J22:J999" xr:uid="{00000000-0002-0000-0000-000000000000}">
      <formula1>$N$8:$O$8</formula1>
    </dataValidation>
  </dataValidations>
  <pageMargins left="0.7" right="0.7" top="0.75" bottom="0.75" header="0" footer="0"/>
  <pageSetup paperSize="5" scale="39" fitToHeight="0" orientation="landscape" r:id="rId1"/>
  <rowBreaks count="1" manualBreakCount="1">
    <brk id="578" max="22" man="1"/>
  </rowBreaks>
  <ignoredErrors>
    <ignoredError sqref="F644:H65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2001"/>
  <sheetViews>
    <sheetView showGridLines="0" zoomScale="70" zoomScaleNormal="70" workbookViewId="0">
      <pane ySplit="21" topLeftCell="A22" activePane="bottomLeft" state="frozen"/>
      <selection pane="bottomLeft" activeCell="A13" sqref="A13:B15"/>
    </sheetView>
  </sheetViews>
  <sheetFormatPr baseColWidth="10" defaultColWidth="14.42578125" defaultRowHeight="15" customHeight="1" x14ac:dyDescent="0.25"/>
  <cols>
    <col min="1" max="1" width="24.28515625" customWidth="1"/>
    <col min="2" max="2" width="18.5703125" customWidth="1"/>
    <col min="3" max="3" width="77.7109375" customWidth="1"/>
    <col min="4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19.28515625" customWidth="1"/>
    <col min="10" max="10" width="47.140625" bestFit="1" customWidth="1"/>
    <col min="11" max="11" width="17.140625" customWidth="1"/>
    <col min="12" max="12" width="19.5703125" customWidth="1"/>
    <col min="13" max="13" width="16.7109375" customWidth="1"/>
    <col min="14" max="14" width="19" customWidth="1"/>
    <col min="15" max="15" width="19.28515625" customWidth="1"/>
    <col min="16" max="16" width="16.7109375" customWidth="1"/>
    <col min="17" max="17" width="18.140625" customWidth="1"/>
    <col min="18" max="18" width="19.42578125" customWidth="1"/>
    <col min="19" max="19" width="15.85546875" hidden="1" customWidth="1"/>
    <col min="20" max="20" width="11.42578125" hidden="1" customWidth="1"/>
    <col min="21" max="21" width="15.28515625" hidden="1" customWidth="1"/>
    <col min="22" max="22" width="14.28515625" hidden="1" customWidth="1"/>
    <col min="23" max="23" width="18.42578125" customWidth="1"/>
    <col min="24" max="24" width="10.7109375" hidden="1" customWidth="1"/>
    <col min="25" max="26" width="10.7109375" customWidth="1"/>
  </cols>
  <sheetData>
    <row r="1" spans="1:26" x14ac:dyDescent="0.25">
      <c r="A1" s="1"/>
      <c r="B1" s="1"/>
      <c r="C1" s="1"/>
      <c r="D1" s="1"/>
      <c r="E1" s="1"/>
      <c r="F1" s="34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 x14ac:dyDescent="0.25">
      <c r="A2" s="1"/>
      <c r="B2" s="1"/>
      <c r="C2" s="1"/>
      <c r="D2" s="1"/>
      <c r="E2" s="1"/>
      <c r="F2" s="34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 x14ac:dyDescent="0.25">
      <c r="A3" s="1"/>
      <c r="B3" s="1"/>
      <c r="C3" s="1"/>
      <c r="D3" s="1"/>
      <c r="E3" s="1"/>
      <c r="F3" s="34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 x14ac:dyDescent="0.25">
      <c r="A4" s="1"/>
      <c r="B4" s="1"/>
      <c r="C4" s="1"/>
      <c r="D4" s="1"/>
      <c r="E4" s="1"/>
      <c r="F4" s="34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 x14ac:dyDescent="0.25">
      <c r="A5" s="1"/>
      <c r="B5" s="1"/>
      <c r="C5" s="1"/>
      <c r="D5" s="1"/>
      <c r="E5" s="1"/>
      <c r="F5" s="34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 x14ac:dyDescent="0.25">
      <c r="A6" s="1"/>
      <c r="B6" s="1"/>
      <c r="C6" s="1"/>
      <c r="D6" s="1"/>
      <c r="E6" s="1"/>
      <c r="F6" s="34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 x14ac:dyDescent="0.25">
      <c r="A7" s="35" t="str">
        <f>'05.05.03.33.03.005 - PMU'!A7</f>
        <v>AGOSTO</v>
      </c>
      <c r="B7" s="1"/>
      <c r="C7" s="1"/>
      <c r="D7" s="1"/>
      <c r="E7" s="1"/>
      <c r="F7" s="34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1"/>
      <c r="F8" s="34"/>
      <c r="G8" s="1"/>
      <c r="H8" s="3"/>
      <c r="I8" s="3"/>
      <c r="J8" s="4"/>
      <c r="K8" s="1"/>
      <c r="L8" s="1"/>
      <c r="M8" s="1"/>
      <c r="N8" s="7" t="s">
        <v>2</v>
      </c>
      <c r="O8" s="7" t="s">
        <v>3</v>
      </c>
      <c r="P8" s="7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1"/>
      <c r="F9" s="34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 x14ac:dyDescent="0.25">
      <c r="A10" s="8" t="s">
        <v>5</v>
      </c>
      <c r="B10" s="1"/>
      <c r="C10" s="5"/>
      <c r="D10" s="5"/>
      <c r="E10" s="1"/>
      <c r="F10" s="34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x14ac:dyDescent="0.25">
      <c r="A11" s="82" t="s">
        <v>43</v>
      </c>
      <c r="B11" s="1"/>
      <c r="C11" s="5"/>
      <c r="D11" s="5"/>
      <c r="E11" s="1"/>
      <c r="F11" s="34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34"/>
      <c r="G12" s="1"/>
      <c r="H12" s="3"/>
      <c r="I12" s="3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1"/>
      <c r="Y12" s="1"/>
      <c r="Z12" s="1"/>
    </row>
    <row r="13" spans="1:26" ht="12.75" customHeight="1" x14ac:dyDescent="0.25">
      <c r="A13" s="90" t="s">
        <v>6</v>
      </c>
      <c r="B13" s="91"/>
      <c r="C13" s="96" t="s">
        <v>7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1"/>
      <c r="X13" s="1"/>
      <c r="Y13" s="1"/>
      <c r="Z13" s="1"/>
    </row>
    <row r="14" spans="1:26" ht="12.75" customHeight="1" x14ac:dyDescent="0.25">
      <c r="A14" s="92"/>
      <c r="B14" s="93"/>
      <c r="C14" s="9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3"/>
      <c r="X14" s="1"/>
      <c r="Y14" s="1"/>
      <c r="Z14" s="1"/>
    </row>
    <row r="15" spans="1:26" ht="36" customHeight="1" x14ac:dyDescent="0.25">
      <c r="A15" s="94"/>
      <c r="B15" s="95"/>
      <c r="C15" s="94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5"/>
      <c r="X15" s="1"/>
      <c r="Y15" s="1"/>
      <c r="Z15" s="1"/>
    </row>
    <row r="16" spans="1:26" ht="22.5" customHeight="1" x14ac:dyDescent="0.25">
      <c r="A16" s="100" t="s">
        <v>8</v>
      </c>
      <c r="B16" s="89"/>
      <c r="C16" s="101" t="s">
        <v>9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9"/>
      <c r="X16" s="1"/>
      <c r="Y16" s="1"/>
      <c r="Z16" s="1"/>
    </row>
    <row r="17" spans="1:24" x14ac:dyDescent="0.25">
      <c r="F17" s="36"/>
      <c r="J17" s="10"/>
      <c r="W17" s="11"/>
    </row>
    <row r="18" spans="1:24" x14ac:dyDescent="0.25">
      <c r="F18" s="36"/>
      <c r="J18" s="10"/>
      <c r="W18" s="11"/>
    </row>
    <row r="19" spans="1:24" ht="15.75" customHeight="1" x14ac:dyDescent="0.25">
      <c r="F19" s="36"/>
      <c r="J19" s="10"/>
      <c r="W19" s="11"/>
    </row>
    <row r="20" spans="1:24" ht="43.5" customHeight="1" x14ac:dyDescent="0.25">
      <c r="A20" s="12" t="s">
        <v>10</v>
      </c>
      <c r="B20" s="12" t="s">
        <v>11</v>
      </c>
      <c r="C20" s="12" t="s">
        <v>12</v>
      </c>
      <c r="D20" s="12" t="s">
        <v>13</v>
      </c>
      <c r="E20" s="12" t="s">
        <v>14</v>
      </c>
      <c r="F20" s="37" t="s">
        <v>15</v>
      </c>
      <c r="G20" s="12" t="s">
        <v>16</v>
      </c>
      <c r="H20" s="12" t="s">
        <v>17</v>
      </c>
      <c r="I20" s="12" t="s">
        <v>18</v>
      </c>
      <c r="J20" s="38" t="s">
        <v>19</v>
      </c>
      <c r="K20" s="87" t="s">
        <v>20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9"/>
    </row>
    <row r="21" spans="1:24" ht="25.5" customHeight="1" x14ac:dyDescent="0.25">
      <c r="A21" s="12"/>
      <c r="B21" s="12"/>
      <c r="C21" s="12"/>
      <c r="D21" s="12"/>
      <c r="E21" s="12"/>
      <c r="F21" s="37"/>
      <c r="G21" s="12"/>
      <c r="H21" s="12"/>
      <c r="I21" s="12"/>
      <c r="J21" s="39"/>
      <c r="K21" s="12" t="s">
        <v>21</v>
      </c>
      <c r="L21" s="12" t="s">
        <v>22</v>
      </c>
      <c r="M21" s="12" t="s">
        <v>23</v>
      </c>
      <c r="N21" s="12" t="s">
        <v>24</v>
      </c>
      <c r="O21" s="12" t="s">
        <v>25</v>
      </c>
      <c r="P21" s="12" t="s">
        <v>26</v>
      </c>
      <c r="Q21" s="12" t="s">
        <v>27</v>
      </c>
      <c r="R21" s="12" t="s">
        <v>0</v>
      </c>
      <c r="S21" s="12" t="s">
        <v>28</v>
      </c>
      <c r="T21" s="12" t="s">
        <v>29</v>
      </c>
      <c r="U21" s="12" t="s">
        <v>30</v>
      </c>
      <c r="V21" s="12" t="s">
        <v>31</v>
      </c>
      <c r="W21" s="15" t="s">
        <v>32</v>
      </c>
    </row>
    <row r="22" spans="1:24" ht="15.75" customHeight="1" x14ac:dyDescent="0.25">
      <c r="A22" s="16" t="str">
        <f ca="1">IFERROR(__xludf.DUMMYFUNCTION("IMPORTRANGE(""https://docs.google.com/spreadsheets/d/1326rdUM6oOTA_5T6U_eA-Yqy4OMk6d_RGd_Z1bKVaC8/edit#gid=1459860096"",""'33.03.006 PMB'!g10:g1000"")")," REGIÓN DEL MAULE ")</f>
        <v xml:space="preserve"> REGIÓN DEL MAULE </v>
      </c>
      <c r="B22" s="16" t="str">
        <f t="shared" ref="B22:B276" ca="1" si="0">MID(X22,17,30)</f>
        <v xml:space="preserve"> RÍO CLARO</v>
      </c>
      <c r="C22" s="16" t="str">
        <f ca="1">IFERROR(__xludf.DUMMYFUNCTION("IMPORTRANGE(""https://docs.google.com/spreadsheets/d/1326rdUM6oOTA_5T6U_eA-Yqy4OMk6d_RGd_Z1bKVaC8/edit#gid=1459860096"",""'33.03.006 PMB'!i10:i1000"")")," ASISTENCIA TÉCNICA EN SANEAMIENTO SANITARIO COMUNA DE RÍO CLARO ")</f>
        <v xml:space="preserve"> ASISTENCIA TÉCNICA EN SANEAMIENTO SANITARIO COMUNA DE RÍO CLARO </v>
      </c>
      <c r="D22" s="40" t="str">
        <f ca="1">IFERROR(__xludf.DUMMYFUNCTION("IMPORTRANGE(""https://docs.google.com/spreadsheets/d/1326rdUM6oOTA_5T6U_eA-Yqy4OMk6d_RGd_Z1bKVaC8/edit#gid=1459860096"",""'33.03.006 PMB'!h10:h1000"")"),"7108231001-C")</f>
        <v>7108231001-C</v>
      </c>
      <c r="E22" s="16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F22" s="41">
        <f ca="1">IFERROR(__xludf.DUMMYFUNCTION("IMPORTRANGE(""https://docs.google.com/spreadsheets/d/1326rdUM6oOTA_5T6U_eA-Yqy4OMk6d_RGd_Z1bKVaC8/edit#gid=1459860096"",""'33.03.006 PMB'!m10:m1000"")"),45128)</f>
        <v>45128</v>
      </c>
      <c r="G22" s="16">
        <f ca="1">IFERROR(__xludf.DUMMYFUNCTION("IMPORTRANGE(""https://docs.google.com/spreadsheets/d/1326rdUM6oOTA_5T6U_eA-Yqy4OMk6d_RGd_Z1bKVaC8/edit#gid=1459860096"",""'33.03.006 PMB'!P10:P1000"")"),73560000)</f>
        <v>73560000</v>
      </c>
      <c r="H22" s="16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I22" s="16">
        <f ca="1">IFERROR(__xludf.DUMMYFUNCTION("IMPORTRANGE(""https://docs.google.com/spreadsheets/d/1326rdUM6oOTA_5T6U_eA-Yqy4OMk6d_RGd_Z1bKVaC8/edit#gid=1459860096"",""'33.03.006 PMB'!aD10:aD1000"")"),22987500)</f>
        <v>22987500</v>
      </c>
      <c r="J22" s="83" t="s">
        <v>48</v>
      </c>
      <c r="K22" s="16">
        <f ca="1">IFERROR(__xludf.DUMMYFUNCTION("IMPORTRANGE(""https://docs.google.com/spreadsheets/d/1326rdUM6oOTA_5T6U_eA-Yqy4OMk6d_RGd_Z1bKVaC8/edit#gid=1459860096"",""'33.03.006 PMB'!R10:R1000"")"),22987500)</f>
        <v>22987500</v>
      </c>
      <c r="L22" s="16" t="str">
        <f ca="1">IFERROR(__xludf.DUMMYFUNCTION("IMPORTRANGE(""https://docs.google.com/spreadsheets/d/1326rdUM6oOTA_5T6U_eA-Yqy4OMk6d_RGd_Z1bKVaC8/edit#gid=1459860096"",""'33.03.006 PMB'!S10:S1000"")"),"")</f>
        <v/>
      </c>
      <c r="M22" s="16" t="str">
        <f ca="1">IFERROR(__xludf.DUMMYFUNCTION("IMPORTRANGE(""https://docs.google.com/spreadsheets/d/1326rdUM6oOTA_5T6U_eA-Yqy4OMk6d_RGd_Z1bKVaC8/edit#gid=1459860096"",""'33.03.006 PMB'!T10:T1000"")"),"")</f>
        <v/>
      </c>
      <c r="N22" s="42" t="str">
        <f ca="1">IFERROR(__xludf.DUMMYFUNCTION("IMPORTRANGE(""https://docs.google.com/spreadsheets/d/1326rdUM6oOTA_5T6U_eA-Yqy4OMk6d_RGd_Z1bKVaC8/edit#gid=1459860096"",""'33.03.006 PMB'!u10:u1000"")"),"")</f>
        <v/>
      </c>
      <c r="O22" s="19" t="str">
        <f ca="1">IFERROR(__xludf.DUMMYFUNCTION("IMPORTRANGE(""https://docs.google.com/spreadsheets/d/1326rdUM6oOTA_5T6U_eA-Yqy4OMk6d_RGd_Z1bKVaC8/edit#gid=1459860096"",""'33.03.006 PMB'!v10:v1000"")"),"")</f>
        <v/>
      </c>
      <c r="P22" s="19" t="str">
        <f ca="1">IFERROR(__xludf.DUMMYFUNCTION("IMPORTRANGE(""https://docs.google.com/spreadsheets/d/1326rdUM6oOTA_5T6U_eA-Yqy4OMk6d_RGd_Z1bKVaC8/edit#gid=1459860096"",""'33.03.006 PMB'!w10:w1000"")"),"")</f>
        <v/>
      </c>
      <c r="Q22" s="19" t="str">
        <f ca="1">IFERROR(__xludf.DUMMYFUNCTION("IMPORTRANGE(""https://docs.google.com/spreadsheets/d/1326rdUM6oOTA_5T6U_eA-Yqy4OMk6d_RGd_Z1bKVaC8/edit#gid=1459860096"",""'33.03.006 PMB'!x10:x1000"")"),"")</f>
        <v/>
      </c>
      <c r="R22" s="19" t="str">
        <f ca="1">IFERROR(__xludf.DUMMYFUNCTION("IMPORTRANGE(""https://docs.google.com/spreadsheets/d/1326rdUM6oOTA_5T6U_eA-Yqy4OMk6d_RGd_Z1bKVaC8/edit#gid=1459860096"",""'33.03.006 PMB'!y10:y1000"")"),"")</f>
        <v/>
      </c>
      <c r="S22" s="19" t="str">
        <f ca="1">IFERROR(__xludf.DUMMYFUNCTION("IMPORTRANGE(""https://docs.google.com/spreadsheets/d/1326rdUM6oOTA_5T6U_eA-Yqy4OMk6d_RGd_Z1bKVaC8/edit#gid=1459860096"",""'33.03.006 PMB'!z10:z1000"")"),"")</f>
        <v/>
      </c>
      <c r="T22" s="19" t="str">
        <f ca="1">IFERROR(__xludf.DUMMYFUNCTION("IMPORTRANGE(""https://docs.google.com/spreadsheets/d/1326rdUM6oOTA_5T6U_eA-Yqy4OMk6d_RGd_Z1bKVaC8/edit#gid=1459860096"",""'33.03.006 PMB'!aa10:aa1000"")"),"")</f>
        <v/>
      </c>
      <c r="U22" s="19" t="str">
        <f ca="1">IFERROR(__xludf.DUMMYFUNCTION("IMPORTRANGE(""https://docs.google.com/spreadsheets/d/1326rdUM6oOTA_5T6U_eA-Yqy4OMk6d_RGd_Z1bKVaC8/edit#gid=1459860096"",""'33.03.006 PMB'!ab10:ab1000"")"),"")</f>
        <v/>
      </c>
      <c r="V22" s="19" t="str">
        <f ca="1">IFERROR(__xludf.DUMMYFUNCTION("IMPORTRANGE(""https://docs.google.com/spreadsheets/d/1326rdUM6oOTA_5T6U_eA-Yqy4OMk6d_RGd_Z1bKVaC8/edit#gid=1459860096"",""'33.03.006 PMB'!ac10:ac1000"")"),"")</f>
        <v/>
      </c>
      <c r="W22" s="20">
        <f ca="1">IFERROR(__xludf.DUMMYFUNCTION("IMPORTRANGE(""https://docs.google.com/spreadsheets/d/1326rdUM6oOTA_5T6U_eA-Yqy4OMk6d_RGd_Z1bKVaC8/edit#gid=1459860096"",""'33.03.006 PMB'!aD10:aD1000"")"),22987500)</f>
        <v>22987500</v>
      </c>
      <c r="X22" s="43" t="str">
        <f ca="1">IFERROR(__xludf.DUMMYFUNCTION("IMPORTRANGE(""https://docs.google.com/spreadsheets/d/1326rdUM6oOTA_5T6U_eA-Yqy4OMk6d_RGd_Z1bKVaC8/edit#gid=1459860096"",""'33.03.006 PMB'!f10:f1000"")"),"MUNICIPALIDAD DE RÍO CLARO")</f>
        <v>MUNICIPALIDAD DE RÍO CLARO</v>
      </c>
    </row>
    <row r="23" spans="1:24" ht="15.75" customHeight="1" x14ac:dyDescent="0.25">
      <c r="A23" s="16" t="str">
        <f ca="1">IFERROR(__xludf.DUMMYFUNCTION("""COMPUTED_VALUE""")," REGIÓN DE VALPARAÍSO ")</f>
        <v xml:space="preserve"> REGIÓN DE VALPARAÍSO </v>
      </c>
      <c r="B23" s="16" t="str">
        <f t="shared" ca="1" si="0"/>
        <v xml:space="preserve"> VIÑA DEL MAR</v>
      </c>
      <c r="C23" s="16" t="str">
        <f ca="1">IFERROR(__xludf.DUMMYFUNCTION("""COMPUTED_VALUE""")," HABILITACIÓN DE SERVICIOS SANITARIOS DE AGUA POTABLE Y ALCANTARILLADO DOMICILIARIOS PMB LA PARVA, ACHUPALLAS, VIÑA DEL MAR ")</f>
        <v xml:space="preserve"> HABILITACIÓN DE SERVICIOS SANITARIOS DE AGUA POTABLE Y ALCANTARILLADO DOMICILIARIOS PMB LA PARVA, ACHUPALLAS, VIÑA DEL MAR </v>
      </c>
      <c r="D23" s="40" t="str">
        <f ca="1">IFERROR(__xludf.DUMMYFUNCTION("""COMPUTED_VALUE"""),"5109210701-B")</f>
        <v>5109210701-B</v>
      </c>
      <c r="E23" s="16" t="str">
        <f ca="1">IFERROR(__xludf.DUMMYFUNCTION("""COMPUTED_VALUE""")," En Ejecución ")</f>
        <v xml:space="preserve"> En Ejecución </v>
      </c>
      <c r="F23" s="41">
        <f ca="1">IFERROR(__xludf.DUMMYFUNCTION("""COMPUTED_VALUE"""),44509)</f>
        <v>44509</v>
      </c>
      <c r="G23" s="16">
        <f ca="1">IFERROR(__xludf.DUMMYFUNCTION("""COMPUTED_VALUE"""),54639679)</f>
        <v>54639679</v>
      </c>
      <c r="H23" s="16" t="str">
        <f ca="1">IFERROR(__xludf.DUMMYFUNCTION("""COMPUTED_VALUE""")," En Ejecución ")</f>
        <v xml:space="preserve"> En Ejecución </v>
      </c>
      <c r="I23" s="16">
        <f ca="1">IFERROR(__xludf.DUMMYFUNCTION("""COMPUTED_VALUE"""),9936225)</f>
        <v>9936225</v>
      </c>
      <c r="J23" s="83" t="s">
        <v>48</v>
      </c>
      <c r="K23" s="16">
        <f ca="1">IFERROR(__xludf.DUMMYFUNCTION("""COMPUTED_VALUE"""),9936225)</f>
        <v>9936225</v>
      </c>
      <c r="L23" s="16"/>
      <c r="M23" s="16"/>
      <c r="N23" s="19"/>
      <c r="O23" s="19"/>
      <c r="P23" s="19"/>
      <c r="Q23" s="19"/>
      <c r="R23" s="19"/>
      <c r="S23" s="19"/>
      <c r="T23" s="19"/>
      <c r="U23" s="19"/>
      <c r="V23" s="19"/>
      <c r="W23" s="20">
        <f ca="1">IFERROR(__xludf.DUMMYFUNCTION("""COMPUTED_VALUE"""),9936225)</f>
        <v>9936225</v>
      </c>
      <c r="X23" s="43" t="str">
        <f ca="1">IFERROR(__xludf.DUMMYFUNCTION("""COMPUTED_VALUE"""),"MUNICIPALIDAD DE VIÑA DEL MAR")</f>
        <v>MUNICIPALIDAD DE VIÑA DEL MAR</v>
      </c>
    </row>
    <row r="24" spans="1:24" ht="15.75" customHeight="1" x14ac:dyDescent="0.25">
      <c r="A24" s="16" t="str">
        <f ca="1">IFERROR(__xludf.DUMMYFUNCTION("""COMPUTED_VALUE""")," REGIÓN DE VALPARAÍSO ")</f>
        <v xml:space="preserve"> REGIÓN DE VALPARAÍSO </v>
      </c>
      <c r="B24" s="16" t="str">
        <f t="shared" ca="1" si="0"/>
        <v xml:space="preserve"> VILLA ALEMANA</v>
      </c>
      <c r="C24" s="16" t="str">
        <f ca="1">IFERROR(__xludf.DUMMYFUNCTION("""COMPUTED_VALUE""")," CONSTRUCCIÓN EXTENSIÓN REDES PÚBLICAS DE ALCANTARILLADO CALLE RIQUELME, VILLA ALEMANA ")</f>
        <v xml:space="preserve"> CONSTRUCCIÓN EXTENSIÓN REDES PÚBLICAS DE ALCANTARILLADO CALLE RIQUELME, VILLA ALEMANA </v>
      </c>
      <c r="D24" s="40" t="str">
        <f ca="1">IFERROR(__xludf.DUMMYFUNCTION("""COMPUTED_VALUE"""),"5804200701-B")</f>
        <v>5804200701-B</v>
      </c>
      <c r="E24" s="16" t="str">
        <f ca="1">IFERROR(__xludf.DUMMYFUNCTION("""COMPUTED_VALUE""")," En Ejecución ")</f>
        <v xml:space="preserve"> En Ejecución </v>
      </c>
      <c r="F24" s="41">
        <f ca="1">IFERROR(__xludf.DUMMYFUNCTION("""COMPUTED_VALUE"""),44169)</f>
        <v>44169</v>
      </c>
      <c r="G24" s="16">
        <f ca="1">IFERROR(__xludf.DUMMYFUNCTION("""COMPUTED_VALUE"""),25891427)</f>
        <v>25891427</v>
      </c>
      <c r="H24" s="16" t="str">
        <f ca="1">IFERROR(__xludf.DUMMYFUNCTION("""COMPUTED_VALUE""")," En Ejecución ")</f>
        <v xml:space="preserve"> En Ejecución </v>
      </c>
      <c r="I24" s="16">
        <f ca="1">IFERROR(__xludf.DUMMYFUNCTION("""COMPUTED_VALUE"""),9761443)</f>
        <v>9761443</v>
      </c>
      <c r="J24" s="83" t="s">
        <v>48</v>
      </c>
      <c r="K24" s="16">
        <f ca="1">IFERROR(__xludf.DUMMYFUNCTION("""COMPUTED_VALUE"""),9761443)</f>
        <v>9761443</v>
      </c>
      <c r="L24" s="16"/>
      <c r="M24" s="16"/>
      <c r="N24" s="19"/>
      <c r="O24" s="19"/>
      <c r="P24" s="19"/>
      <c r="Q24" s="19"/>
      <c r="R24" s="19"/>
      <c r="S24" s="19"/>
      <c r="T24" s="19"/>
      <c r="U24" s="19"/>
      <c r="V24" s="19"/>
      <c r="W24" s="20">
        <f ca="1">IFERROR(__xludf.DUMMYFUNCTION("""COMPUTED_VALUE"""),9761443)</f>
        <v>9761443</v>
      </c>
      <c r="X24" s="43" t="str">
        <f ca="1">IFERROR(__xludf.DUMMYFUNCTION("""COMPUTED_VALUE"""),"MUNICIPALIDAD DE VILLA ALEMANA")</f>
        <v>MUNICIPALIDAD DE VILLA ALEMANA</v>
      </c>
    </row>
    <row r="25" spans="1:24" ht="15.75" customHeight="1" x14ac:dyDescent="0.25">
      <c r="A25" s="16" t="str">
        <f ca="1">IFERROR(__xludf.DUMMYFUNCTION("""COMPUTED_VALUE""")," REGIÓN DE MAGALLANES Y ANTÁRTICA CHILENA ")</f>
        <v xml:space="preserve"> REGIÓN DE MAGALLANES Y ANTÁRTICA CHILENA </v>
      </c>
      <c r="B25" s="16" t="str">
        <f t="shared" ca="1" si="0"/>
        <v xml:space="preserve"> NATALES</v>
      </c>
      <c r="C25" s="16" t="str">
        <f ca="1">IFERROR(__xludf.DUMMYFUNCTION("""COMPUTED_VALUE""")," REPOSICIÓN SISTEMA DE ILUMINACIÓN Y OBRAS COMPLEMENTARIAS PLAZA DE ARMAS, NATALES ")</f>
        <v xml:space="preserve"> REPOSICIÓN SISTEMA DE ILUMINACIÓN Y OBRAS COMPLEMENTARIAS PLAZA DE ARMAS, NATALES </v>
      </c>
      <c r="D25" s="40" t="str">
        <f ca="1">IFERROR(__xludf.DUMMYFUNCTION("""COMPUTED_VALUE"""),"12401200701-C")</f>
        <v>12401200701-C</v>
      </c>
      <c r="E25" s="16" t="str">
        <f ca="1">IFERROR(__xludf.DUMMYFUNCTION("""COMPUTED_VALUE""")," En Ejecución ")</f>
        <v xml:space="preserve"> En Ejecución </v>
      </c>
      <c r="F25" s="41">
        <f ca="1">IFERROR(__xludf.DUMMYFUNCTION("""COMPUTED_VALUE"""),44111)</f>
        <v>44111</v>
      </c>
      <c r="G25" s="16">
        <f ca="1">IFERROR(__xludf.DUMMYFUNCTION("""COMPUTED_VALUE"""),272210000)</f>
        <v>272210000</v>
      </c>
      <c r="H25" s="16" t="str">
        <f ca="1">IFERROR(__xludf.DUMMYFUNCTION("""COMPUTED_VALUE""")," En Ejecución ")</f>
        <v xml:space="preserve"> En Ejecución </v>
      </c>
      <c r="I25" s="16">
        <f ca="1">IFERROR(__xludf.DUMMYFUNCTION("""COMPUTED_VALUE"""),194731423)</f>
        <v>194731423</v>
      </c>
      <c r="J25" s="83" t="s">
        <v>48</v>
      </c>
      <c r="K25" s="16">
        <f ca="1">IFERROR(__xludf.DUMMYFUNCTION("""COMPUTED_VALUE"""),194731423)</f>
        <v>194731423</v>
      </c>
      <c r="L25" s="16"/>
      <c r="M25" s="16"/>
      <c r="N25" s="19"/>
      <c r="O25" s="19"/>
      <c r="P25" s="19"/>
      <c r="Q25" s="19"/>
      <c r="R25" s="19"/>
      <c r="S25" s="19"/>
      <c r="T25" s="19"/>
      <c r="U25" s="19"/>
      <c r="V25" s="19"/>
      <c r="W25" s="20">
        <f ca="1">IFERROR(__xludf.DUMMYFUNCTION("""COMPUTED_VALUE"""),194731423)</f>
        <v>194731423</v>
      </c>
      <c r="X25" s="43" t="str">
        <f ca="1">IFERROR(__xludf.DUMMYFUNCTION("""COMPUTED_VALUE"""),"MUNICIPALIDAD DE NATALES")</f>
        <v>MUNICIPALIDAD DE NATALES</v>
      </c>
    </row>
    <row r="26" spans="1:24" ht="15.75" customHeight="1" x14ac:dyDescent="0.25">
      <c r="A26" s="16" t="str">
        <f ca="1">IFERROR(__xludf.DUMMYFUNCTION("""COMPUTED_VALUE""")," REGIÓN METROPOLITANA ")</f>
        <v xml:space="preserve"> REGIÓN METROPOLITANA </v>
      </c>
      <c r="B26" s="16" t="str">
        <f t="shared" ca="1" si="0"/>
        <v xml:space="preserve"> TILTIL</v>
      </c>
      <c r="C26" s="16" t="str">
        <f ca="1">IFERROR(__xludf.DUMMYFUNCTION("""COMPUTED_VALUE""")," ASISTENCIA TÉCNICA PARA EL DESARROLLO DE PROYECTOS PMU COMUNA DE TILTIL ")</f>
        <v xml:space="preserve"> ASISTENCIA TÉCNICA PARA EL DESARROLLO DE PROYECTOS PMU COMUNA DE TILTIL </v>
      </c>
      <c r="D26" s="40" t="str">
        <f ca="1">IFERROR(__xludf.DUMMYFUNCTION("""COMPUTED_VALUE"""),"13303231003-C")</f>
        <v>13303231003-C</v>
      </c>
      <c r="E26" s="16" t="str">
        <f ca="1">IFERROR(__xludf.DUMMYFUNCTION("""COMPUTED_VALUE""")," En Ejecución ")</f>
        <v xml:space="preserve"> En Ejecución </v>
      </c>
      <c r="F26" s="41">
        <f ca="1">IFERROR(__xludf.DUMMYFUNCTION("""COMPUTED_VALUE"""),45337)</f>
        <v>45337</v>
      </c>
      <c r="G26" s="16">
        <f ca="1">IFERROR(__xludf.DUMMYFUNCTION("""COMPUTED_VALUE"""),66600000)</f>
        <v>66600000</v>
      </c>
      <c r="H26" s="16" t="str">
        <f ca="1">IFERROR(__xludf.DUMMYFUNCTION("""COMPUTED_VALUE""")," En Ejecución ")</f>
        <v xml:space="preserve"> En Ejecución </v>
      </c>
      <c r="I26" s="16">
        <f ca="1">IFERROR(__xludf.DUMMYFUNCTION("""COMPUTED_VALUE"""),66600000)</f>
        <v>66600000</v>
      </c>
      <c r="J26" s="83" t="s">
        <v>48</v>
      </c>
      <c r="K26" s="16"/>
      <c r="L26" s="16">
        <f ca="1">IFERROR(__xludf.DUMMYFUNCTION("""COMPUTED_VALUE"""),66600000)</f>
        <v>66600000</v>
      </c>
      <c r="M26" s="16"/>
      <c r="N26" s="19"/>
      <c r="O26" s="19"/>
      <c r="P26" s="19"/>
      <c r="Q26" s="19"/>
      <c r="R26" s="19"/>
      <c r="S26" s="19"/>
      <c r="T26" s="19"/>
      <c r="U26" s="19"/>
      <c r="V26" s="19"/>
      <c r="W26" s="20">
        <f ca="1">IFERROR(__xludf.DUMMYFUNCTION("""COMPUTED_VALUE"""),66600000)</f>
        <v>66600000</v>
      </c>
      <c r="X26" s="43" t="str">
        <f ca="1">IFERROR(__xludf.DUMMYFUNCTION("""COMPUTED_VALUE"""),"MUNICIPALIDAD DE TILTIL")</f>
        <v>MUNICIPALIDAD DE TILTIL</v>
      </c>
    </row>
    <row r="27" spans="1:24" ht="15.75" customHeight="1" x14ac:dyDescent="0.25">
      <c r="A27" s="16" t="str">
        <f ca="1">IFERROR(__xludf.DUMMYFUNCTION("""COMPUTED_VALUE""")," REGIÓN DEL MAULE ")</f>
        <v xml:space="preserve"> REGIÓN DEL MAULE </v>
      </c>
      <c r="B27" s="16" t="str">
        <f t="shared" ca="1" si="0"/>
        <v xml:space="preserve"> SAGRADA FAMILIA</v>
      </c>
      <c r="C27" s="16" t="str">
        <f ca="1">IFERROR(__xludf.DUMMYFUNCTION("""COMPUTED_VALUE""")," ASISTENCIA TÉCNICA PARA PROYECTOS PMB Y PMU EN LA COMUNA DE SAGRADA FAMILIA ")</f>
        <v xml:space="preserve"> ASISTENCIA TÉCNICA PARA PROYECTOS PMB Y PMU EN LA COMUNA DE SAGRADA FAMILIA </v>
      </c>
      <c r="D27" s="40" t="str">
        <f ca="1">IFERROR(__xludf.DUMMYFUNCTION("""COMPUTED_VALUE"""),"7307231001-C")</f>
        <v>7307231001-C</v>
      </c>
      <c r="E27" s="16" t="str">
        <f ca="1">IFERROR(__xludf.DUMMYFUNCTION("""COMPUTED_VALUE""")," En Ejecución ")</f>
        <v xml:space="preserve"> En Ejecución </v>
      </c>
      <c r="F27" s="41">
        <f ca="1">IFERROR(__xludf.DUMMYFUNCTION("""COMPUTED_VALUE"""),45232)</f>
        <v>45232</v>
      </c>
      <c r="G27" s="16">
        <f ca="1">IFERROR(__xludf.DUMMYFUNCTION("""COMPUTED_VALUE"""),63600000)</f>
        <v>63600000</v>
      </c>
      <c r="H27" s="16" t="str">
        <f ca="1">IFERROR(__xludf.DUMMYFUNCTION("""COMPUTED_VALUE""")," En Ejecución ")</f>
        <v xml:space="preserve"> En Ejecución </v>
      </c>
      <c r="I27" s="16">
        <f ca="1">IFERROR(__xludf.DUMMYFUNCTION("""COMPUTED_VALUE"""),15900000)</f>
        <v>15900000</v>
      </c>
      <c r="J27" s="83" t="s">
        <v>48</v>
      </c>
      <c r="K27" s="16"/>
      <c r="L27" s="16">
        <f ca="1">IFERROR(__xludf.DUMMYFUNCTION("""COMPUTED_VALUE"""),15900000)</f>
        <v>15900000</v>
      </c>
      <c r="M27" s="16"/>
      <c r="N27" s="19"/>
      <c r="O27" s="19"/>
      <c r="P27" s="19"/>
      <c r="Q27" s="19"/>
      <c r="R27" s="19"/>
      <c r="S27" s="19"/>
      <c r="T27" s="19"/>
      <c r="U27" s="19"/>
      <c r="V27" s="19"/>
      <c r="W27" s="20">
        <f ca="1">IFERROR(__xludf.DUMMYFUNCTION("""COMPUTED_VALUE"""),15900000)</f>
        <v>15900000</v>
      </c>
      <c r="X27" s="43" t="str">
        <f ca="1">IFERROR(__xludf.DUMMYFUNCTION("""COMPUTED_VALUE"""),"MUNICIPALIDAD DE SAGRADA FAMILIA")</f>
        <v>MUNICIPALIDAD DE SAGRADA FAMILIA</v>
      </c>
    </row>
    <row r="28" spans="1:24" ht="15.75" customHeight="1" x14ac:dyDescent="0.25">
      <c r="A28" s="16" t="str">
        <f ca="1">IFERROR(__xludf.DUMMYFUNCTION("""COMPUTED_VALUE""")," REGIÓN DE AYSÉN DEL GENERAL CARLOS IBÁÑEZ DEL CAMPO ")</f>
        <v xml:space="preserve"> REGIÓN DE AYSÉN DEL GENERAL CARLOS IBÁÑEZ DEL CAMPO </v>
      </c>
      <c r="B28" s="16" t="str">
        <f t="shared" ca="1" si="0"/>
        <v xml:space="preserve"> CISNES</v>
      </c>
      <c r="C28" s="16" t="str">
        <f ca="1">IFERROR(__xludf.DUMMYFUNCTION("""COMPUTED_VALUE""")," CONTRATACIÓN DE PROFESIONAL DEL ÁREA DE ELECTRIFICACIÓN PARA GENERACIÓN Y CONTRAPARTE TÉCNICA DE PROYECTOS PMB 2022, COMUNA DE CISNES ")</f>
        <v xml:space="preserve"> CONTRATACIÓN DE PROFESIONAL DEL ÁREA DE ELECTRIFICACIÓN PARA GENERACIÓN Y CONTRAPARTE TÉCNICA DE PROYECTOS PMB 2022, COMUNA DE CISNES </v>
      </c>
      <c r="D28" s="40" t="str">
        <f ca="1">IFERROR(__xludf.DUMMYFUNCTION("""COMPUTED_VALUE"""),"11202221003-C")</f>
        <v>11202221003-C</v>
      </c>
      <c r="E28" s="16" t="str">
        <f ca="1">IFERROR(__xludf.DUMMYFUNCTION("""COMPUTED_VALUE""")," En Ejecución ")</f>
        <v xml:space="preserve"> En Ejecución </v>
      </c>
      <c r="F28" s="41">
        <f ca="1">IFERROR(__xludf.DUMMYFUNCTION("""COMPUTED_VALUE"""),44861)</f>
        <v>44861</v>
      </c>
      <c r="G28" s="16">
        <f ca="1">IFERROR(__xludf.DUMMYFUNCTION("""COMPUTED_VALUE"""),21600000)</f>
        <v>21600000</v>
      </c>
      <c r="H28" s="16" t="str">
        <f ca="1">IFERROR(__xludf.DUMMYFUNCTION("""COMPUTED_VALUE""")," En Ejecución ")</f>
        <v xml:space="preserve"> En Ejecución </v>
      </c>
      <c r="I28" s="16">
        <f ca="1">IFERROR(__xludf.DUMMYFUNCTION("""COMPUTED_VALUE"""),4680000)</f>
        <v>4680000</v>
      </c>
      <c r="J28" s="83" t="s">
        <v>48</v>
      </c>
      <c r="K28" s="16"/>
      <c r="L28" s="16">
        <f ca="1">IFERROR(__xludf.DUMMYFUNCTION("""COMPUTED_VALUE"""),4680000)</f>
        <v>4680000</v>
      </c>
      <c r="M28" s="16"/>
      <c r="N28" s="19"/>
      <c r="O28" s="19"/>
      <c r="P28" s="19"/>
      <c r="Q28" s="19"/>
      <c r="R28" s="19"/>
      <c r="S28" s="19"/>
      <c r="T28" s="19"/>
      <c r="U28" s="19"/>
      <c r="V28" s="19"/>
      <c r="W28" s="20">
        <f ca="1">IFERROR(__xludf.DUMMYFUNCTION("""COMPUTED_VALUE"""),4680000)</f>
        <v>4680000</v>
      </c>
      <c r="X28" s="43" t="str">
        <f ca="1">IFERROR(__xludf.DUMMYFUNCTION("""COMPUTED_VALUE"""),"MUNICIPALIDAD DE CISNES")</f>
        <v>MUNICIPALIDAD DE CISNES</v>
      </c>
    </row>
    <row r="29" spans="1:24" ht="15.75" customHeight="1" x14ac:dyDescent="0.25">
      <c r="A29" s="16" t="str">
        <f ca="1">IFERROR(__xludf.DUMMYFUNCTION("""COMPUTED_VALUE""")," REGIÓN DEL MAULE ")</f>
        <v xml:space="preserve"> REGIÓN DEL MAULE </v>
      </c>
      <c r="B29" s="16" t="str">
        <f t="shared" ca="1" si="0"/>
        <v xml:space="preserve"> SAN RAFAEL</v>
      </c>
      <c r="C29" s="16" t="str">
        <f ca="1">IFERROR(__xludf.DUMMYFUNCTION("""COMPUTED_VALUE""")," CONTRATACION A. TÉCNICA PARA GENERACIÓN DE PROYECTOS, SAN RAFAEL ")</f>
        <v xml:space="preserve"> CONTRATACION A. TÉCNICA PARA GENERACIÓN DE PROYECTOS, SAN RAFAEL </v>
      </c>
      <c r="D29" s="40" t="str">
        <f ca="1">IFERROR(__xludf.DUMMYFUNCTION("""COMPUTED_VALUE"""),"7110221001-C")</f>
        <v>7110221001-C</v>
      </c>
      <c r="E29" s="16" t="str">
        <f ca="1">IFERROR(__xludf.DUMMYFUNCTION("""COMPUTED_VALUE""")," En Ejecución ")</f>
        <v xml:space="preserve"> En Ejecución </v>
      </c>
      <c r="F29" s="41">
        <f ca="1">IFERROR(__xludf.DUMMYFUNCTION("""COMPUTED_VALUE"""),45139)</f>
        <v>45139</v>
      </c>
      <c r="G29" s="16">
        <f ca="1">IFERROR(__xludf.DUMMYFUNCTION("""COMPUTED_VALUE"""),57000000)</f>
        <v>57000000</v>
      </c>
      <c r="H29" s="16" t="str">
        <f ca="1">IFERROR(__xludf.DUMMYFUNCTION("""COMPUTED_VALUE""")," En Ejecución ")</f>
        <v xml:space="preserve"> En Ejecución </v>
      </c>
      <c r="I29" s="16">
        <f ca="1">IFERROR(__xludf.DUMMYFUNCTION("""COMPUTED_VALUE"""),14250000)</f>
        <v>14250000</v>
      </c>
      <c r="J29" s="83" t="s">
        <v>48</v>
      </c>
      <c r="K29" s="16"/>
      <c r="L29" s="16">
        <f ca="1">IFERROR(__xludf.DUMMYFUNCTION("""COMPUTED_VALUE"""),14250000)</f>
        <v>14250000</v>
      </c>
      <c r="M29" s="16"/>
      <c r="N29" s="19"/>
      <c r="O29" s="19"/>
      <c r="P29" s="19"/>
      <c r="Q29" s="19"/>
      <c r="R29" s="19"/>
      <c r="S29" s="19"/>
      <c r="T29" s="19"/>
      <c r="U29" s="19"/>
      <c r="V29" s="19"/>
      <c r="W29" s="20">
        <f ca="1">IFERROR(__xludf.DUMMYFUNCTION("""COMPUTED_VALUE"""),14250000)</f>
        <v>14250000</v>
      </c>
      <c r="X29" s="43" t="str">
        <f ca="1">IFERROR(__xludf.DUMMYFUNCTION("""COMPUTED_VALUE"""),"MUNICIPALIDAD DE SAN RAFAEL")</f>
        <v>MUNICIPALIDAD DE SAN RAFAEL</v>
      </c>
    </row>
    <row r="30" spans="1:24" ht="15.75" customHeight="1" x14ac:dyDescent="0.25">
      <c r="A30" s="16" t="str">
        <f ca="1">IFERROR(__xludf.DUMMYFUNCTION("""COMPUTED_VALUE""")," REGIÓN DE COQUIMBO ")</f>
        <v xml:space="preserve"> REGIÓN DE COQUIMBO </v>
      </c>
      <c r="B30" s="16" t="str">
        <f t="shared" ca="1" si="0"/>
        <v xml:space="preserve"> OVALLE</v>
      </c>
      <c r="C30" s="16" t="str">
        <f ca="1">IFERROR(__xludf.DUMMYFUNCTION("""COMPUTED_VALUE""")," ESTUDIO PARA LA GENERACIÓN DE PROYECTO PILOTO PARA LA PRODUCCIÓN DE HIDRÓGENO VERDE A PARTIR DE AGUAS RESIDUALES EN LA COMUNA DE OVALLE ")</f>
        <v xml:space="preserve"> ESTUDIO PARA LA GENERACIÓN DE PROYECTO PILOTO PARA LA PRODUCCIÓN DE HIDRÓGENO VERDE A PARTIR DE AGUAS RESIDUALES EN LA COMUNA DE OVALLE </v>
      </c>
      <c r="D30" s="40" t="str">
        <f ca="1">IFERROR(__xludf.DUMMYFUNCTION("""COMPUTED_VALUE"""),"4301220401-C")</f>
        <v>4301220401-C</v>
      </c>
      <c r="E30" s="16" t="str">
        <f ca="1">IFERROR(__xludf.DUMMYFUNCTION("""COMPUTED_VALUE""")," En Ejecución ")</f>
        <v xml:space="preserve"> En Ejecución </v>
      </c>
      <c r="F30" s="41">
        <f ca="1">IFERROR(__xludf.DUMMYFUNCTION("""COMPUTED_VALUE"""),44620)</f>
        <v>44620</v>
      </c>
      <c r="G30" s="16">
        <f ca="1">IFERROR(__xludf.DUMMYFUNCTION("""COMPUTED_VALUE"""),72000000)</f>
        <v>72000000</v>
      </c>
      <c r="H30" s="16" t="str">
        <f ca="1">IFERROR(__xludf.DUMMYFUNCTION("""COMPUTED_VALUE""")," En Ejecución ")</f>
        <v xml:space="preserve"> En Ejecución </v>
      </c>
      <c r="I30" s="16">
        <f ca="1">IFERROR(__xludf.DUMMYFUNCTION("""COMPUTED_VALUE"""),36200000)</f>
        <v>36200000</v>
      </c>
      <c r="J30" s="83" t="s">
        <v>48</v>
      </c>
      <c r="K30" s="16"/>
      <c r="L30" s="16">
        <f ca="1">IFERROR(__xludf.DUMMYFUNCTION("""COMPUTED_VALUE"""),36200000)</f>
        <v>36200000</v>
      </c>
      <c r="M30" s="16"/>
      <c r="N30" s="19"/>
      <c r="O30" s="19"/>
      <c r="P30" s="19"/>
      <c r="Q30" s="19"/>
      <c r="R30" s="19"/>
      <c r="S30" s="19"/>
      <c r="T30" s="19"/>
      <c r="U30" s="19"/>
      <c r="V30" s="19"/>
      <c r="W30" s="20">
        <f ca="1">IFERROR(__xludf.DUMMYFUNCTION("""COMPUTED_VALUE"""),36200000)</f>
        <v>36200000</v>
      </c>
      <c r="X30" s="43" t="str">
        <f ca="1">IFERROR(__xludf.DUMMYFUNCTION("""COMPUTED_VALUE"""),"MUNICIPALIDAD DE OVALLE")</f>
        <v>MUNICIPALIDAD DE OVALLE</v>
      </c>
    </row>
    <row r="31" spans="1:24" ht="15.75" customHeight="1" x14ac:dyDescent="0.25">
      <c r="A31" s="16" t="str">
        <f ca="1">IFERROR(__xludf.DUMMYFUNCTION("""COMPUTED_VALUE""")," REGIÓN DE VALPARAÍSO ")</f>
        <v xml:space="preserve"> REGIÓN DE VALPARAÍSO </v>
      </c>
      <c r="B31" s="16" t="str">
        <f t="shared" ca="1" si="0"/>
        <v xml:space="preserve"> VILLA ALEMANA</v>
      </c>
      <c r="C31" s="16" t="str">
        <f ca="1">IFERROR(__xludf.DUMMYFUNCTION("""COMPUTED_VALUE""")," CATÁSTROFE – MEJORAMIENTO REDES SERVICIO SANITARIO RURAL QUEBRADA ESCOBARES, VILLA ALEMANA ")</f>
        <v xml:space="preserve"> CATÁSTROFE – MEJORAMIENTO REDES SERVICIO SANITARIO RURAL QUEBRADA ESCOBARES, VILLA ALEMANA </v>
      </c>
      <c r="D31" s="40" t="str">
        <f ca="1">IFERROR(__xludf.DUMMYFUNCTION("""COMPUTED_VALUE"""),"5804240702-C")</f>
        <v>5804240702-C</v>
      </c>
      <c r="E31" s="16" t="str">
        <f ca="1">IFERROR(__xludf.DUMMYFUNCTION("""COMPUTED_VALUE""")," En Ejecución ")</f>
        <v xml:space="preserve"> En Ejecución </v>
      </c>
      <c r="F31" s="41">
        <f ca="1">IFERROR(__xludf.DUMMYFUNCTION("""COMPUTED_VALUE"""),45336)</f>
        <v>45336</v>
      </c>
      <c r="G31" s="16">
        <f ca="1">IFERROR(__xludf.DUMMYFUNCTION("""COMPUTED_VALUE"""),33488088)</f>
        <v>33488088</v>
      </c>
      <c r="H31" s="16" t="str">
        <f ca="1">IFERROR(__xludf.DUMMYFUNCTION("""COMPUTED_VALUE""")," En Ejecución ")</f>
        <v xml:space="preserve"> En Ejecución </v>
      </c>
      <c r="I31" s="16">
        <f ca="1">IFERROR(__xludf.DUMMYFUNCTION("""COMPUTED_VALUE"""),33488088)</f>
        <v>33488088</v>
      </c>
      <c r="J31" s="83" t="s">
        <v>48</v>
      </c>
      <c r="K31" s="16"/>
      <c r="L31" s="16">
        <f ca="1">IFERROR(__xludf.DUMMYFUNCTION("""COMPUTED_VALUE"""),33488088)</f>
        <v>33488088</v>
      </c>
      <c r="M31" s="16"/>
      <c r="N31" s="19"/>
      <c r="O31" s="19"/>
      <c r="P31" s="19"/>
      <c r="Q31" s="19"/>
      <c r="R31" s="19"/>
      <c r="S31" s="19"/>
      <c r="T31" s="19"/>
      <c r="U31" s="19"/>
      <c r="V31" s="19"/>
      <c r="W31" s="20">
        <f ca="1">IFERROR(__xludf.DUMMYFUNCTION("""COMPUTED_VALUE"""),33488088)</f>
        <v>33488088</v>
      </c>
      <c r="X31" s="43" t="str">
        <f ca="1">IFERROR(__xludf.DUMMYFUNCTION("""COMPUTED_VALUE"""),"MUNICIPALIDAD DE VILLA ALEMANA")</f>
        <v>MUNICIPALIDAD DE VILLA ALEMANA</v>
      </c>
    </row>
    <row r="32" spans="1:24" ht="15.75" customHeight="1" x14ac:dyDescent="0.25">
      <c r="A32" s="16" t="str">
        <f ca="1">IFERROR(__xludf.DUMMYFUNCTION("""COMPUTED_VALUE""")," REGIÓN DEL BIOBÍO ")</f>
        <v xml:space="preserve"> REGIÓN DEL BIOBÍO </v>
      </c>
      <c r="B32" s="16" t="str">
        <f t="shared" ca="1" si="0"/>
        <v xml:space="preserve"> TOMÉ</v>
      </c>
      <c r="C32" s="16" t="str">
        <f ca="1">IFERROR(__xludf.DUMMYFUNCTION("""COMPUTED_VALUE""")," CONSTRUCCION OBRAS DE URBANIZACIÓN QUINTAS COCHOLGUE, TOMÉ ")</f>
        <v xml:space="preserve"> CONSTRUCCION OBRAS DE URBANIZACIÓN QUINTAS COCHOLGUE, TOMÉ </v>
      </c>
      <c r="D32" s="40" t="str">
        <f ca="1">IFERROR(__xludf.DUMMYFUNCTION("""COMPUTED_VALUE"""),"8111210701-C")</f>
        <v>8111210701-C</v>
      </c>
      <c r="E32" s="16" t="str">
        <f ca="1">IFERROR(__xludf.DUMMYFUNCTION("""COMPUTED_VALUE""")," En Ejecución ")</f>
        <v xml:space="preserve"> En Ejecución </v>
      </c>
      <c r="F32" s="41">
        <f ca="1">IFERROR(__xludf.DUMMYFUNCTION("""COMPUTED_VALUE"""),44554)</f>
        <v>44554</v>
      </c>
      <c r="G32" s="16">
        <f ca="1">IFERROR(__xludf.DUMMYFUNCTION("""COMPUTED_VALUE"""),1313733102)</f>
        <v>1313733102</v>
      </c>
      <c r="H32" s="16" t="str">
        <f ca="1">IFERROR(__xludf.DUMMYFUNCTION("""COMPUTED_VALUE""")," En Ejecución ")</f>
        <v xml:space="preserve"> En Ejecución </v>
      </c>
      <c r="I32" s="16">
        <f ca="1">IFERROR(__xludf.DUMMYFUNCTION("""COMPUTED_VALUE"""),604802042)</f>
        <v>604802042</v>
      </c>
      <c r="J32" s="83" t="s">
        <v>48</v>
      </c>
      <c r="K32" s="16"/>
      <c r="L32" s="16">
        <f ca="1">IFERROR(__xludf.DUMMYFUNCTION("""COMPUTED_VALUE"""),604802042)</f>
        <v>604802042</v>
      </c>
      <c r="M32" s="16"/>
      <c r="N32" s="19"/>
      <c r="O32" s="19"/>
      <c r="P32" s="19"/>
      <c r="Q32" s="19"/>
      <c r="R32" s="19"/>
      <c r="S32" s="19"/>
      <c r="T32" s="19"/>
      <c r="U32" s="19"/>
      <c r="V32" s="19"/>
      <c r="W32" s="20">
        <f ca="1">IFERROR(__xludf.DUMMYFUNCTION("""COMPUTED_VALUE"""),604802042)</f>
        <v>604802042</v>
      </c>
      <c r="X32" s="43" t="str">
        <f ca="1">IFERROR(__xludf.DUMMYFUNCTION("""COMPUTED_VALUE"""),"MUNICIPALIDAD DE TOMÉ")</f>
        <v>MUNICIPALIDAD DE TOMÉ</v>
      </c>
    </row>
    <row r="33" spans="1:24" ht="15.75" customHeight="1" x14ac:dyDescent="0.25">
      <c r="A33" s="16" t="str">
        <f ca="1">IFERROR(__xludf.DUMMYFUNCTION("""COMPUTED_VALUE""")," REGIÓN DE ÑUBLE ")</f>
        <v xml:space="preserve"> REGIÓN DE ÑUBLE </v>
      </c>
      <c r="B33" s="16" t="str">
        <f t="shared" ca="1" si="0"/>
        <v xml:space="preserve"> COELEMU</v>
      </c>
      <c r="C33" s="16" t="str">
        <f ca="1">IFERROR(__xludf.DUMMYFUNCTION("""COMPUTED_VALUE""")," REPOSICIÓN POR CATASTROFE DE SISTEMAS INDIVIDUALES DE AGUA POTABLE RURAL, SECTORES LEONERA , SANTA CRISTINA Y EL RETAMO, COMUNA DE COELEMU ")</f>
        <v xml:space="preserve"> REPOSICIÓN POR CATASTROFE DE SISTEMAS INDIVIDUALES DE AGUA POTABLE RURAL, SECTORES LEONERA , SANTA CRISTINA Y EL RETAMO, COMUNA DE COELEMU </v>
      </c>
      <c r="D33" s="40" t="str">
        <f ca="1">IFERROR(__xludf.DUMMYFUNCTION("""COMPUTED_VALUE"""),"16203230703-C")</f>
        <v>16203230703-C</v>
      </c>
      <c r="E33" s="16" t="str">
        <f ca="1">IFERROR(__xludf.DUMMYFUNCTION("""COMPUTED_VALUE""")," En Ejecución ")</f>
        <v xml:space="preserve"> En Ejecución </v>
      </c>
      <c r="F33" s="41">
        <f ca="1">IFERROR(__xludf.DUMMYFUNCTION("""COMPUTED_VALUE"""),45341)</f>
        <v>45341</v>
      </c>
      <c r="G33" s="16">
        <f ca="1">IFERROR(__xludf.DUMMYFUNCTION("""COMPUTED_VALUE"""),308831370)</f>
        <v>308831370</v>
      </c>
      <c r="H33" s="16" t="str">
        <f ca="1">IFERROR(__xludf.DUMMYFUNCTION("""COMPUTED_VALUE""")," En Ejecución ")</f>
        <v xml:space="preserve"> En Ejecución </v>
      </c>
      <c r="I33" s="16">
        <f ca="1">IFERROR(__xludf.DUMMYFUNCTION("""COMPUTED_VALUE"""),308831370)</f>
        <v>308831370</v>
      </c>
      <c r="J33" s="83" t="s">
        <v>48</v>
      </c>
      <c r="K33" s="16"/>
      <c r="L33" s="16">
        <f ca="1">IFERROR(__xludf.DUMMYFUNCTION("""COMPUTED_VALUE"""),308831370)</f>
        <v>308831370</v>
      </c>
      <c r="M33" s="16"/>
      <c r="N33" s="19"/>
      <c r="O33" s="19"/>
      <c r="P33" s="19"/>
      <c r="Q33" s="19"/>
      <c r="R33" s="19"/>
      <c r="S33" s="19"/>
      <c r="T33" s="19"/>
      <c r="U33" s="19"/>
      <c r="V33" s="19"/>
      <c r="W33" s="20">
        <f ca="1">IFERROR(__xludf.DUMMYFUNCTION("""COMPUTED_VALUE"""),308831370)</f>
        <v>308831370</v>
      </c>
      <c r="X33" s="43" t="str">
        <f ca="1">IFERROR(__xludf.DUMMYFUNCTION("""COMPUTED_VALUE"""),"MUNICIPALIDAD DE COELEMU")</f>
        <v>MUNICIPALIDAD DE COELEMU</v>
      </c>
    </row>
    <row r="34" spans="1:24" ht="15.75" customHeight="1" x14ac:dyDescent="0.25">
      <c r="A34" s="16" t="str">
        <f ca="1">IFERROR(__xludf.DUMMYFUNCTION("""COMPUTED_VALUE""")," REGIÓN METROPOLITANA ")</f>
        <v xml:space="preserve"> REGIÓN METROPOLITANA </v>
      </c>
      <c r="B34" s="16" t="str">
        <f t="shared" ca="1" si="0"/>
        <v xml:space="preserve"> QUINTA NORMAL</v>
      </c>
      <c r="C34" s="16" t="str">
        <f ca="1">IFERROR(__xludf.DUMMYFUNCTION("""COMPUTED_VALUE""")," ASISTENCIA TÉCNICA CATASTRO, LEVANTAMIENTO Y DIAGNÓSTICO PATRIMONIAL BASÍLICA DE LOURDES ")</f>
        <v xml:space="preserve"> ASISTENCIA TÉCNICA CATASTRO, LEVANTAMIENTO Y DIAGNÓSTICO PATRIMONIAL BASÍLICA DE LOURDES </v>
      </c>
      <c r="D34" s="40" t="str">
        <f ca="1">IFERROR(__xludf.DUMMYFUNCTION("""COMPUTED_VALUE"""),"13126231003-C")</f>
        <v>13126231003-C</v>
      </c>
      <c r="E34" s="16" t="str">
        <f ca="1">IFERROR(__xludf.DUMMYFUNCTION("""COMPUTED_VALUE""")," En Ejecución ")</f>
        <v xml:space="preserve"> En Ejecución </v>
      </c>
      <c r="F34" s="41">
        <f ca="1">IFERROR(__xludf.DUMMYFUNCTION("""COMPUTED_VALUE"""),45352)</f>
        <v>45352</v>
      </c>
      <c r="G34" s="16">
        <f ca="1">IFERROR(__xludf.DUMMYFUNCTION("""COMPUTED_VALUE"""),66600000)</f>
        <v>66600000</v>
      </c>
      <c r="H34" s="16" t="str">
        <f ca="1">IFERROR(__xludf.DUMMYFUNCTION("""COMPUTED_VALUE""")," En Ejecución ")</f>
        <v xml:space="preserve"> En Ejecución </v>
      </c>
      <c r="I34" s="16">
        <f ca="1">IFERROR(__xludf.DUMMYFUNCTION("""COMPUTED_VALUE"""),66600000)</f>
        <v>66600000</v>
      </c>
      <c r="J34" s="83" t="s">
        <v>48</v>
      </c>
      <c r="K34" s="16"/>
      <c r="L34" s="16"/>
      <c r="M34" s="16">
        <f ca="1">IFERROR(__xludf.DUMMYFUNCTION("""COMPUTED_VALUE"""),66600000)</f>
        <v>66600000</v>
      </c>
      <c r="N34" s="19"/>
      <c r="O34" s="19"/>
      <c r="P34" s="19"/>
      <c r="Q34" s="19"/>
      <c r="R34" s="19"/>
      <c r="S34" s="19"/>
      <c r="T34" s="19"/>
      <c r="U34" s="19"/>
      <c r="V34" s="19"/>
      <c r="W34" s="20">
        <f ca="1">IFERROR(__xludf.DUMMYFUNCTION("""COMPUTED_VALUE"""),66600000)</f>
        <v>66600000</v>
      </c>
      <c r="X34" s="43" t="str">
        <f ca="1">IFERROR(__xludf.DUMMYFUNCTION("""COMPUTED_VALUE"""),"MUNICIPALIDAD DE QUINTA NORMAL")</f>
        <v>MUNICIPALIDAD DE QUINTA NORMAL</v>
      </c>
    </row>
    <row r="35" spans="1:24" ht="15.75" customHeight="1" x14ac:dyDescent="0.25">
      <c r="A35" s="16" t="str">
        <f ca="1">IFERROR(__xludf.DUMMYFUNCTION("""COMPUTED_VALUE""")," REGIÓN METROPOLITANA ")</f>
        <v xml:space="preserve"> REGIÓN METROPOLITANA </v>
      </c>
      <c r="B35" s="16" t="str">
        <f t="shared" ca="1" si="0"/>
        <v xml:space="preserve"> QUINTA NORMAL</v>
      </c>
      <c r="C35" s="16" t="str">
        <f ca="1">IFERROR(__xludf.DUMMYFUNCTION("""COMPUTED_VALUE""")," PROYECTOS PMB DE ILUMINACIÓN EN DIVERSOS SECTORES DE LA COMUNA, QUINTA NORMAL ")</f>
        <v xml:space="preserve"> PROYECTOS PMB DE ILUMINACIÓN EN DIVERSOS SECTORES DE LA COMUNA, QUINTA NORMAL </v>
      </c>
      <c r="D35" s="40" t="str">
        <f ca="1">IFERROR(__xludf.DUMMYFUNCTION("""COMPUTED_VALUE"""),"13126231004-C")</f>
        <v>13126231004-C</v>
      </c>
      <c r="E35" s="16" t="str">
        <f ca="1">IFERROR(__xludf.DUMMYFUNCTION("""COMPUTED_VALUE""")," En Ejecución ")</f>
        <v xml:space="preserve"> En Ejecución </v>
      </c>
      <c r="F35" s="41">
        <f ca="1">IFERROR(__xludf.DUMMYFUNCTION("""COMPUTED_VALUE"""),45352)</f>
        <v>45352</v>
      </c>
      <c r="G35" s="16">
        <f ca="1">IFERROR(__xludf.DUMMYFUNCTION("""COMPUTED_VALUE"""),72000000)</f>
        <v>72000000</v>
      </c>
      <c r="H35" s="16" t="str">
        <f ca="1">IFERROR(__xludf.DUMMYFUNCTION("""COMPUTED_VALUE""")," En Ejecución ")</f>
        <v xml:space="preserve"> En Ejecución </v>
      </c>
      <c r="I35" s="16">
        <f ca="1">IFERROR(__xludf.DUMMYFUNCTION("""COMPUTED_VALUE"""),72000000)</f>
        <v>72000000</v>
      </c>
      <c r="J35" s="83" t="s">
        <v>48</v>
      </c>
      <c r="K35" s="16"/>
      <c r="L35" s="16"/>
      <c r="M35" s="16">
        <f ca="1">IFERROR(__xludf.DUMMYFUNCTION("""COMPUTED_VALUE"""),72000000)</f>
        <v>72000000</v>
      </c>
      <c r="N35" s="19"/>
      <c r="O35" s="19"/>
      <c r="P35" s="19"/>
      <c r="Q35" s="19"/>
      <c r="R35" s="19"/>
      <c r="S35" s="19"/>
      <c r="T35" s="19"/>
      <c r="U35" s="19"/>
      <c r="V35" s="19"/>
      <c r="W35" s="20">
        <f ca="1">IFERROR(__xludf.DUMMYFUNCTION("""COMPUTED_VALUE"""),72000000)</f>
        <v>72000000</v>
      </c>
      <c r="X35" s="43" t="str">
        <f ca="1">IFERROR(__xludf.DUMMYFUNCTION("""COMPUTED_VALUE"""),"MUNICIPALIDAD DE QUINTA NORMAL")</f>
        <v>MUNICIPALIDAD DE QUINTA NORMAL</v>
      </c>
    </row>
    <row r="36" spans="1:24" ht="15.75" customHeight="1" x14ac:dyDescent="0.25">
      <c r="A36" s="16" t="str">
        <f ca="1">IFERROR(__xludf.DUMMYFUNCTION("""COMPUTED_VALUE""")," REGIÓN DEL MAULE ")</f>
        <v xml:space="preserve"> REGIÓN DEL MAULE </v>
      </c>
      <c r="B36" s="16" t="str">
        <f t="shared" ca="1" si="0"/>
        <v xml:space="preserve"> TENO</v>
      </c>
      <c r="C36" s="16" t="str">
        <f ca="1">IFERROR(__xludf.DUMMYFUNCTION("""COMPUTED_VALUE""")," ASESORIA TECNICA PARA CREACIÓN DE PROYECTOS SUBDERE, COMUNA DE TENO ")</f>
        <v xml:space="preserve"> ASESORIA TECNICA PARA CREACIÓN DE PROYECTOS SUBDERE, COMUNA DE TENO </v>
      </c>
      <c r="D36" s="40" t="str">
        <f ca="1">IFERROR(__xludf.DUMMYFUNCTION("""COMPUTED_VALUE"""),"7308231001-C")</f>
        <v>7308231001-C</v>
      </c>
      <c r="E36" s="16" t="str">
        <f ca="1">IFERROR(__xludf.DUMMYFUNCTION("""COMPUTED_VALUE""")," En Ejecución ")</f>
        <v xml:space="preserve"> En Ejecución </v>
      </c>
      <c r="F36" s="41">
        <f ca="1">IFERROR(__xludf.DUMMYFUNCTION("""COMPUTED_VALUE"""),45064)</f>
        <v>45064</v>
      </c>
      <c r="G36" s="16">
        <f ca="1">IFERROR(__xludf.DUMMYFUNCTION("""COMPUTED_VALUE"""),48000000)</f>
        <v>48000000</v>
      </c>
      <c r="H36" s="16" t="str">
        <f ca="1">IFERROR(__xludf.DUMMYFUNCTION("""COMPUTED_VALUE""")," En Ejecución ")</f>
        <v xml:space="preserve"> En Ejecución </v>
      </c>
      <c r="I36" s="16">
        <f ca="1">IFERROR(__xludf.DUMMYFUNCTION("""COMPUTED_VALUE"""),12000000)</f>
        <v>12000000</v>
      </c>
      <c r="J36" s="83" t="s">
        <v>48</v>
      </c>
      <c r="K36" s="16"/>
      <c r="L36" s="16"/>
      <c r="M36" s="16">
        <f ca="1">IFERROR(__xludf.DUMMYFUNCTION("""COMPUTED_VALUE"""),12000000)</f>
        <v>12000000</v>
      </c>
      <c r="N36" s="19"/>
      <c r="O36" s="19"/>
      <c r="P36" s="19"/>
      <c r="Q36" s="19"/>
      <c r="R36" s="19"/>
      <c r="S36" s="19"/>
      <c r="T36" s="19"/>
      <c r="U36" s="19"/>
      <c r="V36" s="19"/>
      <c r="W36" s="20">
        <f ca="1">IFERROR(__xludf.DUMMYFUNCTION("""COMPUTED_VALUE"""),12000000)</f>
        <v>12000000</v>
      </c>
      <c r="X36" s="43" t="str">
        <f ca="1">IFERROR(__xludf.DUMMYFUNCTION("""COMPUTED_VALUE"""),"MUNICIPALIDAD DE TENO")</f>
        <v>MUNICIPALIDAD DE TENO</v>
      </c>
    </row>
    <row r="37" spans="1:24" ht="15.75" customHeight="1" x14ac:dyDescent="0.25">
      <c r="A37" s="16" t="str">
        <f ca="1">IFERROR(__xludf.DUMMYFUNCTION("""COMPUTED_VALUE""")," REGIÓN DEL MAULE ")</f>
        <v xml:space="preserve"> REGIÓN DEL MAULE </v>
      </c>
      <c r="B37" s="16" t="str">
        <f t="shared" ca="1" si="0"/>
        <v xml:space="preserve"> CUREPTO</v>
      </c>
      <c r="C37" s="16" t="str">
        <f ca="1">IFERROR(__xludf.DUMMYFUNCTION("""COMPUTED_VALUE""")," ASISTENCIA TECNICA, COMUNA DE CUREPTO ")</f>
        <v xml:space="preserve"> ASISTENCIA TECNICA, COMUNA DE CUREPTO </v>
      </c>
      <c r="D37" s="40" t="str">
        <f ca="1">IFERROR(__xludf.DUMMYFUNCTION("""COMPUTED_VALUE"""),"7103231001-C")</f>
        <v>7103231001-C</v>
      </c>
      <c r="E37" s="16" t="str">
        <f ca="1">IFERROR(__xludf.DUMMYFUNCTION("""COMPUTED_VALUE""")," En Ejecución ")</f>
        <v xml:space="preserve"> En Ejecución </v>
      </c>
      <c r="F37" s="41">
        <f ca="1">IFERROR(__xludf.DUMMYFUNCTION("""COMPUTED_VALUE"""),45239)</f>
        <v>45239</v>
      </c>
      <c r="G37" s="16">
        <f ca="1">IFERROR(__xludf.DUMMYFUNCTION("""COMPUTED_VALUE"""),40515444)</f>
        <v>40515444</v>
      </c>
      <c r="H37" s="16" t="str">
        <f ca="1">IFERROR(__xludf.DUMMYFUNCTION("""COMPUTED_VALUE""")," En Ejecución ")</f>
        <v xml:space="preserve"> En Ejecución </v>
      </c>
      <c r="I37" s="16">
        <f ca="1">IFERROR(__xludf.DUMMYFUNCTION("""COMPUTED_VALUE"""),10128861)</f>
        <v>10128861</v>
      </c>
      <c r="J37" s="83" t="s">
        <v>48</v>
      </c>
      <c r="K37" s="16"/>
      <c r="L37" s="16"/>
      <c r="M37" s="16">
        <f ca="1">IFERROR(__xludf.DUMMYFUNCTION("""COMPUTED_VALUE"""),10128861)</f>
        <v>10128861</v>
      </c>
      <c r="N37" s="19"/>
      <c r="O37" s="19"/>
      <c r="P37" s="19"/>
      <c r="Q37" s="19"/>
      <c r="R37" s="19"/>
      <c r="S37" s="19"/>
      <c r="T37" s="19"/>
      <c r="U37" s="19"/>
      <c r="V37" s="19"/>
      <c r="W37" s="20">
        <f ca="1">IFERROR(__xludf.DUMMYFUNCTION("""COMPUTED_VALUE"""),10128861)</f>
        <v>10128861</v>
      </c>
      <c r="X37" s="43" t="str">
        <f ca="1">IFERROR(__xludf.DUMMYFUNCTION("""COMPUTED_VALUE"""),"MUNICIPALIDAD DE CUREPTO")</f>
        <v>MUNICIPALIDAD DE CUREPTO</v>
      </c>
    </row>
    <row r="38" spans="1:24" ht="15.75" customHeight="1" x14ac:dyDescent="0.25">
      <c r="A38" s="16" t="str">
        <f ca="1">IFERROR(__xludf.DUMMYFUNCTION("""COMPUTED_VALUE""")," REGIÓN DEL MAULE ")</f>
        <v xml:space="preserve"> REGIÓN DEL MAULE </v>
      </c>
      <c r="B38" s="16" t="str">
        <f t="shared" ca="1" si="0"/>
        <v xml:space="preserve"> YERBAS BUENAS</v>
      </c>
      <c r="C38" s="16" t="str">
        <f ca="1">IFERROR(__xludf.DUMMYFUNCTION("""COMPUTED_VALUE""")," ASISTENCIA TECNICA COMUNA DE YERBAS BUENAS ")</f>
        <v xml:space="preserve"> ASISTENCIA TECNICA COMUNA DE YERBAS BUENAS </v>
      </c>
      <c r="D38" s="40" t="str">
        <f ca="1">IFERROR(__xludf.DUMMYFUNCTION("""COMPUTED_VALUE"""),"7408231001-C")</f>
        <v>7408231001-C</v>
      </c>
      <c r="E38" s="16" t="str">
        <f ca="1">IFERROR(__xludf.DUMMYFUNCTION("""COMPUTED_VALUE""")," En Ejecución ")</f>
        <v xml:space="preserve"> En Ejecución </v>
      </c>
      <c r="F38" s="41">
        <f ca="1">IFERROR(__xludf.DUMMYFUNCTION("""COMPUTED_VALUE"""),45167)</f>
        <v>45167</v>
      </c>
      <c r="G38" s="16">
        <f ca="1">IFERROR(__xludf.DUMMYFUNCTION("""COMPUTED_VALUE"""),97800000)</f>
        <v>97800000</v>
      </c>
      <c r="H38" s="16" t="str">
        <f ca="1">IFERROR(__xludf.DUMMYFUNCTION("""COMPUTED_VALUE""")," En Ejecución ")</f>
        <v xml:space="preserve"> En Ejecución </v>
      </c>
      <c r="I38" s="16">
        <f ca="1">IFERROR(__xludf.DUMMYFUNCTION("""COMPUTED_VALUE"""),24450000)</f>
        <v>24450000</v>
      </c>
      <c r="J38" s="83" t="s">
        <v>48</v>
      </c>
      <c r="K38" s="16"/>
      <c r="L38" s="16"/>
      <c r="M38" s="16">
        <f ca="1">IFERROR(__xludf.DUMMYFUNCTION("""COMPUTED_VALUE"""),24450000)</f>
        <v>24450000</v>
      </c>
      <c r="N38" s="19"/>
      <c r="O38" s="19"/>
      <c r="P38" s="19"/>
      <c r="Q38" s="19"/>
      <c r="R38" s="19"/>
      <c r="S38" s="19"/>
      <c r="T38" s="19"/>
      <c r="U38" s="19"/>
      <c r="V38" s="19"/>
      <c r="W38" s="20">
        <f ca="1">IFERROR(__xludf.DUMMYFUNCTION("""COMPUTED_VALUE"""),24450000)</f>
        <v>24450000</v>
      </c>
      <c r="X38" s="43" t="str">
        <f ca="1">IFERROR(__xludf.DUMMYFUNCTION("""COMPUTED_VALUE"""),"MUNICIPALIDAD DE YERBAS BUENAS")</f>
        <v>MUNICIPALIDAD DE YERBAS BUENAS</v>
      </c>
    </row>
    <row r="39" spans="1:24" ht="15.75" customHeight="1" x14ac:dyDescent="0.25">
      <c r="A39" s="16" t="str">
        <f ca="1">IFERROR(__xludf.DUMMYFUNCTION("""COMPUTED_VALUE""")," REGIÓN DEL MAULE ")</f>
        <v xml:space="preserve"> REGIÓN DEL MAULE </v>
      </c>
      <c r="B39" s="16" t="str">
        <f t="shared" ca="1" si="0"/>
        <v xml:space="preserve"> PARRAL</v>
      </c>
      <c r="C39" s="16" t="str">
        <f ca="1">IFERROR(__xludf.DUMMYFUNCTION("""COMPUTED_VALUE""")," ASISTENCIA TÉCNICA PARA PROYECTOS EN EL ÁREA SANITARIA COMUNA DE PARRAL ")</f>
        <v xml:space="preserve"> ASISTENCIA TÉCNICA PARA PROYECTOS EN EL ÁREA SANITARIA COMUNA DE PARRAL </v>
      </c>
      <c r="D39" s="40" t="str">
        <f ca="1">IFERROR(__xludf.DUMMYFUNCTION("""COMPUTED_VALUE"""),"7404221001-C")</f>
        <v>7404221001-C</v>
      </c>
      <c r="E39" s="16" t="str">
        <f ca="1">IFERROR(__xludf.DUMMYFUNCTION("""COMPUTED_VALUE""")," En Ejecución ")</f>
        <v xml:space="preserve"> En Ejecución </v>
      </c>
      <c r="F39" s="41">
        <f ca="1">IFERROR(__xludf.DUMMYFUNCTION("""COMPUTED_VALUE"""),45117)</f>
        <v>45117</v>
      </c>
      <c r="G39" s="16">
        <f ca="1">IFERROR(__xludf.DUMMYFUNCTION("""COMPUTED_VALUE"""),53628000)</f>
        <v>53628000</v>
      </c>
      <c r="H39" s="16" t="str">
        <f ca="1">IFERROR(__xludf.DUMMYFUNCTION("""COMPUTED_VALUE""")," En Ejecución ")</f>
        <v xml:space="preserve"> En Ejecución </v>
      </c>
      <c r="I39" s="16">
        <f ca="1">IFERROR(__xludf.DUMMYFUNCTION("""COMPUTED_VALUE"""),19816200)</f>
        <v>19816200</v>
      </c>
      <c r="J39" s="83" t="s">
        <v>48</v>
      </c>
      <c r="K39" s="16"/>
      <c r="L39" s="16"/>
      <c r="M39" s="16">
        <f ca="1">IFERROR(__xludf.DUMMYFUNCTION("""COMPUTED_VALUE"""),19816200)</f>
        <v>19816200</v>
      </c>
      <c r="N39" s="19"/>
      <c r="O39" s="19"/>
      <c r="P39" s="19"/>
      <c r="Q39" s="19"/>
      <c r="R39" s="19"/>
      <c r="S39" s="19"/>
      <c r="T39" s="19"/>
      <c r="U39" s="19"/>
      <c r="V39" s="19"/>
      <c r="W39" s="20">
        <f ca="1">IFERROR(__xludf.DUMMYFUNCTION("""COMPUTED_VALUE"""),19816200)</f>
        <v>19816200</v>
      </c>
      <c r="X39" s="43" t="str">
        <f ca="1">IFERROR(__xludf.DUMMYFUNCTION("""COMPUTED_VALUE"""),"MUNICIPALIDAD DE PARRAL")</f>
        <v>MUNICIPALIDAD DE PARRAL</v>
      </c>
    </row>
    <row r="40" spans="1:24" ht="15.75" customHeight="1" x14ac:dyDescent="0.25">
      <c r="A40" s="16" t="str">
        <f ca="1">IFERROR(__xludf.DUMMYFUNCTION("""COMPUTED_VALUE""")," REGIÓN DE ÑUBLE ")</f>
        <v xml:space="preserve"> REGIÓN DE ÑUBLE </v>
      </c>
      <c r="B40" s="16" t="str">
        <f t="shared" ca="1" si="0"/>
        <v xml:space="preserve"> EL CARMEN</v>
      </c>
      <c r="C40" s="16" t="str">
        <f ca="1">IFERROR(__xludf.DUMMYFUNCTION("""COMPUTED_VALUE""")," ASISTENCIA TÉCNICA PARA LA GENERACIÒN DE PROYECTOS Y CATASTROS PARA SANEAMIENTO SANITARIO, COMUNA DE EL CARMEN ")</f>
        <v xml:space="preserve"> ASISTENCIA TÉCNICA PARA LA GENERACIÒN DE PROYECTOS Y CATASTROS PARA SANEAMIENTO SANITARIO, COMUNA DE EL CARMEN </v>
      </c>
      <c r="D40" s="40" t="str">
        <f ca="1">IFERROR(__xludf.DUMMYFUNCTION("""COMPUTED_VALUE"""),"16104231001-C")</f>
        <v>16104231001-C</v>
      </c>
      <c r="E40" s="16" t="str">
        <f ca="1">IFERROR(__xludf.DUMMYFUNCTION("""COMPUTED_VALUE""")," En Ejecución ")</f>
        <v xml:space="preserve"> En Ejecución </v>
      </c>
      <c r="F40" s="41">
        <f ca="1">IFERROR(__xludf.DUMMYFUNCTION("""COMPUTED_VALUE"""),45359)</f>
        <v>45359</v>
      </c>
      <c r="G40" s="16">
        <f ca="1">IFERROR(__xludf.DUMMYFUNCTION("""COMPUTED_VALUE"""),91200000)</f>
        <v>91200000</v>
      </c>
      <c r="H40" s="16" t="str">
        <f ca="1">IFERROR(__xludf.DUMMYFUNCTION("""COMPUTED_VALUE""")," En Ejecución ")</f>
        <v xml:space="preserve"> En Ejecución </v>
      </c>
      <c r="I40" s="16">
        <f ca="1">IFERROR(__xludf.DUMMYFUNCTION("""COMPUTED_VALUE"""),91200000)</f>
        <v>91200000</v>
      </c>
      <c r="J40" s="83" t="s">
        <v>48</v>
      </c>
      <c r="K40" s="16"/>
      <c r="L40" s="16"/>
      <c r="M40" s="16">
        <f ca="1">IFERROR(__xludf.DUMMYFUNCTION("""COMPUTED_VALUE"""),91200000)</f>
        <v>91200000</v>
      </c>
      <c r="N40" s="19"/>
      <c r="O40" s="19"/>
      <c r="P40" s="19"/>
      <c r="Q40" s="19"/>
      <c r="R40" s="19"/>
      <c r="S40" s="19"/>
      <c r="T40" s="19"/>
      <c r="U40" s="19"/>
      <c r="V40" s="19"/>
      <c r="W40" s="20">
        <f ca="1">IFERROR(__xludf.DUMMYFUNCTION("""COMPUTED_VALUE"""),91200000)</f>
        <v>91200000</v>
      </c>
      <c r="X40" s="43" t="str">
        <f ca="1">IFERROR(__xludf.DUMMYFUNCTION("""COMPUTED_VALUE"""),"MUNICIPALIDAD DE EL CARMEN")</f>
        <v>MUNICIPALIDAD DE EL CARMEN</v>
      </c>
    </row>
    <row r="41" spans="1:24" ht="15.75" customHeight="1" x14ac:dyDescent="0.25">
      <c r="A41" s="16" t="str">
        <f ca="1">IFERROR(__xludf.DUMMYFUNCTION("""COMPUTED_VALUE""")," REGIÓN DE LA ARAUCANÍA ")</f>
        <v xml:space="preserve"> REGIÓN DE LA ARAUCANÍA </v>
      </c>
      <c r="B41" s="16" t="str">
        <f t="shared" ca="1" si="0"/>
        <v xml:space="preserve"> TRAIGUÉN</v>
      </c>
      <c r="C41" s="16" t="str">
        <f ca="1">IFERROR(__xludf.DUMMYFUNCTION("""COMPUTED_VALUE""")," CONTRATACION DE PROFESIONALES TECNICOS PARA LA FORMULACION DE PROYECTOS DE INVERSION, COMUNA DE TRAIGUEN ")</f>
        <v xml:space="preserve"> CONTRATACION DE PROFESIONALES TECNICOS PARA LA FORMULACION DE PROYECTOS DE INVERSION, COMUNA DE TRAIGUEN </v>
      </c>
      <c r="D41" s="40" t="str">
        <f ca="1">IFERROR(__xludf.DUMMYFUNCTION("""COMPUTED_VALUE"""),"9210231003-C")</f>
        <v>9210231003-C</v>
      </c>
      <c r="E41" s="16" t="str">
        <f ca="1">IFERROR(__xludf.DUMMYFUNCTION("""COMPUTED_VALUE""")," En Ejecución ")</f>
        <v xml:space="preserve"> En Ejecución </v>
      </c>
      <c r="F41" s="41">
        <f ca="1">IFERROR(__xludf.DUMMYFUNCTION("""COMPUTED_VALUE"""),45351)</f>
        <v>45351</v>
      </c>
      <c r="G41" s="16">
        <f ca="1">IFERROR(__xludf.DUMMYFUNCTION("""COMPUTED_VALUE"""),86400000)</f>
        <v>86400000</v>
      </c>
      <c r="H41" s="16" t="str">
        <f ca="1">IFERROR(__xludf.DUMMYFUNCTION("""COMPUTED_VALUE""")," En Ejecución ")</f>
        <v xml:space="preserve"> En Ejecución </v>
      </c>
      <c r="I41" s="16">
        <f ca="1">IFERROR(__xludf.DUMMYFUNCTION("""COMPUTED_VALUE"""),86400000)</f>
        <v>86400000</v>
      </c>
      <c r="J41" s="83" t="s">
        <v>48</v>
      </c>
      <c r="K41" s="16"/>
      <c r="L41" s="16"/>
      <c r="M41" s="16">
        <f ca="1">IFERROR(__xludf.DUMMYFUNCTION("""COMPUTED_VALUE"""),86400000)</f>
        <v>86400000</v>
      </c>
      <c r="N41" s="19"/>
      <c r="O41" s="19"/>
      <c r="P41" s="19"/>
      <c r="Q41" s="19"/>
      <c r="R41" s="19"/>
      <c r="S41" s="19"/>
      <c r="T41" s="19"/>
      <c r="U41" s="19"/>
      <c r="V41" s="19"/>
      <c r="W41" s="20">
        <f ca="1">IFERROR(__xludf.DUMMYFUNCTION("""COMPUTED_VALUE"""),86400000)</f>
        <v>86400000</v>
      </c>
      <c r="X41" s="43" t="str">
        <f ca="1">IFERROR(__xludf.DUMMYFUNCTION("""COMPUTED_VALUE"""),"MUNICIPALIDAD DE TRAIGUÉN")</f>
        <v>MUNICIPALIDAD DE TRAIGUÉN</v>
      </c>
    </row>
    <row r="42" spans="1:24" ht="15.75" customHeight="1" x14ac:dyDescent="0.25">
      <c r="A42" s="16" t="str">
        <f ca="1">IFERROR(__xludf.DUMMYFUNCTION("""COMPUTED_VALUE""")," REGIÓN DE LA ARAUCANÍA ")</f>
        <v xml:space="preserve"> REGIÓN DE LA ARAUCANÍA </v>
      </c>
      <c r="B42" s="16" t="str">
        <f t="shared" ca="1" si="0"/>
        <v xml:space="preserve"> TRAIGUÉN</v>
      </c>
      <c r="C42" s="16" t="str">
        <f ca="1">IFERROR(__xludf.DUMMYFUNCTION("""COMPUTED_VALUE""")," ASIST. PROY. ABASTO A.P. SECTOR: CHANCO BAJO,CHANCO ALTO, C. COÑA REIMAN,PICHIPANTANO NORTE, PICHIPANTANO SUR, BELLA VISTA,PANTANO 2,TRAIGUEN ")</f>
        <v xml:space="preserve"> ASIST. PROY. ABASTO A.P. SECTOR: CHANCO BAJO,CHANCO ALTO, C. COÑA REIMAN,PICHIPANTANO NORTE, PICHIPANTANO SUR, BELLA VISTA,PANTANO 2,TRAIGUEN </v>
      </c>
      <c r="D42" s="40" t="str">
        <f ca="1">IFERROR(__xludf.DUMMYFUNCTION("""COMPUTED_VALUE"""),"9210231005-C")</f>
        <v>9210231005-C</v>
      </c>
      <c r="E42" s="16" t="str">
        <f ca="1">IFERROR(__xludf.DUMMYFUNCTION("""COMPUTED_VALUE""")," En Ejecución ")</f>
        <v xml:space="preserve"> En Ejecución </v>
      </c>
      <c r="F42" s="41">
        <f ca="1">IFERROR(__xludf.DUMMYFUNCTION("""COMPUTED_VALUE"""),45356)</f>
        <v>45356</v>
      </c>
      <c r="G42" s="16">
        <f ca="1">IFERROR(__xludf.DUMMYFUNCTION("""COMPUTED_VALUE"""),64800000)</f>
        <v>64800000</v>
      </c>
      <c r="H42" s="16" t="str">
        <f ca="1">IFERROR(__xludf.DUMMYFUNCTION("""COMPUTED_VALUE""")," En Ejecución ")</f>
        <v xml:space="preserve"> En Ejecución </v>
      </c>
      <c r="I42" s="16">
        <f ca="1">IFERROR(__xludf.DUMMYFUNCTION("""COMPUTED_VALUE"""),64800000)</f>
        <v>64800000</v>
      </c>
      <c r="J42" s="83" t="s">
        <v>48</v>
      </c>
      <c r="K42" s="16"/>
      <c r="L42" s="16"/>
      <c r="M42" s="16">
        <f ca="1">IFERROR(__xludf.DUMMYFUNCTION("""COMPUTED_VALUE"""),64800000)</f>
        <v>64800000</v>
      </c>
      <c r="N42" s="19"/>
      <c r="O42" s="19"/>
      <c r="P42" s="19"/>
      <c r="Q42" s="19"/>
      <c r="R42" s="19"/>
      <c r="S42" s="19"/>
      <c r="T42" s="19"/>
      <c r="U42" s="19"/>
      <c r="V42" s="19"/>
      <c r="W42" s="20">
        <f ca="1">IFERROR(__xludf.DUMMYFUNCTION("""COMPUTED_VALUE"""),64800000)</f>
        <v>64800000</v>
      </c>
      <c r="X42" s="43" t="str">
        <f ca="1">IFERROR(__xludf.DUMMYFUNCTION("""COMPUTED_VALUE"""),"MUNICIPALIDAD DE TRAIGUÉN")</f>
        <v>MUNICIPALIDAD DE TRAIGUÉN</v>
      </c>
    </row>
    <row r="43" spans="1:24" ht="15.75" customHeight="1" x14ac:dyDescent="0.25">
      <c r="A43" s="16" t="str">
        <f ca="1">IFERROR(__xludf.DUMMYFUNCTION("""COMPUTED_VALUE""")," REGIÓN DE VALPARAÍSO ")</f>
        <v xml:space="preserve"> REGIÓN DE VALPARAÍSO </v>
      </c>
      <c r="B43" s="16" t="str">
        <f t="shared" ca="1" si="0"/>
        <v xml:space="preserve"> JUAN FERNÁNDEZ</v>
      </c>
      <c r="C43" s="16" t="str">
        <f ca="1">IFERROR(__xludf.DUMMYFUNCTION("""COMPUTED_VALUE""")," ASISTENCIA TÉCNICA PARA ALTERNATIVAS DE INVERSIÓN EN CONSUMO HUMANO Y SANEAMIENTO JUAN FERNÁNDEZ ")</f>
        <v xml:space="preserve"> ASISTENCIA TÉCNICA PARA ALTERNATIVAS DE INVERSIÓN EN CONSUMO HUMANO Y SANEAMIENTO JUAN FERNÁNDEZ </v>
      </c>
      <c r="D43" s="40" t="str">
        <f ca="1">IFERROR(__xludf.DUMMYFUNCTION("""COMPUTED_VALUE"""),"5104231002-C")</f>
        <v>5104231002-C</v>
      </c>
      <c r="E43" s="16" t="str">
        <f ca="1">IFERROR(__xludf.DUMMYFUNCTION("""COMPUTED_VALUE""")," En Ejecución ")</f>
        <v xml:space="preserve"> En Ejecución </v>
      </c>
      <c r="F43" s="41">
        <f ca="1">IFERROR(__xludf.DUMMYFUNCTION("""COMPUTED_VALUE"""),45365)</f>
        <v>45365</v>
      </c>
      <c r="G43" s="16">
        <f ca="1">IFERROR(__xludf.DUMMYFUNCTION("""COMPUTED_VALUE"""),82800000)</f>
        <v>82800000</v>
      </c>
      <c r="H43" s="16" t="str">
        <f ca="1">IFERROR(__xludf.DUMMYFUNCTION("""COMPUTED_VALUE""")," En Ejecución ")</f>
        <v xml:space="preserve"> En Ejecución </v>
      </c>
      <c r="I43" s="16">
        <f ca="1">IFERROR(__xludf.DUMMYFUNCTION("""COMPUTED_VALUE"""),82800000)</f>
        <v>82800000</v>
      </c>
      <c r="J43" s="83" t="s">
        <v>48</v>
      </c>
      <c r="K43" s="16"/>
      <c r="L43" s="16"/>
      <c r="M43" s="16">
        <f ca="1">IFERROR(__xludf.DUMMYFUNCTION("""COMPUTED_VALUE"""),82800000)</f>
        <v>82800000</v>
      </c>
      <c r="N43" s="19"/>
      <c r="O43" s="19"/>
      <c r="P43" s="19"/>
      <c r="Q43" s="19"/>
      <c r="R43" s="19"/>
      <c r="S43" s="19"/>
      <c r="T43" s="19"/>
      <c r="U43" s="19"/>
      <c r="V43" s="19"/>
      <c r="W43" s="20">
        <f ca="1">IFERROR(__xludf.DUMMYFUNCTION("""COMPUTED_VALUE"""),82800000)</f>
        <v>82800000</v>
      </c>
      <c r="X43" s="43" t="str">
        <f ca="1">IFERROR(__xludf.DUMMYFUNCTION("""COMPUTED_VALUE"""),"MUNICIPALIDAD DE JUAN FERNÁNDEZ")</f>
        <v>MUNICIPALIDAD DE JUAN FERNÁNDEZ</v>
      </c>
    </row>
    <row r="44" spans="1:24" ht="15.75" customHeight="1" x14ac:dyDescent="0.25">
      <c r="A44" s="16" t="str">
        <f ca="1">IFERROR(__xludf.DUMMYFUNCTION("""COMPUTED_VALUE""")," REGIÓN METROPOLITANA ")</f>
        <v xml:space="preserve"> REGIÓN METROPOLITANA </v>
      </c>
      <c r="B44" s="16" t="str">
        <f t="shared" ca="1" si="0"/>
        <v xml:space="preserve"> PADRE HURTADO</v>
      </c>
      <c r="C44" s="16" t="str">
        <f ca="1">IFERROR(__xludf.DUMMYFUNCTION("""COMPUTED_VALUE""")," ASISTENCIA TECNICA PARA EL DESARROLLO DE PROYECTOS DE MEJORAMIENTO DE PAVIMENTOS DE SECTOR SANTA ROSA, COMUNA DE PADRE HURTADO. ")</f>
        <v xml:space="preserve"> ASISTENCIA TECNICA PARA EL DESARROLLO DE PROYECTOS DE MEJORAMIENTO DE PAVIMENTOS DE SECTOR SANTA ROSA, COMUNA DE PADRE HURTADO. </v>
      </c>
      <c r="D44" s="40" t="str">
        <f ca="1">IFERROR(__xludf.DUMMYFUNCTION("""COMPUTED_VALUE"""),"13604231004-C")</f>
        <v>13604231004-C</v>
      </c>
      <c r="E44" s="16" t="str">
        <f ca="1">IFERROR(__xludf.DUMMYFUNCTION("""COMPUTED_VALUE""")," En Ejecución ")</f>
        <v xml:space="preserve"> En Ejecución </v>
      </c>
      <c r="F44" s="41">
        <f ca="1">IFERROR(__xludf.DUMMYFUNCTION("""COMPUTED_VALUE"""),45356)</f>
        <v>45356</v>
      </c>
      <c r="G44" s="16">
        <f ca="1">IFERROR(__xludf.DUMMYFUNCTION("""COMPUTED_VALUE"""),46896552)</f>
        <v>46896552</v>
      </c>
      <c r="H44" s="16" t="str">
        <f ca="1">IFERROR(__xludf.DUMMYFUNCTION("""COMPUTED_VALUE""")," En Ejecución ")</f>
        <v xml:space="preserve"> En Ejecución </v>
      </c>
      <c r="I44" s="16">
        <f ca="1">IFERROR(__xludf.DUMMYFUNCTION("""COMPUTED_VALUE"""),46896552)</f>
        <v>46896552</v>
      </c>
      <c r="J44" s="83" t="s">
        <v>48</v>
      </c>
      <c r="K44" s="16"/>
      <c r="L44" s="16"/>
      <c r="M44" s="16">
        <f ca="1">IFERROR(__xludf.DUMMYFUNCTION("""COMPUTED_VALUE"""),46896552)</f>
        <v>46896552</v>
      </c>
      <c r="N44" s="19"/>
      <c r="O44" s="19"/>
      <c r="P44" s="19"/>
      <c r="Q44" s="19"/>
      <c r="R44" s="19"/>
      <c r="S44" s="19"/>
      <c r="T44" s="19"/>
      <c r="U44" s="19"/>
      <c r="V44" s="19"/>
      <c r="W44" s="20">
        <f ca="1">IFERROR(__xludf.DUMMYFUNCTION("""COMPUTED_VALUE"""),46896552)</f>
        <v>46896552</v>
      </c>
      <c r="X44" s="43" t="str">
        <f ca="1">IFERROR(__xludf.DUMMYFUNCTION("""COMPUTED_VALUE"""),"MUNICIPALIDAD DE PADRE HURTADO")</f>
        <v>MUNICIPALIDAD DE PADRE HURTADO</v>
      </c>
    </row>
    <row r="45" spans="1:24" ht="15.75" customHeight="1" x14ac:dyDescent="0.25">
      <c r="A45" s="16" t="str">
        <f ca="1">IFERROR(__xludf.DUMMYFUNCTION("""COMPUTED_VALUE""")," REGIÓN DE LA ARAUCANÍA ")</f>
        <v xml:space="preserve"> REGIÓN DE LA ARAUCANÍA </v>
      </c>
      <c r="B45" s="16" t="str">
        <f t="shared" ca="1" si="0"/>
        <v xml:space="preserve"> ERCILLA</v>
      </c>
      <c r="C45" s="16" t="str">
        <f ca="1">IFERROR(__xludf.DUMMYFUNCTION("""COMPUTED_VALUE""")," ESTUDIO HIDROGEOLOGICO Y PROSPECCIÓN GEOFÍSICA EN FUTUROS PROYECTOS DE ABASTOS DE AGUA POTABLE, COMUNA DE ERCILLA ")</f>
        <v xml:space="preserve"> ESTUDIO HIDROGEOLOGICO Y PROSPECCIÓN GEOFÍSICA EN FUTUROS PROYECTOS DE ABASTOS DE AGUA POTABLE, COMUNA DE ERCILLA </v>
      </c>
      <c r="D45" s="40" t="str">
        <f ca="1">IFERROR(__xludf.DUMMYFUNCTION("""COMPUTED_VALUE"""),"9204230401-C")</f>
        <v>9204230401-C</v>
      </c>
      <c r="E45" s="16" t="str">
        <f ca="1">IFERROR(__xludf.DUMMYFUNCTION("""COMPUTED_VALUE""")," En Ejecución ")</f>
        <v xml:space="preserve"> En Ejecución </v>
      </c>
      <c r="F45" s="41">
        <f ca="1">IFERROR(__xludf.DUMMYFUNCTION("""COMPUTED_VALUE"""),45369)</f>
        <v>45369</v>
      </c>
      <c r="G45" s="16">
        <f ca="1">IFERROR(__xludf.DUMMYFUNCTION("""COMPUTED_VALUE"""),69020000)</f>
        <v>69020000</v>
      </c>
      <c r="H45" s="16" t="str">
        <f ca="1">IFERROR(__xludf.DUMMYFUNCTION("""COMPUTED_VALUE""")," En Ejecución ")</f>
        <v xml:space="preserve"> En Ejecución </v>
      </c>
      <c r="I45" s="16">
        <f ca="1">IFERROR(__xludf.DUMMYFUNCTION("""COMPUTED_VALUE"""),69020000)</f>
        <v>69020000</v>
      </c>
      <c r="J45" s="83" t="s">
        <v>48</v>
      </c>
      <c r="K45" s="16"/>
      <c r="L45" s="16"/>
      <c r="M45" s="16">
        <f ca="1">IFERROR(__xludf.DUMMYFUNCTION("""COMPUTED_VALUE"""),69020000)</f>
        <v>69020000</v>
      </c>
      <c r="N45" s="19"/>
      <c r="O45" s="19"/>
      <c r="P45" s="19"/>
      <c r="Q45" s="19"/>
      <c r="R45" s="19"/>
      <c r="S45" s="19"/>
      <c r="T45" s="19"/>
      <c r="U45" s="19"/>
      <c r="V45" s="19"/>
      <c r="W45" s="20">
        <f ca="1">IFERROR(__xludf.DUMMYFUNCTION("""COMPUTED_VALUE"""),69020000)</f>
        <v>69020000</v>
      </c>
      <c r="X45" s="43" t="str">
        <f ca="1">IFERROR(__xludf.DUMMYFUNCTION("""COMPUTED_VALUE"""),"MUNICIPALIDAD DE ERCILLA")</f>
        <v>MUNICIPALIDAD DE ERCILLA</v>
      </c>
    </row>
    <row r="46" spans="1:24" ht="15.75" customHeight="1" x14ac:dyDescent="0.25">
      <c r="A46" s="16" t="str">
        <f ca="1">IFERROR(__xludf.DUMMYFUNCTION("""COMPUTED_VALUE""")," REGIÓN DE ARICA Y PARINACOTA ")</f>
        <v xml:space="preserve"> REGIÓN DE ARICA Y PARINACOTA </v>
      </c>
      <c r="B46" s="16" t="str">
        <f t="shared" ca="1" si="0"/>
        <v xml:space="preserve"> ARICA</v>
      </c>
      <c r="C46" s="16" t="str">
        <f ca="1">IFERROR(__xludf.DUMMYFUNCTION("""COMPUTED_VALUE""")," MEJORAMIENTO DE ALUMBRADO PUBLICO SECTOR VILLA FRONTERA ")</f>
        <v xml:space="preserve"> MEJORAMIENTO DE ALUMBRADO PUBLICO SECTOR VILLA FRONTERA </v>
      </c>
      <c r="D46" s="40" t="str">
        <f ca="1">IFERROR(__xludf.DUMMYFUNCTION("""COMPUTED_VALUE"""),"15101230702-C")</f>
        <v>15101230702-C</v>
      </c>
      <c r="E46" s="16" t="str">
        <f ca="1">IFERROR(__xludf.DUMMYFUNCTION("""COMPUTED_VALUE""")," En Ejecución ")</f>
        <v xml:space="preserve"> En Ejecución </v>
      </c>
      <c r="F46" s="41">
        <f ca="1">IFERROR(__xludf.DUMMYFUNCTION("""COMPUTED_VALUE"""),45359)</f>
        <v>45359</v>
      </c>
      <c r="G46" s="16">
        <f ca="1">IFERROR(__xludf.DUMMYFUNCTION("""COMPUTED_VALUE"""),180381580)</f>
        <v>180381580</v>
      </c>
      <c r="H46" s="16" t="str">
        <f ca="1">IFERROR(__xludf.DUMMYFUNCTION("""COMPUTED_VALUE""")," En Ejecución ")</f>
        <v xml:space="preserve"> En Ejecución </v>
      </c>
      <c r="I46" s="16">
        <f ca="1">IFERROR(__xludf.DUMMYFUNCTION("""COMPUTED_VALUE"""),180381580)</f>
        <v>180381580</v>
      </c>
      <c r="J46" s="83" t="s">
        <v>48</v>
      </c>
      <c r="K46" s="16"/>
      <c r="L46" s="16"/>
      <c r="M46" s="16">
        <f ca="1">IFERROR(__xludf.DUMMYFUNCTION("""COMPUTED_VALUE"""),180381580)</f>
        <v>180381580</v>
      </c>
      <c r="N46" s="19"/>
      <c r="O46" s="19"/>
      <c r="P46" s="19"/>
      <c r="Q46" s="19"/>
      <c r="R46" s="19"/>
      <c r="S46" s="19"/>
      <c r="T46" s="19"/>
      <c r="U46" s="19"/>
      <c r="V46" s="19"/>
      <c r="W46" s="20">
        <f ca="1">IFERROR(__xludf.DUMMYFUNCTION("""COMPUTED_VALUE"""),180381580)</f>
        <v>180381580</v>
      </c>
      <c r="X46" s="43" t="str">
        <f ca="1">IFERROR(__xludf.DUMMYFUNCTION("""COMPUTED_VALUE"""),"MUNICIPALIDAD DE ARICA")</f>
        <v>MUNICIPALIDAD DE ARICA</v>
      </c>
    </row>
    <row r="47" spans="1:24" ht="15.75" customHeight="1" x14ac:dyDescent="0.25">
      <c r="A47" s="16" t="str">
        <f ca="1">IFERROR(__xludf.DUMMYFUNCTION("""COMPUTED_VALUE""")," REGIÓN DE ANTOFAGASTA ")</f>
        <v xml:space="preserve"> REGIÓN DE ANTOFAGASTA </v>
      </c>
      <c r="B47" s="16" t="str">
        <f t="shared" ca="1" si="0"/>
        <v xml:space="preserve"> CALAMA</v>
      </c>
      <c r="C47" s="16" t="str">
        <f ca="1">IFERROR(__xludf.DUMMYFUNCTION("""COMPUTED_VALUE""")," NORMALIZACIÓN ALUMBRADO PUBLICO VILLA LOS VOLCANES, LOCALIDAD DE CALAMA, COMUNA DE CALAMA. ")</f>
        <v xml:space="preserve"> NORMALIZACIÓN ALUMBRADO PUBLICO VILLA LOS VOLCANES, LOCALIDAD DE CALAMA, COMUNA DE CALAMA. </v>
      </c>
      <c r="D47" s="40" t="str">
        <f ca="1">IFERROR(__xludf.DUMMYFUNCTION("""COMPUTED_VALUE"""),"2201230701-C")</f>
        <v>2201230701-C</v>
      </c>
      <c r="E47" s="16" t="str">
        <f ca="1">IFERROR(__xludf.DUMMYFUNCTION("""COMPUTED_VALUE""")," En Ejecución ")</f>
        <v xml:space="preserve"> En Ejecución </v>
      </c>
      <c r="F47" s="41">
        <f ca="1">IFERROR(__xludf.DUMMYFUNCTION("""COMPUTED_VALUE"""),45359)</f>
        <v>45359</v>
      </c>
      <c r="G47" s="16">
        <f ca="1">IFERROR(__xludf.DUMMYFUNCTION("""COMPUTED_VALUE"""),254998429)</f>
        <v>254998429</v>
      </c>
      <c r="H47" s="16" t="str">
        <f ca="1">IFERROR(__xludf.DUMMYFUNCTION("""COMPUTED_VALUE""")," En Ejecución ")</f>
        <v xml:space="preserve"> En Ejecución </v>
      </c>
      <c r="I47" s="16">
        <f ca="1">IFERROR(__xludf.DUMMYFUNCTION("""COMPUTED_VALUE"""),254998429)</f>
        <v>254998429</v>
      </c>
      <c r="J47" s="83" t="s">
        <v>48</v>
      </c>
      <c r="K47" s="16"/>
      <c r="L47" s="16"/>
      <c r="M47" s="16">
        <f ca="1">IFERROR(__xludf.DUMMYFUNCTION("""COMPUTED_VALUE"""),254998429)</f>
        <v>254998429</v>
      </c>
      <c r="N47" s="19"/>
      <c r="O47" s="19"/>
      <c r="P47" s="19"/>
      <c r="Q47" s="19"/>
      <c r="R47" s="19"/>
      <c r="S47" s="19"/>
      <c r="T47" s="19"/>
      <c r="U47" s="19"/>
      <c r="V47" s="19"/>
      <c r="W47" s="20">
        <f ca="1">IFERROR(__xludf.DUMMYFUNCTION("""COMPUTED_VALUE"""),254998429)</f>
        <v>254998429</v>
      </c>
      <c r="X47" s="43" t="str">
        <f ca="1">IFERROR(__xludf.DUMMYFUNCTION("""COMPUTED_VALUE"""),"MUNICIPALIDAD DE CALAMA")</f>
        <v>MUNICIPALIDAD DE CALAMA</v>
      </c>
    </row>
    <row r="48" spans="1:24" ht="15.75" customHeight="1" x14ac:dyDescent="0.25">
      <c r="A48" s="16" t="str">
        <f ca="1">IFERROR(__xludf.DUMMYFUNCTION("""COMPUTED_VALUE""")," REGIÓN DE VALPARAÍSO ")</f>
        <v xml:space="preserve"> REGIÓN DE VALPARAÍSO </v>
      </c>
      <c r="B48" s="16" t="str">
        <f t="shared" ca="1" si="0"/>
        <v xml:space="preserve"> QUILPUÉ</v>
      </c>
      <c r="C48" s="16" t="str">
        <f ca="1">IFERROR(__xludf.DUMMYFUNCTION("""COMPUTED_VALUE""")," EXTENSIÓN DE REDES PÚBLICAS DE AGUA POTABLE Y ALCANTARILLADO PARA CALLE BUZO SOBENES, POBL. TENIENTE SERRANO, COMUNA DE QUILPUÉ. ")</f>
        <v xml:space="preserve"> EXTENSIÓN DE REDES PÚBLICAS DE AGUA POTABLE Y ALCANTARILLADO PARA CALLE BUZO SOBENES, POBL. TENIENTE SERRANO, COMUNA DE QUILPUÉ. </v>
      </c>
      <c r="D48" s="40" t="str">
        <f ca="1">IFERROR(__xludf.DUMMYFUNCTION("""COMPUTED_VALUE"""),"5801230703-C")</f>
        <v>5801230703-C</v>
      </c>
      <c r="E48" s="16" t="str">
        <f ca="1">IFERROR(__xludf.DUMMYFUNCTION("""COMPUTED_VALUE""")," En Ejecución ")</f>
        <v xml:space="preserve"> En Ejecución </v>
      </c>
      <c r="F48" s="41">
        <f ca="1">IFERROR(__xludf.DUMMYFUNCTION("""COMPUTED_VALUE"""),45369)</f>
        <v>45369</v>
      </c>
      <c r="G48" s="16">
        <f ca="1">IFERROR(__xludf.DUMMYFUNCTION("""COMPUTED_VALUE"""),228464125)</f>
        <v>228464125</v>
      </c>
      <c r="H48" s="16" t="str">
        <f ca="1">IFERROR(__xludf.DUMMYFUNCTION("""COMPUTED_VALUE""")," En Ejecución ")</f>
        <v xml:space="preserve"> En Ejecución </v>
      </c>
      <c r="I48" s="16">
        <f ca="1">IFERROR(__xludf.DUMMYFUNCTION("""COMPUTED_VALUE"""),228464125)</f>
        <v>228464125</v>
      </c>
      <c r="J48" s="83" t="s">
        <v>48</v>
      </c>
      <c r="K48" s="16"/>
      <c r="L48" s="16"/>
      <c r="M48" s="16">
        <f ca="1">IFERROR(__xludf.DUMMYFUNCTION("""COMPUTED_VALUE"""),228464125)</f>
        <v>228464125</v>
      </c>
      <c r="N48" s="19"/>
      <c r="O48" s="19"/>
      <c r="P48" s="19"/>
      <c r="Q48" s="19"/>
      <c r="R48" s="19"/>
      <c r="S48" s="19"/>
      <c r="T48" s="19"/>
      <c r="U48" s="19"/>
      <c r="V48" s="19"/>
      <c r="W48" s="20">
        <f ca="1">IFERROR(__xludf.DUMMYFUNCTION("""COMPUTED_VALUE"""),228464125)</f>
        <v>228464125</v>
      </c>
      <c r="X48" s="43" t="str">
        <f ca="1">IFERROR(__xludf.DUMMYFUNCTION("""COMPUTED_VALUE"""),"MUNICIPALIDAD DE QUILPUÉ")</f>
        <v>MUNICIPALIDAD DE QUILPUÉ</v>
      </c>
    </row>
    <row r="49" spans="1:24" ht="15.75" customHeight="1" x14ac:dyDescent="0.25">
      <c r="A49" s="16" t="str">
        <f ca="1">IFERROR(__xludf.DUMMYFUNCTION("""COMPUTED_VALUE""")," REGIÓN METROPOLITANA ")</f>
        <v xml:space="preserve"> REGIÓN METROPOLITANA </v>
      </c>
      <c r="B49" s="16" t="str">
        <f t="shared" ca="1" si="0"/>
        <v xml:space="preserve"> SAN MIGUEL</v>
      </c>
      <c r="C49" s="16" t="str">
        <f ca="1">IFERROR(__xludf.DUMMYFUNCTION("""COMPUTED_VALUE""")," CONSTRUCCIÓN DE ALUMBRADO ORNAMENTAL PARQUE EL LLANO, COMUNA DE SAN MIGUEL ")</f>
        <v xml:space="preserve"> CONSTRUCCIÓN DE ALUMBRADO ORNAMENTAL PARQUE EL LLANO, COMUNA DE SAN MIGUEL </v>
      </c>
      <c r="D49" s="40" t="str">
        <f ca="1">IFERROR(__xludf.DUMMYFUNCTION("""COMPUTED_VALUE"""),"13130230701-C")</f>
        <v>13130230701-C</v>
      </c>
      <c r="E49" s="16" t="str">
        <f ca="1">IFERROR(__xludf.DUMMYFUNCTION("""COMPUTED_VALUE""")," En Ejecución ")</f>
        <v xml:space="preserve"> En Ejecución </v>
      </c>
      <c r="F49" s="41">
        <f ca="1">IFERROR(__xludf.DUMMYFUNCTION("""COMPUTED_VALUE"""),45356)</f>
        <v>45356</v>
      </c>
      <c r="G49" s="16">
        <f ca="1">IFERROR(__xludf.DUMMYFUNCTION("""COMPUTED_VALUE"""),300006636)</f>
        <v>300006636</v>
      </c>
      <c r="H49" s="16" t="str">
        <f ca="1">IFERROR(__xludf.DUMMYFUNCTION("""COMPUTED_VALUE""")," En Ejecución ")</f>
        <v xml:space="preserve"> En Ejecución </v>
      </c>
      <c r="I49" s="16">
        <f ca="1">IFERROR(__xludf.DUMMYFUNCTION("""COMPUTED_VALUE"""),300006636)</f>
        <v>300006636</v>
      </c>
      <c r="J49" s="83" t="s">
        <v>48</v>
      </c>
      <c r="K49" s="16"/>
      <c r="L49" s="16"/>
      <c r="M49" s="16">
        <f ca="1">IFERROR(__xludf.DUMMYFUNCTION("""COMPUTED_VALUE"""),300006636)</f>
        <v>300006636</v>
      </c>
      <c r="N49" s="19"/>
      <c r="O49" s="19"/>
      <c r="P49" s="19"/>
      <c r="Q49" s="19"/>
      <c r="R49" s="19"/>
      <c r="S49" s="19"/>
      <c r="T49" s="19"/>
      <c r="U49" s="19"/>
      <c r="V49" s="19"/>
      <c r="W49" s="20">
        <f ca="1">IFERROR(__xludf.DUMMYFUNCTION("""COMPUTED_VALUE"""),300006636)</f>
        <v>300006636</v>
      </c>
      <c r="X49" s="43" t="str">
        <f ca="1">IFERROR(__xludf.DUMMYFUNCTION("""COMPUTED_VALUE"""),"MUNICIPALIDAD DE SAN MIGUEL")</f>
        <v>MUNICIPALIDAD DE SAN MIGUEL</v>
      </c>
    </row>
    <row r="50" spans="1:24" ht="15.75" customHeight="1" x14ac:dyDescent="0.25">
      <c r="A50" s="16" t="str">
        <f ca="1">IFERROR(__xludf.DUMMYFUNCTION("""COMPUTED_VALUE""")," REGIÓN DE LOS LAGOS ")</f>
        <v xml:space="preserve"> REGIÓN DE LOS LAGOS </v>
      </c>
      <c r="B50" s="16" t="str">
        <f t="shared" ca="1" si="0"/>
        <v xml:space="preserve"> PUERTO OCTAY</v>
      </c>
      <c r="C50" s="16" t="str">
        <f ca="1">IFERROR(__xludf.DUMMYFUNCTION("""COMPUTED_VALUE""")," CONSTRUCCIÓN PLANTA ELEVADORA DE AGUAS SERVIDAS PARA CALLE SANTA MARIA PUERTO OCTAY ")</f>
        <v xml:space="preserve"> CONSTRUCCIÓN PLANTA ELEVADORA DE AGUAS SERVIDAS PARA CALLE SANTA MARIA PUERTO OCTAY </v>
      </c>
      <c r="D50" s="40" t="str">
        <f ca="1">IFERROR(__xludf.DUMMYFUNCTION("""COMPUTED_VALUE"""),"10302230701-C")</f>
        <v>10302230701-C</v>
      </c>
      <c r="E50" s="16" t="str">
        <f ca="1">IFERROR(__xludf.DUMMYFUNCTION("""COMPUTED_VALUE""")," En Ejecución ")</f>
        <v xml:space="preserve"> En Ejecución </v>
      </c>
      <c r="F50" s="41">
        <f ca="1">IFERROR(__xludf.DUMMYFUNCTION("""COMPUTED_VALUE"""),45356)</f>
        <v>45356</v>
      </c>
      <c r="G50" s="16">
        <f ca="1">IFERROR(__xludf.DUMMYFUNCTION("""COMPUTED_VALUE"""),126541884)</f>
        <v>126541884</v>
      </c>
      <c r="H50" s="16" t="str">
        <f ca="1">IFERROR(__xludf.DUMMYFUNCTION("""COMPUTED_VALUE""")," En Ejecución ")</f>
        <v xml:space="preserve"> En Ejecución </v>
      </c>
      <c r="I50" s="16">
        <f ca="1">IFERROR(__xludf.DUMMYFUNCTION("""COMPUTED_VALUE"""),126541884)</f>
        <v>126541884</v>
      </c>
      <c r="J50" s="83" t="s">
        <v>48</v>
      </c>
      <c r="K50" s="16"/>
      <c r="L50" s="16"/>
      <c r="M50" s="16">
        <f ca="1">IFERROR(__xludf.DUMMYFUNCTION("""COMPUTED_VALUE"""),126541884)</f>
        <v>126541884</v>
      </c>
      <c r="N50" s="19"/>
      <c r="O50" s="19"/>
      <c r="P50" s="19"/>
      <c r="Q50" s="19"/>
      <c r="R50" s="19"/>
      <c r="S50" s="19"/>
      <c r="T50" s="19"/>
      <c r="U50" s="19"/>
      <c r="V50" s="19"/>
      <c r="W50" s="20">
        <f ca="1">IFERROR(__xludf.DUMMYFUNCTION("""COMPUTED_VALUE"""),126541884)</f>
        <v>126541884</v>
      </c>
      <c r="X50" s="43" t="str">
        <f ca="1">IFERROR(__xludf.DUMMYFUNCTION("""COMPUTED_VALUE"""),"MUNICIPALIDAD DE PUERTO OCTAY")</f>
        <v>MUNICIPALIDAD DE PUERTO OCTAY</v>
      </c>
    </row>
    <row r="51" spans="1:24" ht="15.75" customHeight="1" x14ac:dyDescent="0.25">
      <c r="A51" s="16" t="str">
        <f ca="1">IFERROR(__xludf.DUMMYFUNCTION("""COMPUTED_VALUE""")," REGIÓN DE LOS LAGOS ")</f>
        <v xml:space="preserve"> REGIÓN DE LOS LAGOS </v>
      </c>
      <c r="B51" s="16" t="str">
        <f t="shared" ca="1" si="0"/>
        <v xml:space="preserve"> FRUTILLAR</v>
      </c>
      <c r="C51" s="16" t="str">
        <f ca="1">IFERROR(__xludf.DUMMYFUNCTION("""COMPUTED_VALUE""")," CONSTRUCCION EXTENSION REDES DE AGUA POTABLE Y AGUAS SERVIDAS PASAJE COYHAIQUE, SECTOR PANTANOSA, COMUNA DE FRUTILLAR ")</f>
        <v xml:space="preserve"> CONSTRUCCION EXTENSION REDES DE AGUA POTABLE Y AGUAS SERVIDAS PASAJE COYHAIQUE, SECTOR PANTANOSA, COMUNA DE FRUTILLAR </v>
      </c>
      <c r="D51" s="40" t="str">
        <f ca="1">IFERROR(__xludf.DUMMYFUNCTION("""COMPUTED_VALUE"""),"10105230701-C")</f>
        <v>10105230701-C</v>
      </c>
      <c r="E51" s="16" t="str">
        <f ca="1">IFERROR(__xludf.DUMMYFUNCTION("""COMPUTED_VALUE""")," En Ejecución ")</f>
        <v xml:space="preserve"> En Ejecución </v>
      </c>
      <c r="F51" s="41">
        <f ca="1">IFERROR(__xludf.DUMMYFUNCTION("""COMPUTED_VALUE"""),45356)</f>
        <v>45356</v>
      </c>
      <c r="G51" s="16">
        <f ca="1">IFERROR(__xludf.DUMMYFUNCTION("""COMPUTED_VALUE"""),130490458)</f>
        <v>130490458</v>
      </c>
      <c r="H51" s="16" t="str">
        <f ca="1">IFERROR(__xludf.DUMMYFUNCTION("""COMPUTED_VALUE""")," En Ejecución ")</f>
        <v xml:space="preserve"> En Ejecución </v>
      </c>
      <c r="I51" s="16">
        <f ca="1">IFERROR(__xludf.DUMMYFUNCTION("""COMPUTED_VALUE"""),130490458)</f>
        <v>130490458</v>
      </c>
      <c r="J51" s="83" t="s">
        <v>48</v>
      </c>
      <c r="K51" s="16"/>
      <c r="L51" s="16"/>
      <c r="M51" s="16">
        <f ca="1">IFERROR(__xludf.DUMMYFUNCTION("""COMPUTED_VALUE"""),130490458)</f>
        <v>130490458</v>
      </c>
      <c r="N51" s="19"/>
      <c r="O51" s="19"/>
      <c r="P51" s="19"/>
      <c r="Q51" s="19"/>
      <c r="R51" s="19"/>
      <c r="S51" s="19"/>
      <c r="T51" s="19"/>
      <c r="U51" s="19"/>
      <c r="V51" s="19"/>
      <c r="W51" s="20">
        <f ca="1">IFERROR(__xludf.DUMMYFUNCTION("""COMPUTED_VALUE"""),130490458)</f>
        <v>130490458</v>
      </c>
      <c r="X51" s="43" t="str">
        <f ca="1">IFERROR(__xludf.DUMMYFUNCTION("""COMPUTED_VALUE"""),"MUNICIPALIDAD DE FRUTILLAR")</f>
        <v>MUNICIPALIDAD DE FRUTILLAR</v>
      </c>
    </row>
    <row r="52" spans="1:24" ht="15.75" customHeight="1" x14ac:dyDescent="0.25">
      <c r="A52" s="16" t="str">
        <f ca="1">IFERROR(__xludf.DUMMYFUNCTION("""COMPUTED_VALUE""")," REGIÓN DE ARICA Y PARINACOTA ")</f>
        <v xml:space="preserve"> REGIÓN DE ARICA Y PARINACOTA </v>
      </c>
      <c r="B52" s="16" t="str">
        <f t="shared" ca="1" si="0"/>
        <v xml:space="preserve"> GENERAL LAGOS</v>
      </c>
      <c r="C52" s="16" t="str">
        <f ca="1">IFERROR(__xludf.DUMMYFUNCTION("""COMPUTED_VALUE""")," [SATE] CONSTRUCCIÓN DE 20 SOLUCIONES SANITARIAS PARA POBLADORES COMUNA DE GENERAL LAGOS.- ")</f>
        <v xml:space="preserve"> [SATE] CONSTRUCCIÓN DE 20 SOLUCIONES SANITARIAS PARA POBLADORES COMUNA DE GENERAL LAGOS.- </v>
      </c>
      <c r="D52" s="40" t="str">
        <f ca="1">IFERROR(__xludf.DUMMYFUNCTION("""COMPUTED_VALUE"""),"15202230701-C")</f>
        <v>15202230701-C</v>
      </c>
      <c r="E52" s="16" t="str">
        <f ca="1">IFERROR(__xludf.DUMMYFUNCTION("""COMPUTED_VALUE""")," En Ejecución ")</f>
        <v xml:space="preserve"> En Ejecución </v>
      </c>
      <c r="F52" s="41">
        <f ca="1">IFERROR(__xludf.DUMMYFUNCTION("""COMPUTED_VALUE"""),45348)</f>
        <v>45348</v>
      </c>
      <c r="G52" s="16">
        <f ca="1">IFERROR(__xludf.DUMMYFUNCTION("""COMPUTED_VALUE"""),252563826)</f>
        <v>252563826</v>
      </c>
      <c r="H52" s="16" t="str">
        <f ca="1">IFERROR(__xludf.DUMMYFUNCTION("""COMPUTED_VALUE""")," En Ejecución ")</f>
        <v xml:space="preserve"> En Ejecución </v>
      </c>
      <c r="I52" s="16">
        <f ca="1">IFERROR(__xludf.DUMMYFUNCTION("""COMPUTED_VALUE"""),252563826)</f>
        <v>252563826</v>
      </c>
      <c r="J52" s="83" t="s">
        <v>48</v>
      </c>
      <c r="K52" s="16"/>
      <c r="L52" s="16"/>
      <c r="M52" s="16">
        <f ca="1">IFERROR(__xludf.DUMMYFUNCTION("""COMPUTED_VALUE"""),252563826)</f>
        <v>252563826</v>
      </c>
      <c r="N52" s="19"/>
      <c r="O52" s="19"/>
      <c r="P52" s="19"/>
      <c r="Q52" s="19"/>
      <c r="R52" s="19"/>
      <c r="S52" s="19"/>
      <c r="T52" s="19"/>
      <c r="U52" s="19"/>
      <c r="V52" s="19"/>
      <c r="W52" s="20">
        <f ca="1">IFERROR(__xludf.DUMMYFUNCTION("""COMPUTED_VALUE"""),252563826)</f>
        <v>252563826</v>
      </c>
      <c r="X52" s="43" t="str">
        <f ca="1">IFERROR(__xludf.DUMMYFUNCTION("""COMPUTED_VALUE"""),"MUNICIPALIDAD DE GENERAL LAGOS")</f>
        <v>MUNICIPALIDAD DE GENERAL LAGOS</v>
      </c>
    </row>
    <row r="53" spans="1:24" ht="15.75" customHeight="1" x14ac:dyDescent="0.25">
      <c r="A53" s="16" t="str">
        <f ca="1">IFERROR(__xludf.DUMMYFUNCTION("""COMPUTED_VALUE""")," REGIÓN DE MAGALLANES Y ANTÁRTICA CHILENA ")</f>
        <v xml:space="preserve"> REGIÓN DE MAGALLANES Y ANTÁRTICA CHILENA </v>
      </c>
      <c r="B53" s="16" t="str">
        <f t="shared" ca="1" si="0"/>
        <v xml:space="preserve"> LAGUNA BLANCA</v>
      </c>
      <c r="C53" s="16" t="str">
        <f ca="1">IFERROR(__xludf.DUMMYFUNCTION("""COMPUTED_VALUE""")," [SATE] NORMALIZACION DE EMPALMES B.T. Y REFUERZOS DE RED B.T. VILLA TEHUELCHES ")</f>
        <v xml:space="preserve"> [SATE] NORMALIZACION DE EMPALMES B.T. Y REFUERZOS DE RED B.T. VILLA TEHUELCHES </v>
      </c>
      <c r="D53" s="40" t="str">
        <f ca="1">IFERROR(__xludf.DUMMYFUNCTION("""COMPUTED_VALUE"""),"12102230701-C")</f>
        <v>12102230701-C</v>
      </c>
      <c r="E53" s="16" t="str">
        <f ca="1">IFERROR(__xludf.DUMMYFUNCTION("""COMPUTED_VALUE""")," En Ejecución ")</f>
        <v xml:space="preserve"> En Ejecución </v>
      </c>
      <c r="F53" s="41">
        <f ca="1">IFERROR(__xludf.DUMMYFUNCTION("""COMPUTED_VALUE"""),45356)</f>
        <v>45356</v>
      </c>
      <c r="G53" s="16">
        <f ca="1">IFERROR(__xludf.DUMMYFUNCTION("""COMPUTED_VALUE"""),152604103)</f>
        <v>152604103</v>
      </c>
      <c r="H53" s="16" t="str">
        <f ca="1">IFERROR(__xludf.DUMMYFUNCTION("""COMPUTED_VALUE""")," En Ejecución ")</f>
        <v xml:space="preserve"> En Ejecución </v>
      </c>
      <c r="I53" s="16">
        <f ca="1">IFERROR(__xludf.DUMMYFUNCTION("""COMPUTED_VALUE"""),152604103)</f>
        <v>152604103</v>
      </c>
      <c r="J53" s="83" t="s">
        <v>48</v>
      </c>
      <c r="K53" s="16"/>
      <c r="L53" s="16"/>
      <c r="M53" s="16">
        <f ca="1">IFERROR(__xludf.DUMMYFUNCTION("""COMPUTED_VALUE"""),152604103)</f>
        <v>152604103</v>
      </c>
      <c r="N53" s="19"/>
      <c r="O53" s="19"/>
      <c r="P53" s="19"/>
      <c r="Q53" s="19"/>
      <c r="R53" s="19"/>
      <c r="S53" s="19"/>
      <c r="T53" s="19"/>
      <c r="U53" s="19"/>
      <c r="V53" s="19"/>
      <c r="W53" s="20">
        <f ca="1">IFERROR(__xludf.DUMMYFUNCTION("""COMPUTED_VALUE"""),152604103)</f>
        <v>152604103</v>
      </c>
      <c r="X53" s="43" t="str">
        <f ca="1">IFERROR(__xludf.DUMMYFUNCTION("""COMPUTED_VALUE"""),"MUNICIPALIDAD DE LAGUNA BLANCA")</f>
        <v>MUNICIPALIDAD DE LAGUNA BLANCA</v>
      </c>
    </row>
    <row r="54" spans="1:24" ht="15.75" customHeight="1" x14ac:dyDescent="0.25">
      <c r="A54" s="16" t="str">
        <f ca="1">IFERROR(__xludf.DUMMYFUNCTION("""COMPUTED_VALUE""")," REGIÓN DE TARAPACÁ ")</f>
        <v xml:space="preserve"> REGIÓN DE TARAPACÁ </v>
      </c>
      <c r="B54" s="16" t="str">
        <f t="shared" ca="1" si="0"/>
        <v xml:space="preserve"> ALTO HOSPICIO</v>
      </c>
      <c r="C54" s="16" t="str">
        <f ca="1">IFERROR(__xludf.DUMMYFUNCTION("""COMPUTED_VALUE""")," MEJORAMIENTO ALUMBRADO PUBLICO SECTOR SUR COMUNA DE ALTO HOSPICIO ")</f>
        <v xml:space="preserve"> MEJORAMIENTO ALUMBRADO PUBLICO SECTOR SUR COMUNA DE ALTO HOSPICIO </v>
      </c>
      <c r="D54" s="40" t="str">
        <f ca="1">IFERROR(__xludf.DUMMYFUNCTION("""COMPUTED_VALUE"""),"1107230702-C")</f>
        <v>1107230702-C</v>
      </c>
      <c r="E54" s="16" t="str">
        <f ca="1">IFERROR(__xludf.DUMMYFUNCTION("""COMPUTED_VALUE""")," En Ejecución ")</f>
        <v xml:space="preserve"> En Ejecución </v>
      </c>
      <c r="F54" s="41">
        <f ca="1">IFERROR(__xludf.DUMMYFUNCTION("""COMPUTED_VALUE"""),45356)</f>
        <v>45356</v>
      </c>
      <c r="G54" s="16">
        <f ca="1">IFERROR(__xludf.DUMMYFUNCTION("""COMPUTED_VALUE"""),199263761)</f>
        <v>199263761</v>
      </c>
      <c r="H54" s="16" t="str">
        <f ca="1">IFERROR(__xludf.DUMMYFUNCTION("""COMPUTED_VALUE""")," En Ejecución ")</f>
        <v xml:space="preserve"> En Ejecución </v>
      </c>
      <c r="I54" s="16">
        <f ca="1">IFERROR(__xludf.DUMMYFUNCTION("""COMPUTED_VALUE"""),199263761)</f>
        <v>199263761</v>
      </c>
      <c r="J54" s="83" t="s">
        <v>48</v>
      </c>
      <c r="K54" s="16"/>
      <c r="L54" s="16"/>
      <c r="M54" s="16">
        <f ca="1">IFERROR(__xludf.DUMMYFUNCTION("""COMPUTED_VALUE"""),199263761)</f>
        <v>199263761</v>
      </c>
      <c r="N54" s="19"/>
      <c r="O54" s="19"/>
      <c r="P54" s="19"/>
      <c r="Q54" s="19"/>
      <c r="R54" s="19"/>
      <c r="S54" s="19"/>
      <c r="T54" s="19"/>
      <c r="U54" s="19"/>
      <c r="V54" s="19"/>
      <c r="W54" s="20">
        <f ca="1">IFERROR(__xludf.DUMMYFUNCTION("""COMPUTED_VALUE"""),199263761)</f>
        <v>199263761</v>
      </c>
      <c r="X54" s="43" t="str">
        <f ca="1">IFERROR(__xludf.DUMMYFUNCTION("""COMPUTED_VALUE"""),"MUNICIPALIDAD DE ALTO HOSPICIO")</f>
        <v>MUNICIPALIDAD DE ALTO HOSPICIO</v>
      </c>
    </row>
    <row r="55" spans="1:24" ht="15.75" customHeight="1" x14ac:dyDescent="0.25">
      <c r="A55" s="16" t="str">
        <f ca="1">IFERROR(__xludf.DUMMYFUNCTION("""COMPUTED_VALUE""")," REGIÓN DE TARAPACÁ ")</f>
        <v xml:space="preserve"> REGIÓN DE TARAPACÁ </v>
      </c>
      <c r="B55" s="16" t="str">
        <f t="shared" ca="1" si="0"/>
        <v xml:space="preserve"> ALTO HOSPICIO</v>
      </c>
      <c r="C55" s="16" t="str">
        <f ca="1">IFERROR(__xludf.DUMMYFUNCTION("""COMPUTED_VALUE""")," MEJORAMIENTO ALUMBRADO PUBLICO SECTOR LA PAMPA, COMUNA DE ALTO HOSPICIO ")</f>
        <v xml:space="preserve"> MEJORAMIENTO ALUMBRADO PUBLICO SECTOR LA PAMPA, COMUNA DE ALTO HOSPICIO </v>
      </c>
      <c r="D55" s="40" t="str">
        <f ca="1">IFERROR(__xludf.DUMMYFUNCTION("""COMPUTED_VALUE"""),"1107230701-C")</f>
        <v>1107230701-C</v>
      </c>
      <c r="E55" s="16" t="str">
        <f ca="1">IFERROR(__xludf.DUMMYFUNCTION("""COMPUTED_VALUE""")," En Ejecución ")</f>
        <v xml:space="preserve"> En Ejecución </v>
      </c>
      <c r="F55" s="41">
        <f ca="1">IFERROR(__xludf.DUMMYFUNCTION("""COMPUTED_VALUE"""),45356)</f>
        <v>45356</v>
      </c>
      <c r="G55" s="16">
        <f ca="1">IFERROR(__xludf.DUMMYFUNCTION("""COMPUTED_VALUE"""),232643850)</f>
        <v>232643850</v>
      </c>
      <c r="H55" s="16" t="str">
        <f ca="1">IFERROR(__xludf.DUMMYFUNCTION("""COMPUTED_VALUE""")," En Ejecución ")</f>
        <v xml:space="preserve"> En Ejecución </v>
      </c>
      <c r="I55" s="16">
        <f ca="1">IFERROR(__xludf.DUMMYFUNCTION("""COMPUTED_VALUE"""),232643850)</f>
        <v>232643850</v>
      </c>
      <c r="J55" s="83" t="s">
        <v>48</v>
      </c>
      <c r="K55" s="16"/>
      <c r="L55" s="16"/>
      <c r="M55" s="16">
        <f ca="1">IFERROR(__xludf.DUMMYFUNCTION("""COMPUTED_VALUE"""),232643850)</f>
        <v>232643850</v>
      </c>
      <c r="N55" s="19"/>
      <c r="O55" s="19"/>
      <c r="P55" s="19"/>
      <c r="Q55" s="19"/>
      <c r="R55" s="19"/>
      <c r="S55" s="19"/>
      <c r="T55" s="19"/>
      <c r="U55" s="19"/>
      <c r="V55" s="19"/>
      <c r="W55" s="20">
        <f ca="1">IFERROR(__xludf.DUMMYFUNCTION("""COMPUTED_VALUE"""),232643850)</f>
        <v>232643850</v>
      </c>
      <c r="X55" s="43" t="str">
        <f ca="1">IFERROR(__xludf.DUMMYFUNCTION("""COMPUTED_VALUE"""),"MUNICIPALIDAD DE ALTO HOSPICIO")</f>
        <v>MUNICIPALIDAD DE ALTO HOSPICIO</v>
      </c>
    </row>
    <row r="56" spans="1:24" ht="15.75" customHeight="1" x14ac:dyDescent="0.25">
      <c r="A56" s="16" t="str">
        <f ca="1">IFERROR(__xludf.DUMMYFUNCTION("""COMPUTED_VALUE""")," REGIÓN METROPOLITANA ")</f>
        <v xml:space="preserve"> REGIÓN METROPOLITANA </v>
      </c>
      <c r="B56" s="16" t="str">
        <f t="shared" ca="1" si="0"/>
        <v xml:space="preserve"> PIRQUE</v>
      </c>
      <c r="C56" s="16" t="str">
        <f ca="1">IFERROR(__xludf.DUMMYFUNCTION("""COMPUTED_VALUE""")," SANEAMIENTO Y REGULARIZACIÓN DE LOTEOS, LEY 20.243, COMUNA DE PIRQUE ")</f>
        <v xml:space="preserve"> SANEAMIENTO Y REGULARIZACIÓN DE LOTEOS, LEY 20.243, COMUNA DE PIRQUE </v>
      </c>
      <c r="D56" s="40" t="str">
        <f ca="1">IFERROR(__xludf.DUMMYFUNCTION("""COMPUTED_VALUE"""),"13202230602-C")</f>
        <v>13202230602-C</v>
      </c>
      <c r="E56" s="16" t="str">
        <f ca="1">IFERROR(__xludf.DUMMYFUNCTION("""COMPUTED_VALUE""")," En Ejecución ")</f>
        <v xml:space="preserve"> En Ejecución </v>
      </c>
      <c r="F56" s="41">
        <f ca="1">IFERROR(__xludf.DUMMYFUNCTION("""COMPUTED_VALUE"""),45365)</f>
        <v>45365</v>
      </c>
      <c r="G56" s="16">
        <f ca="1">IFERROR(__xludf.DUMMYFUNCTION("""COMPUTED_VALUE"""),66000000)</f>
        <v>66000000</v>
      </c>
      <c r="H56" s="16" t="str">
        <f ca="1">IFERROR(__xludf.DUMMYFUNCTION("""COMPUTED_VALUE""")," En Ejecución ")</f>
        <v xml:space="preserve"> En Ejecución </v>
      </c>
      <c r="I56" s="16">
        <f ca="1">IFERROR(__xludf.DUMMYFUNCTION("""COMPUTED_VALUE"""),66000000)</f>
        <v>66000000</v>
      </c>
      <c r="J56" s="83" t="s">
        <v>48</v>
      </c>
      <c r="K56" s="16"/>
      <c r="L56" s="16"/>
      <c r="M56" s="16">
        <f ca="1">IFERROR(__xludf.DUMMYFUNCTION("""COMPUTED_VALUE"""),66000000)</f>
        <v>66000000</v>
      </c>
      <c r="N56" s="19"/>
      <c r="O56" s="19"/>
      <c r="P56" s="19"/>
      <c r="Q56" s="19"/>
      <c r="R56" s="19"/>
      <c r="S56" s="19"/>
      <c r="T56" s="19"/>
      <c r="U56" s="19"/>
      <c r="V56" s="19"/>
      <c r="W56" s="20">
        <f ca="1">IFERROR(__xludf.DUMMYFUNCTION("""COMPUTED_VALUE"""),66000000)</f>
        <v>66000000</v>
      </c>
      <c r="X56" s="43" t="str">
        <f ca="1">IFERROR(__xludf.DUMMYFUNCTION("""COMPUTED_VALUE"""),"MUNICIPALIDAD DE PIRQUE")</f>
        <v>MUNICIPALIDAD DE PIRQUE</v>
      </c>
    </row>
    <row r="57" spans="1:24" ht="15.75" customHeight="1" x14ac:dyDescent="0.25">
      <c r="A57" s="16" t="str">
        <f ca="1">IFERROR(__xludf.DUMMYFUNCTION("""COMPUTED_VALUE""")," REGIÓN DEL MAULE ")</f>
        <v xml:space="preserve"> REGIÓN DEL MAULE </v>
      </c>
      <c r="B57" s="16" t="str">
        <f t="shared" ca="1" si="0"/>
        <v xml:space="preserve"> PENCAHUE</v>
      </c>
      <c r="C57" s="16" t="str">
        <f ca="1">IFERROR(__xludf.DUMMYFUNCTION("""COMPUTED_VALUE""")," ASISTENCIA LEGAL, COMUNA DE PENCAHUE ")</f>
        <v xml:space="preserve"> ASISTENCIA LEGAL, COMUNA DE PENCAHUE </v>
      </c>
      <c r="D57" s="40" t="str">
        <f ca="1">IFERROR(__xludf.DUMMYFUNCTION("""COMPUTED_VALUE"""),"7107230601-C")</f>
        <v>7107230601-C</v>
      </c>
      <c r="E57" s="16" t="str">
        <f ca="1">IFERROR(__xludf.DUMMYFUNCTION("""COMPUTED_VALUE""")," En Ejecución ")</f>
        <v xml:space="preserve"> En Ejecución </v>
      </c>
      <c r="F57" s="41">
        <f ca="1">IFERROR(__xludf.DUMMYFUNCTION("""COMPUTED_VALUE"""),45093)</f>
        <v>45093</v>
      </c>
      <c r="G57" s="16">
        <f ca="1">IFERROR(__xludf.DUMMYFUNCTION("""COMPUTED_VALUE"""),44400000)</f>
        <v>44400000</v>
      </c>
      <c r="H57" s="16" t="str">
        <f ca="1">IFERROR(__xludf.DUMMYFUNCTION("""COMPUTED_VALUE""")," En Ejecución ")</f>
        <v xml:space="preserve"> En Ejecución </v>
      </c>
      <c r="I57" s="16">
        <f ca="1">IFERROR(__xludf.DUMMYFUNCTION("""COMPUTED_VALUE"""),11100000)</f>
        <v>11100000</v>
      </c>
      <c r="J57" s="83" t="s">
        <v>48</v>
      </c>
      <c r="K57" s="16"/>
      <c r="L57" s="16"/>
      <c r="M57" s="16">
        <f ca="1">IFERROR(__xludf.DUMMYFUNCTION("""COMPUTED_VALUE"""),11100000)</f>
        <v>11100000</v>
      </c>
      <c r="N57" s="19"/>
      <c r="O57" s="19"/>
      <c r="P57" s="19"/>
      <c r="Q57" s="19"/>
      <c r="R57" s="19"/>
      <c r="S57" s="19"/>
      <c r="T57" s="19"/>
      <c r="U57" s="19"/>
      <c r="V57" s="19"/>
      <c r="W57" s="20">
        <f ca="1">IFERROR(__xludf.DUMMYFUNCTION("""COMPUTED_VALUE"""),11100000)</f>
        <v>11100000</v>
      </c>
      <c r="X57" s="43" t="str">
        <f ca="1">IFERROR(__xludf.DUMMYFUNCTION("""COMPUTED_VALUE"""),"MUNICIPALIDAD DE PENCAHUE")</f>
        <v>MUNICIPALIDAD DE PENCAHUE</v>
      </c>
    </row>
    <row r="58" spans="1:24" ht="15.75" customHeight="1" x14ac:dyDescent="0.25">
      <c r="A58" s="16" t="str">
        <f ca="1">IFERROR(__xludf.DUMMYFUNCTION("""COMPUTED_VALUE""")," REGIÓN DEL MAULE ")</f>
        <v xml:space="preserve"> REGIÓN DEL MAULE </v>
      </c>
      <c r="B58" s="16" t="str">
        <f t="shared" ca="1" si="0"/>
        <v xml:space="preserve"> YERBAS BUENAS</v>
      </c>
      <c r="C58" s="16" t="str">
        <f ca="1">IFERROR(__xludf.DUMMYFUNCTION("""COMPUTED_VALUE""")," ASISTENCIA LEGAL SANEAMIENTO DE TITULOS DE DOMINIO PARA SOLUCIONES SANITARIAS DISTINTOS SECTORES ")</f>
        <v xml:space="preserve"> ASISTENCIA LEGAL SANEAMIENTO DE TITULOS DE DOMINIO PARA SOLUCIONES SANITARIAS DISTINTOS SECTORES </v>
      </c>
      <c r="D58" s="40" t="str">
        <f ca="1">IFERROR(__xludf.DUMMYFUNCTION("""COMPUTED_VALUE"""),"7408230601-C")</f>
        <v>7408230601-C</v>
      </c>
      <c r="E58" s="16" t="str">
        <f ca="1">IFERROR(__xludf.DUMMYFUNCTION("""COMPUTED_VALUE""")," En Ejecución ")</f>
        <v xml:space="preserve"> En Ejecución </v>
      </c>
      <c r="F58" s="41">
        <f ca="1">IFERROR(__xludf.DUMMYFUNCTION("""COMPUTED_VALUE"""),45056)</f>
        <v>45056</v>
      </c>
      <c r="G58" s="16">
        <f ca="1">IFERROR(__xludf.DUMMYFUNCTION("""COMPUTED_VALUE"""),37200000)</f>
        <v>37200000</v>
      </c>
      <c r="H58" s="16" t="str">
        <f ca="1">IFERROR(__xludf.DUMMYFUNCTION("""COMPUTED_VALUE""")," En Ejecución ")</f>
        <v xml:space="preserve"> En Ejecución </v>
      </c>
      <c r="I58" s="16">
        <f ca="1">IFERROR(__xludf.DUMMYFUNCTION("""COMPUTED_VALUE"""),11160000)</f>
        <v>11160000</v>
      </c>
      <c r="J58" s="83" t="s">
        <v>48</v>
      </c>
      <c r="K58" s="16"/>
      <c r="L58" s="16"/>
      <c r="M58" s="16">
        <f ca="1">IFERROR(__xludf.DUMMYFUNCTION("""COMPUTED_VALUE"""),11160000)</f>
        <v>11160000</v>
      </c>
      <c r="N58" s="19"/>
      <c r="O58" s="19"/>
      <c r="P58" s="19"/>
      <c r="Q58" s="19"/>
      <c r="R58" s="19"/>
      <c r="S58" s="19"/>
      <c r="T58" s="19"/>
      <c r="U58" s="19"/>
      <c r="V58" s="19"/>
      <c r="W58" s="20">
        <f ca="1">IFERROR(__xludf.DUMMYFUNCTION("""COMPUTED_VALUE"""),11160000)</f>
        <v>11160000</v>
      </c>
      <c r="X58" s="43" t="str">
        <f ca="1">IFERROR(__xludf.DUMMYFUNCTION("""COMPUTED_VALUE"""),"MUNICIPALIDAD DE YERBAS BUENAS")</f>
        <v>MUNICIPALIDAD DE YERBAS BUENAS</v>
      </c>
    </row>
    <row r="59" spans="1:24" ht="15.75" customHeight="1" x14ac:dyDescent="0.25">
      <c r="A59" s="16" t="str">
        <f ca="1">IFERROR(__xludf.DUMMYFUNCTION("""COMPUTED_VALUE""")," REGIÓN DE VALPARAÍSO ")</f>
        <v xml:space="preserve"> REGIÓN DE VALPARAÍSO </v>
      </c>
      <c r="B59" s="16" t="str">
        <f t="shared" ca="1" si="0"/>
        <v xml:space="preserve"> CATEMU</v>
      </c>
      <c r="C59" s="16" t="str">
        <f ca="1">IFERROR(__xludf.DUMMYFUNCTION("""COMPUTED_VALUE""")," REPARACION PLANTA DE TRATAMIENTO DE AGUAS SERVIDAS LOS CERRILLOS, COMUNA DE CATEMU. CARTERA DE INVERSIÓN PLAN DE ZONA DE REZAGO ")</f>
        <v xml:space="preserve"> REPARACION PLANTA DE TRATAMIENTO DE AGUAS SERVIDAS LOS CERRILLOS, COMUNA DE CATEMU. CARTERA DE INVERSIÓN PLAN DE ZONA DE REZAGO </v>
      </c>
      <c r="D59" s="40" t="str">
        <f ca="1">IFERROR(__xludf.DUMMYFUNCTION("""COMPUTED_VALUE"""),"5702230702-C")</f>
        <v>5702230702-C</v>
      </c>
      <c r="E59" s="16" t="str">
        <f ca="1">IFERROR(__xludf.DUMMYFUNCTION("""COMPUTED_VALUE""")," En Ejecución ")</f>
        <v xml:space="preserve"> En Ejecución </v>
      </c>
      <c r="F59" s="41">
        <f ca="1">IFERROR(__xludf.DUMMYFUNCTION("""COMPUTED_VALUE"""),45373)</f>
        <v>45373</v>
      </c>
      <c r="G59" s="16">
        <f ca="1">IFERROR(__xludf.DUMMYFUNCTION("""COMPUTED_VALUE"""),306759688)</f>
        <v>306759688</v>
      </c>
      <c r="H59" s="16" t="str">
        <f ca="1">IFERROR(__xludf.DUMMYFUNCTION("""COMPUTED_VALUE""")," En Ejecución ")</f>
        <v xml:space="preserve"> En Ejecución </v>
      </c>
      <c r="I59" s="16">
        <f ca="1">IFERROR(__xludf.DUMMYFUNCTION("""COMPUTED_VALUE"""),306759688)</f>
        <v>306759688</v>
      </c>
      <c r="J59" s="83" t="s">
        <v>48</v>
      </c>
      <c r="K59" s="16"/>
      <c r="L59" s="16"/>
      <c r="M59" s="16"/>
      <c r="N59" s="21">
        <f ca="1">IFERROR(__xludf.DUMMYFUNCTION("""COMPUTED_VALUE"""),306759688)</f>
        <v>306759688</v>
      </c>
      <c r="O59" s="19"/>
      <c r="P59" s="19"/>
      <c r="Q59" s="19"/>
      <c r="R59" s="19"/>
      <c r="S59" s="19"/>
      <c r="T59" s="19"/>
      <c r="U59" s="19"/>
      <c r="V59" s="19"/>
      <c r="W59" s="20">
        <f ca="1">IFERROR(__xludf.DUMMYFUNCTION("""COMPUTED_VALUE"""),306759688)</f>
        <v>306759688</v>
      </c>
      <c r="X59" s="43" t="str">
        <f ca="1">IFERROR(__xludf.DUMMYFUNCTION("""COMPUTED_VALUE"""),"MUNICIPALIDAD DE CATEMU")</f>
        <v>MUNICIPALIDAD DE CATEMU</v>
      </c>
    </row>
    <row r="60" spans="1:24" ht="15.75" customHeight="1" x14ac:dyDescent="0.25">
      <c r="A60" s="16" t="str">
        <f ca="1">IFERROR(__xludf.DUMMYFUNCTION("""COMPUTED_VALUE""")," REGIÓN DE LA ARAUCANÍA ")</f>
        <v xml:space="preserve"> REGIÓN DE LA ARAUCANÍA </v>
      </c>
      <c r="B60" s="16" t="str">
        <f t="shared" ca="1" si="0"/>
        <v xml:space="preserve"> ERCILLA</v>
      </c>
      <c r="C60" s="16" t="str">
        <f ca="1">IFERROR(__xludf.DUMMYFUNCTION("""COMPUTED_VALUE""")," ASISTENCIA LEGAL PARA REGULARIZACION Y SANEAMIENTO DE TERRENOS DIVERSOS SECTORES, DE LA COMUNA DE ERCILLA ")</f>
        <v xml:space="preserve"> ASISTENCIA LEGAL PARA REGULARIZACION Y SANEAMIENTO DE TERRENOS DIVERSOS SECTORES, DE LA COMUNA DE ERCILLA </v>
      </c>
      <c r="D60" s="40" t="str">
        <f ca="1">IFERROR(__xludf.DUMMYFUNCTION("""COMPUTED_VALUE"""),"9204230601-C")</f>
        <v>9204230601-C</v>
      </c>
      <c r="E60" s="16" t="str">
        <f ca="1">IFERROR(__xludf.DUMMYFUNCTION("""COMPUTED_VALUE""")," En Ejecución ")</f>
        <v xml:space="preserve"> En Ejecución </v>
      </c>
      <c r="F60" s="41">
        <f ca="1">IFERROR(__xludf.DUMMYFUNCTION("""COMPUTED_VALUE"""),45376)</f>
        <v>45376</v>
      </c>
      <c r="G60" s="16">
        <f ca="1">IFERROR(__xludf.DUMMYFUNCTION("""COMPUTED_VALUE"""),81600000)</f>
        <v>81600000</v>
      </c>
      <c r="H60" s="16" t="str">
        <f ca="1">IFERROR(__xludf.DUMMYFUNCTION("""COMPUTED_VALUE""")," En Ejecución ")</f>
        <v xml:space="preserve"> En Ejecución </v>
      </c>
      <c r="I60" s="16">
        <f ca="1">IFERROR(__xludf.DUMMYFUNCTION("""COMPUTED_VALUE"""),81600000)</f>
        <v>81600000</v>
      </c>
      <c r="J60" s="83" t="s">
        <v>48</v>
      </c>
      <c r="K60" s="16"/>
      <c r="L60" s="16"/>
      <c r="M60" s="16"/>
      <c r="N60" s="21">
        <f ca="1">IFERROR(__xludf.DUMMYFUNCTION("""COMPUTED_VALUE"""),81600000)</f>
        <v>81600000</v>
      </c>
      <c r="O60" s="19"/>
      <c r="P60" s="19"/>
      <c r="Q60" s="19"/>
      <c r="R60" s="19"/>
      <c r="S60" s="19"/>
      <c r="T60" s="19"/>
      <c r="U60" s="19"/>
      <c r="V60" s="19"/>
      <c r="W60" s="20">
        <f ca="1">IFERROR(__xludf.DUMMYFUNCTION("""COMPUTED_VALUE"""),81600000)</f>
        <v>81600000</v>
      </c>
      <c r="X60" s="43" t="str">
        <f ca="1">IFERROR(__xludf.DUMMYFUNCTION("""COMPUTED_VALUE"""),"MUNICIPALIDAD DE ERCILLA")</f>
        <v>MUNICIPALIDAD DE ERCILLA</v>
      </c>
    </row>
    <row r="61" spans="1:24" ht="15.75" customHeight="1" x14ac:dyDescent="0.25">
      <c r="A61" s="16" t="str">
        <f ca="1">IFERROR(__xludf.DUMMYFUNCTION("""COMPUTED_VALUE""")," REGIÓN DE VALPARAÍSO ")</f>
        <v xml:space="preserve"> REGIÓN DE VALPARAÍSO </v>
      </c>
      <c r="B61" s="16" t="str">
        <f t="shared" ca="1" si="0"/>
        <v xml:space="preserve"> CATEMU</v>
      </c>
      <c r="C61" s="16" t="str">
        <f ca="1">IFERROR(__xludf.DUMMYFUNCTION("""COMPUTED_VALUE""")," ASISTENCIA TÉCNICA PROYECTOS DE SANEAMIENTO SANITARIOS, COMUNA DE CHÉPICA ")</f>
        <v xml:space="preserve"> ASISTENCIA TÉCNICA PROYECTOS DE SANEAMIENTO SANITARIOS, COMUNA DE CHÉPICA </v>
      </c>
      <c r="D61" s="40" t="str">
        <f ca="1">IFERROR(__xludf.DUMMYFUNCTION("""COMPUTED_VALUE"""),"6302231001-C")</f>
        <v>6302231001-C</v>
      </c>
      <c r="E61" s="16" t="str">
        <f ca="1">IFERROR(__xludf.DUMMYFUNCTION("""COMPUTED_VALUE""")," En Ejecución ")</f>
        <v xml:space="preserve"> En Ejecución </v>
      </c>
      <c r="F61" s="41">
        <f ca="1">IFERROR(__xludf.DUMMYFUNCTION("""COMPUTED_VALUE"""),45358)</f>
        <v>45358</v>
      </c>
      <c r="G61" s="16">
        <f ca="1">IFERROR(__xludf.DUMMYFUNCTION("""COMPUTED_VALUE"""),67152000)</f>
        <v>67152000</v>
      </c>
      <c r="H61" s="16" t="str">
        <f ca="1">IFERROR(__xludf.DUMMYFUNCTION("""COMPUTED_VALUE""")," En Ejecución ")</f>
        <v xml:space="preserve"> En Ejecución </v>
      </c>
      <c r="I61" s="16">
        <f ca="1">IFERROR(__xludf.DUMMYFUNCTION("""COMPUTED_VALUE"""),67152000)</f>
        <v>67152000</v>
      </c>
      <c r="J61" s="83" t="s">
        <v>48</v>
      </c>
      <c r="K61" s="16"/>
      <c r="L61" s="16"/>
      <c r="M61" s="16"/>
      <c r="N61" s="21">
        <f ca="1">IFERROR(__xludf.DUMMYFUNCTION("""COMPUTED_VALUE"""),67152000)</f>
        <v>67152000</v>
      </c>
      <c r="O61" s="19"/>
      <c r="P61" s="19"/>
      <c r="Q61" s="19"/>
      <c r="R61" s="19"/>
      <c r="S61" s="19"/>
      <c r="T61" s="19"/>
      <c r="U61" s="19"/>
      <c r="V61" s="19"/>
      <c r="W61" s="20">
        <f ca="1">IFERROR(__xludf.DUMMYFUNCTION("""COMPUTED_VALUE"""),67152000)</f>
        <v>67152000</v>
      </c>
      <c r="X61" s="43" t="str">
        <f ca="1">IFERROR(__xludf.DUMMYFUNCTION("""COMPUTED_VALUE"""),"MUNICIPALIDAD DE CATEMU")</f>
        <v>MUNICIPALIDAD DE CATEMU</v>
      </c>
    </row>
    <row r="62" spans="1:24" ht="15.75" customHeight="1" x14ac:dyDescent="0.25">
      <c r="A62" s="16" t="str">
        <f ca="1">IFERROR(__xludf.DUMMYFUNCTION("""COMPUTED_VALUE""")," REGIÓN DE VALPARAÍSO ")</f>
        <v xml:space="preserve"> REGIÓN DE VALPARAÍSO </v>
      </c>
      <c r="B62" s="16" t="str">
        <f t="shared" ca="1" si="0"/>
        <v xml:space="preserve"> LLAILLAY</v>
      </c>
      <c r="C62" s="16" t="str">
        <f ca="1">IFERROR(__xludf.DUMMYFUNCTION("""COMPUTED_VALUE""")," ADQUISICIÓN LOTE A1-AB-1B, COMITÉ DE ALLEGADOS CUMBRES DE LLAY-LLAY ")</f>
        <v xml:space="preserve"> ADQUISICIÓN LOTE A1-AB-1B, COMITÉ DE ALLEGADOS CUMBRES DE LLAY-LLAY </v>
      </c>
      <c r="D62" s="40" t="str">
        <f ca="1">IFERROR(__xludf.DUMMYFUNCTION("""COMPUTED_VALUE"""),"5703220801-C")</f>
        <v>5703220801-C</v>
      </c>
      <c r="E62" s="16" t="str">
        <f ca="1">IFERROR(__xludf.DUMMYFUNCTION("""COMPUTED_VALUE""")," En Ejecución ")</f>
        <v xml:space="preserve"> En Ejecución </v>
      </c>
      <c r="F62" s="41">
        <f ca="1">IFERROR(__xludf.DUMMYFUNCTION("""COMPUTED_VALUE"""),45393)</f>
        <v>45393</v>
      </c>
      <c r="G62" s="16">
        <f ca="1">IFERROR(__xludf.DUMMYFUNCTION("""COMPUTED_VALUE"""),406146000)</f>
        <v>406146000</v>
      </c>
      <c r="H62" s="16" t="str">
        <f ca="1">IFERROR(__xludf.DUMMYFUNCTION("""COMPUTED_VALUE""")," En Ejecución ")</f>
        <v xml:space="preserve"> En Ejecución </v>
      </c>
      <c r="I62" s="16">
        <f ca="1">IFERROR(__xludf.DUMMYFUNCTION("""COMPUTED_VALUE"""),406146000)</f>
        <v>406146000</v>
      </c>
      <c r="J62" s="83" t="s">
        <v>48</v>
      </c>
      <c r="K62" s="16"/>
      <c r="L62" s="16"/>
      <c r="M62" s="16"/>
      <c r="N62" s="21">
        <f ca="1">IFERROR(__xludf.DUMMYFUNCTION("""COMPUTED_VALUE"""),406146000)</f>
        <v>406146000</v>
      </c>
      <c r="O62" s="19"/>
      <c r="P62" s="19"/>
      <c r="Q62" s="19"/>
      <c r="R62" s="19"/>
      <c r="S62" s="19"/>
      <c r="T62" s="19"/>
      <c r="U62" s="19"/>
      <c r="V62" s="19"/>
      <c r="W62" s="20">
        <f ca="1">IFERROR(__xludf.DUMMYFUNCTION("""COMPUTED_VALUE"""),406146000)</f>
        <v>406146000</v>
      </c>
      <c r="X62" s="43" t="str">
        <f ca="1">IFERROR(__xludf.DUMMYFUNCTION("""COMPUTED_VALUE"""),"MUNICIPALIDAD DE LLAILLAY")</f>
        <v>MUNICIPALIDAD DE LLAILLAY</v>
      </c>
    </row>
    <row r="63" spans="1:24" ht="15.75" customHeight="1" x14ac:dyDescent="0.25">
      <c r="A63" s="16" t="str">
        <f ca="1">IFERROR(__xludf.DUMMYFUNCTION("""COMPUTED_VALUE""")," REGIÓN METROPOLITANA ")</f>
        <v xml:space="preserve"> REGIÓN METROPOLITANA </v>
      </c>
      <c r="B63" s="16" t="str">
        <f t="shared" ca="1" si="0"/>
        <v xml:space="preserve"> PIRQUE</v>
      </c>
      <c r="C63" s="16" t="str">
        <f ca="1">IFERROR(__xludf.DUMMYFUNCTION("""COMPUTED_VALUE""")," ASISTENCIA TÉCNICA INICIATIVAS SUBDERE, COMUNA DE PIRQUE ")</f>
        <v xml:space="preserve"> ASISTENCIA TÉCNICA INICIATIVAS SUBDERE, COMUNA DE PIRQUE </v>
      </c>
      <c r="D63" s="40" t="str">
        <f ca="1">IFERROR(__xludf.DUMMYFUNCTION("""COMPUTED_VALUE"""),"13202231001-C")</f>
        <v>13202231001-C</v>
      </c>
      <c r="E63" s="16" t="str">
        <f ca="1">IFERROR(__xludf.DUMMYFUNCTION("""COMPUTED_VALUE""")," En Ejecución ")</f>
        <v xml:space="preserve"> En Ejecución </v>
      </c>
      <c r="F63" s="41">
        <f ca="1">IFERROR(__xludf.DUMMYFUNCTION("""COMPUTED_VALUE"""),45404)</f>
        <v>45404</v>
      </c>
      <c r="G63" s="16">
        <f ca="1">IFERROR(__xludf.DUMMYFUNCTION("""COMPUTED_VALUE"""),66000000)</f>
        <v>66000000</v>
      </c>
      <c r="H63" s="16" t="str">
        <f ca="1">IFERROR(__xludf.DUMMYFUNCTION("""COMPUTED_VALUE""")," En Ejecución ")</f>
        <v xml:space="preserve"> En Ejecución </v>
      </c>
      <c r="I63" s="16">
        <f ca="1">IFERROR(__xludf.DUMMYFUNCTION("""COMPUTED_VALUE"""),66000000)</f>
        <v>66000000</v>
      </c>
      <c r="J63" s="83" t="s">
        <v>48</v>
      </c>
      <c r="K63" s="16"/>
      <c r="L63" s="16"/>
      <c r="M63" s="16"/>
      <c r="N63" s="21">
        <f ca="1">IFERROR(__xludf.DUMMYFUNCTION("""COMPUTED_VALUE"""),66000000)</f>
        <v>66000000</v>
      </c>
      <c r="O63" s="19"/>
      <c r="P63" s="19"/>
      <c r="Q63" s="19"/>
      <c r="R63" s="19"/>
      <c r="S63" s="19"/>
      <c r="T63" s="19"/>
      <c r="U63" s="19"/>
      <c r="V63" s="19"/>
      <c r="W63" s="20">
        <f ca="1">IFERROR(__xludf.DUMMYFUNCTION("""COMPUTED_VALUE"""),66000000)</f>
        <v>66000000</v>
      </c>
      <c r="X63" s="43" t="str">
        <f ca="1">IFERROR(__xludf.DUMMYFUNCTION("""COMPUTED_VALUE"""),"MUNICIPALIDAD DE PIRQUE")</f>
        <v>MUNICIPALIDAD DE PIRQUE</v>
      </c>
    </row>
    <row r="64" spans="1:24" ht="15.75" customHeight="1" x14ac:dyDescent="0.25">
      <c r="A64" s="16" t="str">
        <f ca="1">IFERROR(__xludf.DUMMYFUNCTION("""COMPUTED_VALUE""")," REGIÓN DE LA ARAUCANÍA ")</f>
        <v xml:space="preserve"> REGIÓN DE LA ARAUCANÍA </v>
      </c>
      <c r="B64" s="16" t="str">
        <f t="shared" ca="1" si="0"/>
        <v xml:space="preserve"> CUNCO</v>
      </c>
      <c r="C64" s="16" t="str">
        <f ca="1">IFERROR(__xludf.DUMMYFUNCTION("""COMPUTED_VALUE""")," ASISTENCIA LEGAL PARA REGULARIZACION DE PROPIEDAD RAIZ PARA FUTUROS PROYECTOS DE AGUA POTABLE DE DIVERSOS SECTORES RURALES, COMUNA DE CUNCO ")</f>
        <v xml:space="preserve"> ASISTENCIA LEGAL PARA REGULARIZACION DE PROPIEDAD RAIZ PARA FUTUROS PROYECTOS DE AGUA POTABLE DE DIVERSOS SECTORES RURALES, COMUNA DE CUNCO </v>
      </c>
      <c r="D64" s="40" t="str">
        <f ca="1">IFERROR(__xludf.DUMMYFUNCTION("""COMPUTED_VALUE"""),"9103230601-C")</f>
        <v>9103230601-C</v>
      </c>
      <c r="E64" s="16" t="str">
        <f ca="1">IFERROR(__xludf.DUMMYFUNCTION("""COMPUTED_VALUE""")," En Ejecución ")</f>
        <v xml:space="preserve"> En Ejecución </v>
      </c>
      <c r="F64" s="41">
        <f ca="1">IFERROR(__xludf.DUMMYFUNCTION("""COMPUTED_VALUE"""),45379)</f>
        <v>45379</v>
      </c>
      <c r="G64" s="16">
        <f ca="1">IFERROR(__xludf.DUMMYFUNCTION("""COMPUTED_VALUE"""),102000000)</f>
        <v>102000000</v>
      </c>
      <c r="H64" s="16" t="str">
        <f ca="1">IFERROR(__xludf.DUMMYFUNCTION("""COMPUTED_VALUE""")," En Ejecución ")</f>
        <v xml:space="preserve"> En Ejecución </v>
      </c>
      <c r="I64" s="16">
        <f ca="1">IFERROR(__xludf.DUMMYFUNCTION("""COMPUTED_VALUE"""),102000000)</f>
        <v>102000000</v>
      </c>
      <c r="J64" s="83" t="s">
        <v>48</v>
      </c>
      <c r="K64" s="16"/>
      <c r="L64" s="16"/>
      <c r="M64" s="16"/>
      <c r="N64" s="21">
        <f ca="1">IFERROR(__xludf.DUMMYFUNCTION("""COMPUTED_VALUE"""),102000000)</f>
        <v>102000000</v>
      </c>
      <c r="O64" s="19"/>
      <c r="P64" s="19"/>
      <c r="Q64" s="19"/>
      <c r="R64" s="19"/>
      <c r="S64" s="19"/>
      <c r="T64" s="19"/>
      <c r="U64" s="19"/>
      <c r="V64" s="19"/>
      <c r="W64" s="20">
        <f ca="1">IFERROR(__xludf.DUMMYFUNCTION("""COMPUTED_VALUE"""),102000000)</f>
        <v>102000000</v>
      </c>
      <c r="X64" s="43" t="str">
        <f ca="1">IFERROR(__xludf.DUMMYFUNCTION("""COMPUTED_VALUE"""),"MUNICIPALIDAD DE CUNCO")</f>
        <v>MUNICIPALIDAD DE CUNCO</v>
      </c>
    </row>
    <row r="65" spans="1:24" ht="15.75" customHeight="1" x14ac:dyDescent="0.25">
      <c r="A65" s="16" t="str">
        <f ca="1">IFERROR(__xludf.DUMMYFUNCTION("""COMPUTED_VALUE""")," REGIÓN DE MAGALLANES Y ANTÁRTICA CHILENA ")</f>
        <v xml:space="preserve"> REGIÓN DE MAGALLANES Y ANTÁRTICA CHILENA </v>
      </c>
      <c r="B65" s="16" t="str">
        <f t="shared" ca="1" si="0"/>
        <v xml:space="preserve"> TIMAUKEL</v>
      </c>
      <c r="C65" s="16" t="str">
        <f ca="1">IFERROR(__xludf.DUMMYFUNCTION("""COMPUTED_VALUE""")," [SATE] MEJORAMIENTO DE SALA DE GENERADORES Y TRAZADO DE ALUMBRADO PUBLICO ")</f>
        <v xml:space="preserve"> [SATE] MEJORAMIENTO DE SALA DE GENERADORES Y TRAZADO DE ALUMBRADO PUBLICO </v>
      </c>
      <c r="D65" s="40" t="str">
        <f ca="1">IFERROR(__xludf.DUMMYFUNCTION("""COMPUTED_VALUE"""),"12303230705-C")</f>
        <v>12303230705-C</v>
      </c>
      <c r="E65" s="16" t="str">
        <f ca="1">IFERROR(__xludf.DUMMYFUNCTION("""COMPUTED_VALUE""")," En Ejecución ")</f>
        <v xml:space="preserve"> En Ejecución </v>
      </c>
      <c r="F65" s="41">
        <f ca="1">IFERROR(__xludf.DUMMYFUNCTION("""COMPUTED_VALUE"""),45379)</f>
        <v>45379</v>
      </c>
      <c r="G65" s="16">
        <f ca="1">IFERROR(__xludf.DUMMYFUNCTION("""COMPUTED_VALUE"""),263459788)</f>
        <v>263459788</v>
      </c>
      <c r="H65" s="16" t="str">
        <f ca="1">IFERROR(__xludf.DUMMYFUNCTION("""COMPUTED_VALUE""")," En Ejecución ")</f>
        <v xml:space="preserve"> En Ejecución </v>
      </c>
      <c r="I65" s="16">
        <f ca="1">IFERROR(__xludf.DUMMYFUNCTION("""COMPUTED_VALUE"""),263459788)</f>
        <v>263459788</v>
      </c>
      <c r="J65" s="83" t="s">
        <v>48</v>
      </c>
      <c r="K65" s="16"/>
      <c r="L65" s="16"/>
      <c r="M65" s="16"/>
      <c r="N65" s="21">
        <f ca="1">IFERROR(__xludf.DUMMYFUNCTION("""COMPUTED_VALUE"""),263459788)</f>
        <v>263459788</v>
      </c>
      <c r="O65" s="19"/>
      <c r="P65" s="19"/>
      <c r="Q65" s="19"/>
      <c r="R65" s="19"/>
      <c r="S65" s="19"/>
      <c r="T65" s="19"/>
      <c r="U65" s="19"/>
      <c r="V65" s="19"/>
      <c r="W65" s="20">
        <f ca="1">IFERROR(__xludf.DUMMYFUNCTION("""COMPUTED_VALUE"""),263459788)</f>
        <v>263459788</v>
      </c>
      <c r="X65" s="43" t="str">
        <f ca="1">IFERROR(__xludf.DUMMYFUNCTION("""COMPUTED_VALUE"""),"MUNICIPALIDAD DE TIMAUKEL")</f>
        <v>MUNICIPALIDAD DE TIMAUKEL</v>
      </c>
    </row>
    <row r="66" spans="1:24" ht="15.75" customHeight="1" x14ac:dyDescent="0.25">
      <c r="A66" s="16" t="str">
        <f ca="1">IFERROR(__xludf.DUMMYFUNCTION("""COMPUTED_VALUE""")," REGIÓN DEL BIOBÍO ")</f>
        <v xml:space="preserve"> REGIÓN DEL BIOBÍO </v>
      </c>
      <c r="B66" s="16" t="str">
        <f t="shared" ca="1" si="0"/>
        <v xml:space="preserve"> CONTULMO</v>
      </c>
      <c r="C66" s="16" t="str">
        <f ca="1">IFERROR(__xludf.DUMMYFUNCTION("""COMPUTED_VALUE""")," “ASISTENCIA TÉCNICA DISEÑOS ABASTOS DE AGUA SECTOR HUILLINCO Y COMUNIDAD DOMINGO PIRQUIL, Y PROYECTOS PMU EN DIVERSOS SECTORES, COMUNA CONTULMO” ")</f>
        <v xml:space="preserve"> “ASISTENCIA TÉCNICA DISEÑOS ABASTOS DE AGUA SECTOR HUILLINCO Y COMUNIDAD DOMINGO PIRQUIL, Y PROYECTOS PMU EN DIVERSOS SECTORES, COMUNA CONTULMO” </v>
      </c>
      <c r="D66" s="40" t="str">
        <f ca="1">IFERROR(__xludf.DUMMYFUNCTION("""COMPUTED_VALUE"""),"8204231001-C")</f>
        <v>8204231001-C</v>
      </c>
      <c r="E66" s="16" t="str">
        <f ca="1">IFERROR(__xludf.DUMMYFUNCTION("""COMPUTED_VALUE""")," En Ejecución ")</f>
        <v xml:space="preserve"> En Ejecución </v>
      </c>
      <c r="F66" s="41">
        <f ca="1">IFERROR(__xludf.DUMMYFUNCTION("""COMPUTED_VALUE"""),45379)</f>
        <v>45379</v>
      </c>
      <c r="G66" s="16">
        <f ca="1">IFERROR(__xludf.DUMMYFUNCTION("""COMPUTED_VALUE"""),86400000)</f>
        <v>86400000</v>
      </c>
      <c r="H66" s="16" t="str">
        <f ca="1">IFERROR(__xludf.DUMMYFUNCTION("""COMPUTED_VALUE""")," En Ejecución ")</f>
        <v xml:space="preserve"> En Ejecución </v>
      </c>
      <c r="I66" s="16">
        <f ca="1">IFERROR(__xludf.DUMMYFUNCTION("""COMPUTED_VALUE"""),86400000)</f>
        <v>86400000</v>
      </c>
      <c r="J66" s="83" t="s">
        <v>48</v>
      </c>
      <c r="K66" s="16"/>
      <c r="L66" s="16"/>
      <c r="M66" s="16"/>
      <c r="N66" s="21">
        <f ca="1">IFERROR(__xludf.DUMMYFUNCTION("""COMPUTED_VALUE"""),86400000)</f>
        <v>86400000</v>
      </c>
      <c r="O66" s="19"/>
      <c r="P66" s="19"/>
      <c r="Q66" s="19"/>
      <c r="R66" s="19"/>
      <c r="S66" s="19"/>
      <c r="T66" s="19"/>
      <c r="U66" s="19"/>
      <c r="V66" s="19"/>
      <c r="W66" s="20">
        <f ca="1">IFERROR(__xludf.DUMMYFUNCTION("""COMPUTED_VALUE"""),86400000)</f>
        <v>86400000</v>
      </c>
      <c r="X66" s="43" t="str">
        <f ca="1">IFERROR(__xludf.DUMMYFUNCTION("""COMPUTED_VALUE"""),"MUNICIPALIDAD DE CONTULMO")</f>
        <v>MUNICIPALIDAD DE CONTULMO</v>
      </c>
    </row>
    <row r="67" spans="1:24" ht="15.75" customHeight="1" x14ac:dyDescent="0.25">
      <c r="A67" s="16" t="str">
        <f ca="1">IFERROR(__xludf.DUMMYFUNCTION("""COMPUTED_VALUE""")," REGIÓN DEL BIOBÍO ")</f>
        <v xml:space="preserve"> REGIÓN DEL BIOBÍO </v>
      </c>
      <c r="B67" s="16" t="str">
        <f t="shared" ca="1" si="0"/>
        <v xml:space="preserve"> NACIMIENTO</v>
      </c>
      <c r="C67" s="16" t="str">
        <f ca="1">IFERROR(__xludf.DUMMYFUNCTION("""COMPUTED_VALUE""")," ASISTENCIA TÉCNICA PARA GENERACIÒN DE PROYECTOS, COMUNA DE NACIMIENTO ")</f>
        <v xml:space="preserve"> ASISTENCIA TÉCNICA PARA GENERACIÒN DE PROYECTOS, COMUNA DE NACIMIENTO </v>
      </c>
      <c r="D67" s="40" t="str">
        <f ca="1">IFERROR(__xludf.DUMMYFUNCTION("""COMPUTED_VALUE"""),"8306231001-C")</f>
        <v>8306231001-C</v>
      </c>
      <c r="E67" s="16" t="str">
        <f ca="1">IFERROR(__xludf.DUMMYFUNCTION("""COMPUTED_VALUE""")," En Ejecución ")</f>
        <v xml:space="preserve"> En Ejecución </v>
      </c>
      <c r="F67" s="41">
        <f ca="1">IFERROR(__xludf.DUMMYFUNCTION("""COMPUTED_VALUE"""),45379)</f>
        <v>45379</v>
      </c>
      <c r="G67" s="16">
        <f ca="1">IFERROR(__xludf.DUMMYFUNCTION("""COMPUTED_VALUE"""),80040000)</f>
        <v>80040000</v>
      </c>
      <c r="H67" s="16" t="str">
        <f ca="1">IFERROR(__xludf.DUMMYFUNCTION("""COMPUTED_VALUE""")," En Ejecución ")</f>
        <v xml:space="preserve"> En Ejecución </v>
      </c>
      <c r="I67" s="16">
        <f ca="1">IFERROR(__xludf.DUMMYFUNCTION("""COMPUTED_VALUE"""),80040000)</f>
        <v>80040000</v>
      </c>
      <c r="J67" s="83" t="s">
        <v>48</v>
      </c>
      <c r="K67" s="16"/>
      <c r="L67" s="16"/>
      <c r="M67" s="16"/>
      <c r="N67" s="21">
        <f ca="1">IFERROR(__xludf.DUMMYFUNCTION("""COMPUTED_VALUE"""),80040000)</f>
        <v>80040000</v>
      </c>
      <c r="O67" s="19"/>
      <c r="P67" s="19"/>
      <c r="Q67" s="19"/>
      <c r="R67" s="19"/>
      <c r="S67" s="19"/>
      <c r="T67" s="19"/>
      <c r="U67" s="19"/>
      <c r="V67" s="19"/>
      <c r="W67" s="20">
        <f ca="1">IFERROR(__xludf.DUMMYFUNCTION("""COMPUTED_VALUE"""),80040000)</f>
        <v>80040000</v>
      </c>
      <c r="X67" s="43" t="str">
        <f ca="1">IFERROR(__xludf.DUMMYFUNCTION("""COMPUTED_VALUE"""),"MUNICIPALIDAD DE NACIMIENTO")</f>
        <v>MUNICIPALIDAD DE NACIMIENTO</v>
      </c>
    </row>
    <row r="68" spans="1:24" ht="15.75" customHeight="1" x14ac:dyDescent="0.25">
      <c r="A68" s="16" t="str">
        <f ca="1">IFERROR(__xludf.DUMMYFUNCTION("""COMPUTED_VALUE""")," REGIÓN DE LA ARAUCANÍA ")</f>
        <v xml:space="preserve"> REGIÓN DE LA ARAUCANÍA </v>
      </c>
      <c r="B68" s="16" t="str">
        <f t="shared" ca="1" si="0"/>
        <v xml:space="preserve"> NUEVA IMPERIAL</v>
      </c>
      <c r="C68" s="16" t="str">
        <f ca="1">IFERROR(__xludf.DUMMYFUNCTION("""COMPUTED_VALUE""")," CONTRATACIÓN PROFESIONAL ASISTENCIA TÉCNICA PROYECTOS PMU, NUEVA IMPERIAL ")</f>
        <v xml:space="preserve"> CONTRATACIÓN PROFESIONAL ASISTENCIA TÉCNICA PROYECTOS PMU, NUEVA IMPERIAL </v>
      </c>
      <c r="D68" s="40" t="str">
        <f ca="1">IFERROR(__xludf.DUMMYFUNCTION("""COMPUTED_VALUE"""),"9111231004-C")</f>
        <v>9111231004-C</v>
      </c>
      <c r="E68" s="16" t="str">
        <f ca="1">IFERROR(__xludf.DUMMYFUNCTION("""COMPUTED_VALUE""")," En Ejecución ")</f>
        <v xml:space="preserve"> En Ejecución </v>
      </c>
      <c r="F68" s="41">
        <f ca="1">IFERROR(__xludf.DUMMYFUNCTION("""COMPUTED_VALUE"""),45387)</f>
        <v>45387</v>
      </c>
      <c r="G68" s="16">
        <f ca="1">IFERROR(__xludf.DUMMYFUNCTION("""COMPUTED_VALUE"""),104400000)</f>
        <v>104400000</v>
      </c>
      <c r="H68" s="16" t="str">
        <f ca="1">IFERROR(__xludf.DUMMYFUNCTION("""COMPUTED_VALUE""")," En Ejecución ")</f>
        <v xml:space="preserve"> En Ejecución </v>
      </c>
      <c r="I68" s="16">
        <f ca="1">IFERROR(__xludf.DUMMYFUNCTION("""COMPUTED_VALUE"""),104400000)</f>
        <v>104400000</v>
      </c>
      <c r="J68" s="83" t="s">
        <v>48</v>
      </c>
      <c r="K68" s="16"/>
      <c r="L68" s="16"/>
      <c r="M68" s="16"/>
      <c r="N68" s="21">
        <f ca="1">IFERROR(__xludf.DUMMYFUNCTION("""COMPUTED_VALUE"""),104400000)</f>
        <v>104400000</v>
      </c>
      <c r="O68" s="19"/>
      <c r="P68" s="19"/>
      <c r="Q68" s="19"/>
      <c r="R68" s="19"/>
      <c r="S68" s="19"/>
      <c r="T68" s="19"/>
      <c r="U68" s="19"/>
      <c r="V68" s="19"/>
      <c r="W68" s="20">
        <f ca="1">IFERROR(__xludf.DUMMYFUNCTION("""COMPUTED_VALUE"""),104400000)</f>
        <v>104400000</v>
      </c>
      <c r="X68" s="43" t="str">
        <f ca="1">IFERROR(__xludf.DUMMYFUNCTION("""COMPUTED_VALUE"""),"MUNICIPALIDAD DE NUEVA IMPERIAL")</f>
        <v>MUNICIPALIDAD DE NUEVA IMPERIAL</v>
      </c>
    </row>
    <row r="69" spans="1:24" ht="15.75" customHeight="1" x14ac:dyDescent="0.25">
      <c r="A69" s="16" t="str">
        <f ca="1">IFERROR(__xludf.DUMMYFUNCTION("""COMPUTED_VALUE""")," REGIÓN DE LOS LAGOS ")</f>
        <v xml:space="preserve"> REGIÓN DE LOS LAGOS </v>
      </c>
      <c r="B69" s="16" t="str">
        <f t="shared" ca="1" si="0"/>
        <v xml:space="preserve"> QUEILÉN</v>
      </c>
      <c r="C69" s="16" t="str">
        <f ca="1">IFERROR(__xludf.DUMMYFUNCTION("""COMPUTED_VALUE""")," GENERACIÓN DE DIVERSOS PROYECTOS DE INFRAESTRUCTURA PUBLICA Y DE SANEAMIENTO SANITARIO EN SECTORES RURALES DE LA COMUNA DE QUEILEN. ")</f>
        <v xml:space="preserve"> GENERACIÓN DE DIVERSOS PROYECTOS DE INFRAESTRUCTURA PUBLICA Y DE SANEAMIENTO SANITARIO EN SECTORES RURALES DE LA COMUNA DE QUEILEN. </v>
      </c>
      <c r="D69" s="40" t="str">
        <f ca="1">IFERROR(__xludf.DUMMYFUNCTION("""COMPUTED_VALUE"""),"10207241002-C")</f>
        <v>10207241002-C</v>
      </c>
      <c r="E69" s="16" t="str">
        <f ca="1">IFERROR(__xludf.DUMMYFUNCTION("""COMPUTED_VALUE""")," En Ejecución ")</f>
        <v xml:space="preserve"> En Ejecución </v>
      </c>
      <c r="F69" s="41">
        <f ca="1">IFERROR(__xludf.DUMMYFUNCTION("""COMPUTED_VALUE"""),45379)</f>
        <v>45379</v>
      </c>
      <c r="G69" s="16">
        <f ca="1">IFERROR(__xludf.DUMMYFUNCTION("""COMPUTED_VALUE"""),86400000)</f>
        <v>86400000</v>
      </c>
      <c r="H69" s="16" t="str">
        <f ca="1">IFERROR(__xludf.DUMMYFUNCTION("""COMPUTED_VALUE""")," En Ejecución ")</f>
        <v xml:space="preserve"> En Ejecución </v>
      </c>
      <c r="I69" s="16">
        <f ca="1">IFERROR(__xludf.DUMMYFUNCTION("""COMPUTED_VALUE"""),86400000)</f>
        <v>86400000</v>
      </c>
      <c r="J69" s="83" t="s">
        <v>48</v>
      </c>
      <c r="K69" s="16"/>
      <c r="L69" s="16"/>
      <c r="M69" s="16"/>
      <c r="N69" s="21">
        <f ca="1">IFERROR(__xludf.DUMMYFUNCTION("""COMPUTED_VALUE"""),86400000)</f>
        <v>86400000</v>
      </c>
      <c r="O69" s="19"/>
      <c r="P69" s="19"/>
      <c r="Q69" s="19"/>
      <c r="R69" s="19"/>
      <c r="S69" s="19"/>
      <c r="T69" s="19"/>
      <c r="U69" s="19"/>
      <c r="V69" s="19"/>
      <c r="W69" s="20">
        <f ca="1">IFERROR(__xludf.DUMMYFUNCTION("""COMPUTED_VALUE"""),86400000)</f>
        <v>86400000</v>
      </c>
      <c r="X69" s="43" t="str">
        <f ca="1">IFERROR(__xludf.DUMMYFUNCTION("""COMPUTED_VALUE"""),"MUNICIPALIDAD DE QUEILÉN")</f>
        <v>MUNICIPALIDAD DE QUEILÉN</v>
      </c>
    </row>
    <row r="70" spans="1:24" ht="15.75" customHeight="1" x14ac:dyDescent="0.25">
      <c r="A70" s="16" t="str">
        <f ca="1">IFERROR(__xludf.DUMMYFUNCTION("""COMPUTED_VALUE""")," REGIÓN DEL BIOBÍO ")</f>
        <v xml:space="preserve"> REGIÓN DEL BIOBÍO </v>
      </c>
      <c r="B70" s="16" t="str">
        <f t="shared" ca="1" si="0"/>
        <v xml:space="preserve"> TUCAPEL</v>
      </c>
      <c r="C70" s="16" t="str">
        <f ca="1">IFERROR(__xludf.DUMMYFUNCTION("""COMPUTED_VALUE""")," ASISTENCIA TECNICA PARA EL ABASTECIMIENTO DE AGUA POTABLE RURAL, DIVERSOS SECTORES, TUCAPEL ")</f>
        <v xml:space="preserve"> ASISTENCIA TECNICA PARA EL ABASTECIMIENTO DE AGUA POTABLE RURAL, DIVERSOS SECTORES, TUCAPEL </v>
      </c>
      <c r="D70" s="40" t="str">
        <f ca="1">IFERROR(__xludf.DUMMYFUNCTION("""COMPUTED_VALUE"""),"8312231001-C")</f>
        <v>8312231001-C</v>
      </c>
      <c r="E70" s="16" t="str">
        <f ca="1">IFERROR(__xludf.DUMMYFUNCTION("""COMPUTED_VALUE""")," En Ejecución ")</f>
        <v xml:space="preserve"> En Ejecución </v>
      </c>
      <c r="F70" s="41">
        <f ca="1">IFERROR(__xludf.DUMMYFUNCTION("""COMPUTED_VALUE"""),45401)</f>
        <v>45401</v>
      </c>
      <c r="G70" s="16">
        <f ca="1">IFERROR(__xludf.DUMMYFUNCTION("""COMPUTED_VALUE"""),73800000)</f>
        <v>73800000</v>
      </c>
      <c r="H70" s="16" t="str">
        <f ca="1">IFERROR(__xludf.DUMMYFUNCTION("""COMPUTED_VALUE""")," En Ejecución ")</f>
        <v xml:space="preserve"> En Ejecución </v>
      </c>
      <c r="I70" s="16">
        <f ca="1">IFERROR(__xludf.DUMMYFUNCTION("""COMPUTED_VALUE"""),73800000)</f>
        <v>73800000</v>
      </c>
      <c r="J70" s="83" t="s">
        <v>48</v>
      </c>
      <c r="K70" s="16"/>
      <c r="L70" s="16"/>
      <c r="M70" s="16"/>
      <c r="N70" s="21">
        <f ca="1">IFERROR(__xludf.DUMMYFUNCTION("""COMPUTED_VALUE"""),73800000)</f>
        <v>73800000</v>
      </c>
      <c r="O70" s="19"/>
      <c r="P70" s="19"/>
      <c r="Q70" s="19"/>
      <c r="R70" s="19"/>
      <c r="S70" s="19"/>
      <c r="T70" s="19"/>
      <c r="U70" s="19"/>
      <c r="V70" s="19"/>
      <c r="W70" s="20">
        <f ca="1">IFERROR(__xludf.DUMMYFUNCTION("""COMPUTED_VALUE"""),73800000)</f>
        <v>73800000</v>
      </c>
      <c r="X70" s="43" t="str">
        <f ca="1">IFERROR(__xludf.DUMMYFUNCTION("""COMPUTED_VALUE"""),"MUNICIPALIDAD DE TUCAPEL")</f>
        <v>MUNICIPALIDAD DE TUCAPEL</v>
      </c>
    </row>
    <row r="71" spans="1:24" ht="15.75" customHeight="1" x14ac:dyDescent="0.25">
      <c r="A71" s="16" t="str">
        <f ca="1">IFERROR(__xludf.DUMMYFUNCTION("""COMPUTED_VALUE""")," REGIÓN DEL BIOBÍO ")</f>
        <v xml:space="preserve"> REGIÓN DEL BIOBÍO </v>
      </c>
      <c r="B71" s="16" t="str">
        <f t="shared" ca="1" si="0"/>
        <v xml:space="preserve"> TUCAPEL</v>
      </c>
      <c r="C71" s="16" t="str">
        <f ca="1">IFERROR(__xludf.DUMMYFUNCTION("""COMPUTED_VALUE""")," ASISTENCIA TECNICA PROYECTOS SANEAMIENTO SANITARIOS, ALCANTARILLADOS COMUNA DE TUCAPEL 2024 ")</f>
        <v xml:space="preserve"> ASISTENCIA TECNICA PROYECTOS SANEAMIENTO SANITARIOS, ALCANTARILLADOS COMUNA DE TUCAPEL 2024 </v>
      </c>
      <c r="D71" s="40" t="str">
        <f ca="1">IFERROR(__xludf.DUMMYFUNCTION("""COMPUTED_VALUE"""),"8312231003-C")</f>
        <v>8312231003-C</v>
      </c>
      <c r="E71" s="16" t="str">
        <f ca="1">IFERROR(__xludf.DUMMYFUNCTION("""COMPUTED_VALUE""")," En Ejecución ")</f>
        <v xml:space="preserve"> En Ejecución </v>
      </c>
      <c r="F71" s="41">
        <f ca="1">IFERROR(__xludf.DUMMYFUNCTION("""COMPUTED_VALUE"""),45406)</f>
        <v>45406</v>
      </c>
      <c r="G71" s="16">
        <f ca="1">IFERROR(__xludf.DUMMYFUNCTION("""COMPUTED_VALUE"""),84000000)</f>
        <v>84000000</v>
      </c>
      <c r="H71" s="16" t="str">
        <f ca="1">IFERROR(__xludf.DUMMYFUNCTION("""COMPUTED_VALUE""")," En Ejecución ")</f>
        <v xml:space="preserve"> En Ejecución </v>
      </c>
      <c r="I71" s="16">
        <f ca="1">IFERROR(__xludf.DUMMYFUNCTION("""COMPUTED_VALUE"""),84000000)</f>
        <v>84000000</v>
      </c>
      <c r="J71" s="83" t="s">
        <v>48</v>
      </c>
      <c r="K71" s="16"/>
      <c r="L71" s="16"/>
      <c r="M71" s="16"/>
      <c r="N71" s="21">
        <f ca="1">IFERROR(__xludf.DUMMYFUNCTION("""COMPUTED_VALUE"""),84000000)</f>
        <v>84000000</v>
      </c>
      <c r="O71" s="19"/>
      <c r="P71" s="19"/>
      <c r="Q71" s="19"/>
      <c r="R71" s="19"/>
      <c r="S71" s="19"/>
      <c r="T71" s="19"/>
      <c r="U71" s="19"/>
      <c r="V71" s="19"/>
      <c r="W71" s="20">
        <f ca="1">IFERROR(__xludf.DUMMYFUNCTION("""COMPUTED_VALUE"""),84000000)</f>
        <v>84000000</v>
      </c>
      <c r="X71" s="43" t="str">
        <f ca="1">IFERROR(__xludf.DUMMYFUNCTION("""COMPUTED_VALUE"""),"MUNICIPALIDAD DE TUCAPEL")</f>
        <v>MUNICIPALIDAD DE TUCAPEL</v>
      </c>
    </row>
    <row r="72" spans="1:24" ht="15.75" customHeight="1" x14ac:dyDescent="0.25">
      <c r="A72" s="16" t="str">
        <f ca="1">IFERROR(__xludf.DUMMYFUNCTION("""COMPUTED_VALUE""")," REGIÓN DEL BIOBÍO ")</f>
        <v xml:space="preserve"> REGIÓN DEL BIOBÍO </v>
      </c>
      <c r="B72" s="16" t="str">
        <f t="shared" ca="1" si="0"/>
        <v xml:space="preserve"> ARAUCO</v>
      </c>
      <c r="C72" s="16" t="str">
        <f ca="1">IFERROR(__xludf.DUMMYFUNCTION("""COMPUTED_VALUE""")," ASISTENCIA TÉCNICA PARA DISEÑOS Y CONSTRUCCIÓN PROYECTOS DE ALUMBRADO PÚBLICO EN LOCALIDADES RURALES, COMUNA DE ARAUCO ")</f>
        <v xml:space="preserve"> ASISTENCIA TÉCNICA PARA DISEÑOS Y CONSTRUCCIÓN PROYECTOS DE ALUMBRADO PÚBLICO EN LOCALIDADES RURALES, COMUNA DE ARAUCO </v>
      </c>
      <c r="D72" s="40" t="str">
        <f ca="1">IFERROR(__xludf.DUMMYFUNCTION("""COMPUTED_VALUE"""),"8202231003-C")</f>
        <v>8202231003-C</v>
      </c>
      <c r="E72" s="16" t="str">
        <f ca="1">IFERROR(__xludf.DUMMYFUNCTION("""COMPUTED_VALUE""")," En Ejecución ")</f>
        <v xml:space="preserve"> En Ejecución </v>
      </c>
      <c r="F72" s="41">
        <f ca="1">IFERROR(__xludf.DUMMYFUNCTION("""COMPUTED_VALUE"""),45391)</f>
        <v>45391</v>
      </c>
      <c r="G72" s="16">
        <f ca="1">IFERROR(__xludf.DUMMYFUNCTION("""COMPUTED_VALUE"""),65880000)</f>
        <v>65880000</v>
      </c>
      <c r="H72" s="16" t="str">
        <f ca="1">IFERROR(__xludf.DUMMYFUNCTION("""COMPUTED_VALUE""")," En Ejecución ")</f>
        <v xml:space="preserve"> En Ejecución </v>
      </c>
      <c r="I72" s="16">
        <f ca="1">IFERROR(__xludf.DUMMYFUNCTION("""COMPUTED_VALUE"""),65880000)</f>
        <v>65880000</v>
      </c>
      <c r="J72" s="83" t="s">
        <v>48</v>
      </c>
      <c r="K72" s="16"/>
      <c r="L72" s="16"/>
      <c r="M72" s="16"/>
      <c r="N72" s="21">
        <f ca="1">IFERROR(__xludf.DUMMYFUNCTION("""COMPUTED_VALUE"""),65880000)</f>
        <v>65880000</v>
      </c>
      <c r="O72" s="19"/>
      <c r="P72" s="19"/>
      <c r="Q72" s="19"/>
      <c r="R72" s="19"/>
      <c r="S72" s="19"/>
      <c r="T72" s="19"/>
      <c r="U72" s="19"/>
      <c r="V72" s="19"/>
      <c r="W72" s="20">
        <f ca="1">IFERROR(__xludf.DUMMYFUNCTION("""COMPUTED_VALUE"""),65880000)</f>
        <v>65880000</v>
      </c>
      <c r="X72" s="43" t="str">
        <f ca="1">IFERROR(__xludf.DUMMYFUNCTION("""COMPUTED_VALUE"""),"MUNICIPALIDAD DE ARAUCO")</f>
        <v>MUNICIPALIDAD DE ARAUCO</v>
      </c>
    </row>
    <row r="73" spans="1:24" ht="15.75" customHeight="1" x14ac:dyDescent="0.25">
      <c r="A73" s="16" t="str">
        <f ca="1">IFERROR(__xludf.DUMMYFUNCTION("""COMPUTED_VALUE""")," REGIÓN DEL BIOBÍO ")</f>
        <v xml:space="preserve"> REGIÓN DEL BIOBÍO </v>
      </c>
      <c r="B73" s="16" t="str">
        <f t="shared" ca="1" si="0"/>
        <v xml:space="preserve"> CAÑETE</v>
      </c>
      <c r="C73" s="16" t="str">
        <f ca="1">IFERROR(__xludf.DUMMYFUNCTION("""COMPUTED_VALUE""")," DISEÑO DE ELECTRIFICACIÓN PARA LAS C.I NICOLÁS CALBULLANCA Y RAYEN ANTÚ, Y ALUMBRADO PÚBLICO PARA LA C.I. JOSÉ ANTONIO MELITA Y RUTA AL PARQUE ANIQUE ")</f>
        <v xml:space="preserve"> DISEÑO DE ELECTRIFICACIÓN PARA LAS C.I NICOLÁS CALBULLANCA Y RAYEN ANTÚ, Y ALUMBRADO PÚBLICO PARA LA C.I. JOSÉ ANTONIO MELITA Y RUTA AL PARQUE ANIQUE </v>
      </c>
      <c r="D73" s="40" t="str">
        <f ca="1">IFERROR(__xludf.DUMMYFUNCTION("""COMPUTED_VALUE"""),"8203241001-C")</f>
        <v>8203241001-C</v>
      </c>
      <c r="E73" s="16" t="str">
        <f ca="1">IFERROR(__xludf.DUMMYFUNCTION("""COMPUTED_VALUE""")," En Ejecución ")</f>
        <v xml:space="preserve"> En Ejecución </v>
      </c>
      <c r="F73" s="41">
        <f ca="1">IFERROR(__xludf.DUMMYFUNCTION("""COMPUTED_VALUE"""),45391)</f>
        <v>45391</v>
      </c>
      <c r="G73" s="16">
        <f ca="1">IFERROR(__xludf.DUMMYFUNCTION("""COMPUTED_VALUE"""),94800000)</f>
        <v>94800000</v>
      </c>
      <c r="H73" s="16" t="str">
        <f ca="1">IFERROR(__xludf.DUMMYFUNCTION("""COMPUTED_VALUE""")," En Ejecución ")</f>
        <v xml:space="preserve"> En Ejecución </v>
      </c>
      <c r="I73" s="16">
        <f ca="1">IFERROR(__xludf.DUMMYFUNCTION("""COMPUTED_VALUE"""),94800000)</f>
        <v>94800000</v>
      </c>
      <c r="J73" s="83" t="s">
        <v>48</v>
      </c>
      <c r="K73" s="16"/>
      <c r="L73" s="16"/>
      <c r="M73" s="16"/>
      <c r="N73" s="21">
        <f ca="1">IFERROR(__xludf.DUMMYFUNCTION("""COMPUTED_VALUE"""),94800000)</f>
        <v>94800000</v>
      </c>
      <c r="O73" s="19"/>
      <c r="P73" s="19"/>
      <c r="Q73" s="19"/>
      <c r="R73" s="19"/>
      <c r="S73" s="19"/>
      <c r="T73" s="19"/>
      <c r="U73" s="19"/>
      <c r="V73" s="19"/>
      <c r="W73" s="20">
        <f ca="1">IFERROR(__xludf.DUMMYFUNCTION("""COMPUTED_VALUE"""),94800000)</f>
        <v>94800000</v>
      </c>
      <c r="X73" s="43" t="str">
        <f ca="1">IFERROR(__xludf.DUMMYFUNCTION("""COMPUTED_VALUE"""),"MUNICIPALIDAD DE CAÑETE")</f>
        <v>MUNICIPALIDAD DE CAÑETE</v>
      </c>
    </row>
    <row r="74" spans="1:24" ht="15.75" customHeight="1" x14ac:dyDescent="0.25">
      <c r="A74" s="16" t="str">
        <f ca="1">IFERROR(__xludf.DUMMYFUNCTION("""COMPUTED_VALUE""")," REGIÓN DEL BIOBÍO ")</f>
        <v xml:space="preserve"> REGIÓN DEL BIOBÍO </v>
      </c>
      <c r="B74" s="16" t="str">
        <f t="shared" ca="1" si="0"/>
        <v xml:space="preserve"> CAÑETE</v>
      </c>
      <c r="C74" s="16" t="str">
        <f ca="1">IFERROR(__xludf.DUMMYFUNCTION("""COMPUTED_VALUE""")," ASISTENCIA TÉCNICA SANEAMIENTO SANITARIO – SECTORES RURALES LAUTARO, LOS BATROS Y COLO COLO, COMUNA DE CAÑETE ")</f>
        <v xml:space="preserve"> ASISTENCIA TÉCNICA SANEAMIENTO SANITARIO – SECTORES RURALES LAUTARO, LOS BATROS Y COLO COLO, COMUNA DE CAÑETE </v>
      </c>
      <c r="D74" s="40" t="str">
        <f ca="1">IFERROR(__xludf.DUMMYFUNCTION("""COMPUTED_VALUE"""),"8203241002-C")</f>
        <v>8203241002-C</v>
      </c>
      <c r="E74" s="16" t="str">
        <f ca="1">IFERROR(__xludf.DUMMYFUNCTION("""COMPUTED_VALUE""")," En Ejecución ")</f>
        <v xml:space="preserve"> En Ejecución </v>
      </c>
      <c r="F74" s="41">
        <f ca="1">IFERROR(__xludf.DUMMYFUNCTION("""COMPUTED_VALUE"""),45391)</f>
        <v>45391</v>
      </c>
      <c r="G74" s="16">
        <f ca="1">IFERROR(__xludf.DUMMYFUNCTION("""COMPUTED_VALUE"""),71100000)</f>
        <v>71100000</v>
      </c>
      <c r="H74" s="16" t="str">
        <f ca="1">IFERROR(__xludf.DUMMYFUNCTION("""COMPUTED_VALUE""")," En Ejecución ")</f>
        <v xml:space="preserve"> En Ejecución </v>
      </c>
      <c r="I74" s="16">
        <f ca="1">IFERROR(__xludf.DUMMYFUNCTION("""COMPUTED_VALUE"""),71100000)</f>
        <v>71100000</v>
      </c>
      <c r="J74" s="83" t="s">
        <v>48</v>
      </c>
      <c r="K74" s="16"/>
      <c r="L74" s="16"/>
      <c r="M74" s="16"/>
      <c r="N74" s="21">
        <f ca="1">IFERROR(__xludf.DUMMYFUNCTION("""COMPUTED_VALUE"""),71100000)</f>
        <v>71100000</v>
      </c>
      <c r="O74" s="19"/>
      <c r="P74" s="19"/>
      <c r="Q74" s="19"/>
      <c r="R74" s="19"/>
      <c r="S74" s="19"/>
      <c r="T74" s="19"/>
      <c r="U74" s="19"/>
      <c r="V74" s="19"/>
      <c r="W74" s="20">
        <f ca="1">IFERROR(__xludf.DUMMYFUNCTION("""COMPUTED_VALUE"""),71100000)</f>
        <v>71100000</v>
      </c>
      <c r="X74" s="43" t="str">
        <f ca="1">IFERROR(__xludf.DUMMYFUNCTION("""COMPUTED_VALUE"""),"MUNICIPALIDAD DE CAÑETE")</f>
        <v>MUNICIPALIDAD DE CAÑETE</v>
      </c>
    </row>
    <row r="75" spans="1:24" ht="15.75" customHeight="1" x14ac:dyDescent="0.25">
      <c r="A75" s="16" t="str">
        <f ca="1">IFERROR(__xludf.DUMMYFUNCTION("""COMPUTED_VALUE""")," REGIÓN DE LOS RÍOS ")</f>
        <v xml:space="preserve"> REGIÓN DE LOS RÍOS </v>
      </c>
      <c r="B75" s="16" t="str">
        <f t="shared" ca="1" si="0"/>
        <v xml:space="preserve"> VALDIVIA</v>
      </c>
      <c r="C75" s="16" t="str">
        <f ca="1">IFERROR(__xludf.DUMMYFUNCTION("""COMPUTED_VALUE""")," ASISTENCIA TÉCNICA PATRIMONIAL PARA EL CATASTRO DE INMUEBLES DE INTERÉS PATRIMONIAL DEL CENTRO DE VALDIVIA ")</f>
        <v xml:space="preserve"> ASISTENCIA TÉCNICA PATRIMONIAL PARA EL CATASTRO DE INMUEBLES DE INTERÉS PATRIMONIAL DEL CENTRO DE VALDIVIA </v>
      </c>
      <c r="D75" s="40" t="str">
        <f ca="1">IFERROR(__xludf.DUMMYFUNCTION("""COMPUTED_VALUE"""),"14101241002-C")</f>
        <v>14101241002-C</v>
      </c>
      <c r="E75" s="16" t="str">
        <f ca="1">IFERROR(__xludf.DUMMYFUNCTION("""COMPUTED_VALUE""")," En Ejecución ")</f>
        <v xml:space="preserve"> En Ejecución </v>
      </c>
      <c r="F75" s="41">
        <f ca="1">IFERROR(__xludf.DUMMYFUNCTION("""COMPUTED_VALUE"""),45391)</f>
        <v>45391</v>
      </c>
      <c r="G75" s="16">
        <f ca="1">IFERROR(__xludf.DUMMYFUNCTION("""COMPUTED_VALUE"""),86400000)</f>
        <v>86400000</v>
      </c>
      <c r="H75" s="16" t="str">
        <f ca="1">IFERROR(__xludf.DUMMYFUNCTION("""COMPUTED_VALUE""")," En Ejecución ")</f>
        <v xml:space="preserve"> En Ejecución </v>
      </c>
      <c r="I75" s="16">
        <f ca="1">IFERROR(__xludf.DUMMYFUNCTION("""COMPUTED_VALUE"""),86400000)</f>
        <v>86400000</v>
      </c>
      <c r="J75" s="83" t="s">
        <v>48</v>
      </c>
      <c r="K75" s="16"/>
      <c r="L75" s="16"/>
      <c r="M75" s="16"/>
      <c r="N75" s="21">
        <f ca="1">IFERROR(__xludf.DUMMYFUNCTION("""COMPUTED_VALUE"""),86400000)</f>
        <v>86400000</v>
      </c>
      <c r="O75" s="19"/>
      <c r="P75" s="19"/>
      <c r="Q75" s="19"/>
      <c r="R75" s="19"/>
      <c r="S75" s="19"/>
      <c r="T75" s="19"/>
      <c r="U75" s="19"/>
      <c r="V75" s="19"/>
      <c r="W75" s="20">
        <f ca="1">IFERROR(__xludf.DUMMYFUNCTION("""COMPUTED_VALUE"""),86400000)</f>
        <v>86400000</v>
      </c>
      <c r="X75" s="43" t="str">
        <f ca="1">IFERROR(__xludf.DUMMYFUNCTION("""COMPUTED_VALUE"""),"MUNICIPALIDAD DE VALDIVIA")</f>
        <v>MUNICIPALIDAD DE VALDIVIA</v>
      </c>
    </row>
    <row r="76" spans="1:24" ht="15.75" customHeight="1" x14ac:dyDescent="0.25">
      <c r="A76" s="16" t="str">
        <f ca="1">IFERROR(__xludf.DUMMYFUNCTION("""COMPUTED_VALUE""")," REGIÓN DE VALPARAÍSO ")</f>
        <v xml:space="preserve"> REGIÓN DE VALPARAÍSO </v>
      </c>
      <c r="B76" s="16" t="str">
        <f t="shared" ca="1" si="0"/>
        <v xml:space="preserve"> VILLA ALEMANA</v>
      </c>
      <c r="C76" s="16" t="str">
        <f ca="1">IFERROR(__xludf.DUMMYFUNCTION("""COMPUTED_VALUE""")," ASISTENCIA TÉCNICA PARA ELABORACIÓN DE PROYECTOS CATÁSTROFE-MEJORAMIENTO CENTROS COMUNITARIOS RURALES SINIESTRADOS EL PATAGUAL VILLA ALEMANA ")</f>
        <v xml:space="preserve"> ASISTENCIA TÉCNICA PARA ELABORACIÓN DE PROYECTOS CATÁSTROFE-MEJORAMIENTO CENTROS COMUNITARIOS RURALES SINIESTRADOS EL PATAGUAL VILLA ALEMANA </v>
      </c>
      <c r="D76" s="40" t="str">
        <f ca="1">IFERROR(__xludf.DUMMYFUNCTION("""COMPUTED_VALUE"""),"5804241001-C")</f>
        <v>5804241001-C</v>
      </c>
      <c r="E76" s="16" t="str">
        <f ca="1">IFERROR(__xludf.DUMMYFUNCTION("""COMPUTED_VALUE""")," En Ejecución ")</f>
        <v xml:space="preserve"> En Ejecución </v>
      </c>
      <c r="F76" s="41">
        <f ca="1">IFERROR(__xludf.DUMMYFUNCTION("""COMPUTED_VALUE"""),45387)</f>
        <v>45387</v>
      </c>
      <c r="G76" s="16">
        <f ca="1">IFERROR(__xludf.DUMMYFUNCTION("""COMPUTED_VALUE"""),13300000)</f>
        <v>13300000</v>
      </c>
      <c r="H76" s="16" t="str">
        <f ca="1">IFERROR(__xludf.DUMMYFUNCTION("""COMPUTED_VALUE""")," En Ejecución ")</f>
        <v xml:space="preserve"> En Ejecución </v>
      </c>
      <c r="I76" s="16">
        <f ca="1">IFERROR(__xludf.DUMMYFUNCTION("""COMPUTED_VALUE"""),13300000)</f>
        <v>13300000</v>
      </c>
      <c r="J76" s="83" t="s">
        <v>48</v>
      </c>
      <c r="K76" s="16"/>
      <c r="L76" s="16"/>
      <c r="M76" s="16"/>
      <c r="N76" s="21">
        <f ca="1">IFERROR(__xludf.DUMMYFUNCTION("""COMPUTED_VALUE"""),13300000)</f>
        <v>13300000</v>
      </c>
      <c r="O76" s="19"/>
      <c r="P76" s="19"/>
      <c r="Q76" s="19"/>
      <c r="R76" s="19"/>
      <c r="S76" s="19"/>
      <c r="T76" s="19"/>
      <c r="U76" s="19"/>
      <c r="V76" s="19"/>
      <c r="W76" s="20">
        <f ca="1">IFERROR(__xludf.DUMMYFUNCTION("""COMPUTED_VALUE"""),13300000)</f>
        <v>13300000</v>
      </c>
      <c r="X76" s="43" t="str">
        <f ca="1">IFERROR(__xludf.DUMMYFUNCTION("""COMPUTED_VALUE"""),"MUNICIPALIDAD DE VILLA ALEMANA")</f>
        <v>MUNICIPALIDAD DE VILLA ALEMANA</v>
      </c>
    </row>
    <row r="77" spans="1:24" ht="15.75" customHeight="1" x14ac:dyDescent="0.25">
      <c r="A77" s="16" t="str">
        <f ca="1">IFERROR(__xludf.DUMMYFUNCTION("""COMPUTED_VALUE""")," REGIÓN DE LA ARAUCANÍA ")</f>
        <v xml:space="preserve"> REGIÓN DE LA ARAUCANÍA </v>
      </c>
      <c r="B77" s="16" t="str">
        <f t="shared" ca="1" si="0"/>
        <v xml:space="preserve"> LAUTARO</v>
      </c>
      <c r="C77" s="16" t="str">
        <f ca="1">IFERROR(__xludf.DUMMYFUNCTION("""COMPUTED_VALUE""")," ASISTENCIA LEGAL PARA SANEAMIENTO DE LA PEQUEÑA PROPIEDAD RAÍZ, COMUNA DE LAUTARO ")</f>
        <v xml:space="preserve"> ASISTENCIA LEGAL PARA SANEAMIENTO DE LA PEQUEÑA PROPIEDAD RAÍZ, COMUNA DE LAUTARO </v>
      </c>
      <c r="D77" s="40" t="str">
        <f ca="1">IFERROR(__xludf.DUMMYFUNCTION("""COMPUTED_VALUE"""),"9108230601-C")</f>
        <v>9108230601-C</v>
      </c>
      <c r="E77" s="16" t="str">
        <f ca="1">IFERROR(__xludf.DUMMYFUNCTION("""COMPUTED_VALUE""")," En Ejecución ")</f>
        <v xml:space="preserve"> En Ejecución </v>
      </c>
      <c r="F77" s="41">
        <f ca="1">IFERROR(__xludf.DUMMYFUNCTION("""COMPUTED_VALUE"""),45407)</f>
        <v>45407</v>
      </c>
      <c r="G77" s="16">
        <f ca="1">IFERROR(__xludf.DUMMYFUNCTION("""COMPUTED_VALUE"""),48000000)</f>
        <v>48000000</v>
      </c>
      <c r="H77" s="16" t="str">
        <f ca="1">IFERROR(__xludf.DUMMYFUNCTION("""COMPUTED_VALUE""")," En Ejecución ")</f>
        <v xml:space="preserve"> En Ejecución </v>
      </c>
      <c r="I77" s="16">
        <f ca="1">IFERROR(__xludf.DUMMYFUNCTION("""COMPUTED_VALUE"""),48000000)</f>
        <v>48000000</v>
      </c>
      <c r="J77" s="83" t="s">
        <v>48</v>
      </c>
      <c r="K77" s="16"/>
      <c r="L77" s="16"/>
      <c r="M77" s="16"/>
      <c r="N77" s="21">
        <f ca="1">IFERROR(__xludf.DUMMYFUNCTION("""COMPUTED_VALUE"""),48000000)</f>
        <v>48000000</v>
      </c>
      <c r="O77" s="19"/>
      <c r="P77" s="19"/>
      <c r="Q77" s="19"/>
      <c r="R77" s="19"/>
      <c r="S77" s="19"/>
      <c r="T77" s="19"/>
      <c r="U77" s="19"/>
      <c r="V77" s="19"/>
      <c r="W77" s="20">
        <f ca="1">IFERROR(__xludf.DUMMYFUNCTION("""COMPUTED_VALUE"""),48000000)</f>
        <v>48000000</v>
      </c>
      <c r="X77" s="43" t="str">
        <f ca="1">IFERROR(__xludf.DUMMYFUNCTION("""COMPUTED_VALUE"""),"MUNICIPALIDAD DE LAUTARO")</f>
        <v>MUNICIPALIDAD DE LAUTARO</v>
      </c>
    </row>
    <row r="78" spans="1:24" ht="15.75" customHeight="1" x14ac:dyDescent="0.25">
      <c r="A78" s="16" t="str">
        <f ca="1">IFERROR(__xludf.DUMMYFUNCTION("""COMPUTED_VALUE""")," REGIÓN DE LOS RÍOS ")</f>
        <v xml:space="preserve"> REGIÓN DE LOS RÍOS </v>
      </c>
      <c r="B78" s="16" t="str">
        <f t="shared" ca="1" si="0"/>
        <v xml:space="preserve"> LANCO</v>
      </c>
      <c r="C78" s="16" t="str">
        <f ca="1">IFERROR(__xludf.DUMMYFUNCTION("""COMPUTED_VALUE""")," PROGRAMA DE COMPOSTAJE DOMICILIARIO Y COMUNITARIO “BOSQUE SUR”, COMUNA DE LANCO ")</f>
        <v xml:space="preserve"> PROGRAMA DE COMPOSTAJE DOMICILIARIO Y COMUNITARIO “BOSQUE SUR”, COMUNA DE LANCO </v>
      </c>
      <c r="D78" s="40" t="str">
        <f ca="1">IFERROR(__xludf.DUMMYFUNCTION("""COMPUTED_VALUE"""),"14103221502-C")</f>
        <v>14103221502-C</v>
      </c>
      <c r="E78" s="16" t="str">
        <f ca="1">IFERROR(__xludf.DUMMYFUNCTION("""COMPUTED_VALUE""")," En Ejecución ")</f>
        <v xml:space="preserve"> En Ejecución </v>
      </c>
      <c r="F78" s="41">
        <f ca="1">IFERROR(__xludf.DUMMYFUNCTION("""COMPUTED_VALUE"""),44687)</f>
        <v>44687</v>
      </c>
      <c r="G78" s="16">
        <f ca="1">IFERROR(__xludf.DUMMYFUNCTION("""COMPUTED_VALUE"""),34392850)</f>
        <v>34392850</v>
      </c>
      <c r="H78" s="16" t="str">
        <f ca="1">IFERROR(__xludf.DUMMYFUNCTION("""COMPUTED_VALUE""")," En Ejecución ")</f>
        <v xml:space="preserve"> En Ejecución </v>
      </c>
      <c r="I78" s="16">
        <f ca="1">IFERROR(__xludf.DUMMYFUNCTION("""COMPUTED_VALUE"""),6356770)</f>
        <v>6356770</v>
      </c>
      <c r="J78" s="83" t="s">
        <v>48</v>
      </c>
      <c r="K78" s="16"/>
      <c r="L78" s="16"/>
      <c r="M78" s="16"/>
      <c r="N78" s="21">
        <f ca="1">IFERROR(__xludf.DUMMYFUNCTION("""COMPUTED_VALUE"""),6356770)</f>
        <v>6356770</v>
      </c>
      <c r="O78" s="19"/>
      <c r="P78" s="19"/>
      <c r="Q78" s="19"/>
      <c r="R78" s="19"/>
      <c r="S78" s="19"/>
      <c r="T78" s="19"/>
      <c r="U78" s="19"/>
      <c r="V78" s="19"/>
      <c r="W78" s="20">
        <f ca="1">IFERROR(__xludf.DUMMYFUNCTION("""COMPUTED_VALUE"""),6356770)</f>
        <v>6356770</v>
      </c>
      <c r="X78" s="43" t="str">
        <f ca="1">IFERROR(__xludf.DUMMYFUNCTION("""COMPUTED_VALUE"""),"MUNICIPALIDAD DE LANCO")</f>
        <v>MUNICIPALIDAD DE LANCO</v>
      </c>
    </row>
    <row r="79" spans="1:24" ht="15.75" customHeight="1" x14ac:dyDescent="0.25">
      <c r="A79" s="16" t="str">
        <f ca="1">IFERROR(__xludf.DUMMYFUNCTION("""COMPUTED_VALUE""")," REGIÓN DEL BIOBÍO ")</f>
        <v xml:space="preserve"> REGIÓN DEL BIOBÍO </v>
      </c>
      <c r="B79" s="16" t="str">
        <f t="shared" ca="1" si="0"/>
        <v xml:space="preserve"> SANTA JUANA</v>
      </c>
      <c r="C79" s="16" t="str">
        <f ca="1">IFERROR(__xludf.DUMMYFUNCTION("""COMPUTED_VALUE""")," ASISTENCIA TÉCNICA PROYECTOS SANITARIOS COMUNA DE SANTA JUANA” ")</f>
        <v xml:space="preserve"> ASISTENCIA TÉCNICA PROYECTOS SANITARIOS COMUNA DE SANTA JUANA” </v>
      </c>
      <c r="D79" s="40" t="str">
        <f ca="1">IFERROR(__xludf.DUMMYFUNCTION("""COMPUTED_VALUE"""),"8109221001-C")</f>
        <v>8109221001-C</v>
      </c>
      <c r="E79" s="16" t="str">
        <f ca="1">IFERROR(__xludf.DUMMYFUNCTION("""COMPUTED_VALUE""")," En Ejecución ")</f>
        <v xml:space="preserve"> En Ejecución </v>
      </c>
      <c r="F79" s="41">
        <f ca="1">IFERROR(__xludf.DUMMYFUNCTION("""COMPUTED_VALUE"""),44846)</f>
        <v>44846</v>
      </c>
      <c r="G79" s="16">
        <f ca="1">IFERROR(__xludf.DUMMYFUNCTION("""COMPUTED_VALUE"""),94900000)</f>
        <v>94900000</v>
      </c>
      <c r="H79" s="16" t="str">
        <f ca="1">IFERROR(__xludf.DUMMYFUNCTION("""COMPUTED_VALUE""")," En Ejecución ")</f>
        <v xml:space="preserve"> En Ejecución </v>
      </c>
      <c r="I79" s="16">
        <f ca="1">IFERROR(__xludf.DUMMYFUNCTION("""COMPUTED_VALUE"""),10198596)</f>
        <v>10198596</v>
      </c>
      <c r="J79" s="83" t="s">
        <v>48</v>
      </c>
      <c r="K79" s="16"/>
      <c r="L79" s="16"/>
      <c r="M79" s="16"/>
      <c r="N79" s="21">
        <f ca="1">IFERROR(__xludf.DUMMYFUNCTION("""COMPUTED_VALUE"""),10198596)</f>
        <v>10198596</v>
      </c>
      <c r="O79" s="19"/>
      <c r="P79" s="19"/>
      <c r="Q79" s="19"/>
      <c r="R79" s="19"/>
      <c r="S79" s="19"/>
      <c r="T79" s="19"/>
      <c r="U79" s="19"/>
      <c r="V79" s="19"/>
      <c r="W79" s="20">
        <f ca="1">IFERROR(__xludf.DUMMYFUNCTION("""COMPUTED_VALUE"""),10198596)</f>
        <v>10198596</v>
      </c>
      <c r="X79" s="43" t="str">
        <f ca="1">IFERROR(__xludf.DUMMYFUNCTION("""COMPUTED_VALUE"""),"MUNICIPALIDAD DE SANTA JUANA")</f>
        <v>MUNICIPALIDAD DE SANTA JUANA</v>
      </c>
    </row>
    <row r="80" spans="1:24" ht="15.75" customHeight="1" x14ac:dyDescent="0.25">
      <c r="A80" s="16" t="str">
        <f ca="1">IFERROR(__xludf.DUMMYFUNCTION("""COMPUTED_VALUE""")," REGIÓN DE LOS LAGOS ")</f>
        <v xml:space="preserve"> REGIÓN DE LOS LAGOS </v>
      </c>
      <c r="B80" s="16" t="str">
        <f t="shared" ca="1" si="0"/>
        <v xml:space="preserve"> PUERTO MONTT</v>
      </c>
      <c r="C80" s="16" t="str">
        <f ca="1">IFERROR(__xludf.DUMMYFUNCTION("""COMPUTED_VALUE""")," INSTALACION SERVICIO DE AGUA POTABLE RURAL SECTOR COLONIA EL GATO, PUERTO MONTT ")</f>
        <v xml:space="preserve"> INSTALACION SERVICIO DE AGUA POTABLE RURAL SECTOR COLONIA EL GATO, PUERTO MONTT </v>
      </c>
      <c r="D80" s="40" t="str">
        <f ca="1">IFERROR(__xludf.DUMMYFUNCTION("""COMPUTED_VALUE"""),"10101180401-C")</f>
        <v>10101180401-C</v>
      </c>
      <c r="E80" s="16" t="str">
        <f ca="1">IFERROR(__xludf.DUMMYFUNCTION("""COMPUTED_VALUE""")," En Ejecución ")</f>
        <v xml:space="preserve"> En Ejecución </v>
      </c>
      <c r="F80" s="41">
        <f ca="1">IFERROR(__xludf.DUMMYFUNCTION("""COMPUTED_VALUE"""),44257)</f>
        <v>44257</v>
      </c>
      <c r="G80" s="16">
        <f ca="1">IFERROR(__xludf.DUMMYFUNCTION("""COMPUTED_VALUE"""),38181250)</f>
        <v>38181250</v>
      </c>
      <c r="H80" s="16" t="str">
        <f ca="1">IFERROR(__xludf.DUMMYFUNCTION("""COMPUTED_VALUE""")," En Ejecución ")</f>
        <v xml:space="preserve"> En Ejecución </v>
      </c>
      <c r="I80" s="16">
        <f ca="1">IFERROR(__xludf.DUMMYFUNCTION("""COMPUTED_VALUE"""),18345625)</f>
        <v>18345625</v>
      </c>
      <c r="J80" s="83" t="s">
        <v>48</v>
      </c>
      <c r="K80" s="16"/>
      <c r="L80" s="16"/>
      <c r="M80" s="16"/>
      <c r="N80" s="21">
        <f ca="1">IFERROR(__xludf.DUMMYFUNCTION("""COMPUTED_VALUE"""),18345625)</f>
        <v>18345625</v>
      </c>
      <c r="O80" s="19"/>
      <c r="P80" s="19"/>
      <c r="Q80" s="19"/>
      <c r="R80" s="19"/>
      <c r="S80" s="19"/>
      <c r="T80" s="19"/>
      <c r="U80" s="19"/>
      <c r="V80" s="19"/>
      <c r="W80" s="20">
        <f ca="1">IFERROR(__xludf.DUMMYFUNCTION("""COMPUTED_VALUE"""),18345625)</f>
        <v>18345625</v>
      </c>
      <c r="X80" s="43" t="str">
        <f ca="1">IFERROR(__xludf.DUMMYFUNCTION("""COMPUTED_VALUE"""),"MUNICIPALIDAD DE PUERTO MONTT")</f>
        <v>MUNICIPALIDAD DE PUERTO MONTT</v>
      </c>
    </row>
    <row r="81" spans="1:24" ht="15.75" customHeight="1" x14ac:dyDescent="0.25">
      <c r="A81" s="16" t="str">
        <f ca="1">IFERROR(__xludf.DUMMYFUNCTION("""COMPUTED_VALUE""")," REGIÓN DE LOS LAGOS ")</f>
        <v xml:space="preserve"> REGIÓN DE LOS LAGOS </v>
      </c>
      <c r="B81" s="16" t="str">
        <f t="shared" ca="1" si="0"/>
        <v xml:space="preserve"> SAN PABLO</v>
      </c>
      <c r="C81" s="16" t="str">
        <f ca="1">IFERROR(__xludf.DUMMYFUNCTION("""COMPUTED_VALUE""")," ASISTENCIA TÉCNICA CONTRATACIÓN DE PROFESIONALES PARA APOYO TÉCNICO MUNICIPAL ")</f>
        <v xml:space="preserve"> ASISTENCIA TÉCNICA CONTRATACIÓN DE PROFESIONALES PARA APOYO TÉCNICO MUNICIPAL </v>
      </c>
      <c r="D81" s="40" t="str">
        <f ca="1">IFERROR(__xludf.DUMMYFUNCTION("""COMPUTED_VALUE"""),"10307211001-C")</f>
        <v>10307211001-C</v>
      </c>
      <c r="E81" s="16" t="str">
        <f ca="1">IFERROR(__xludf.DUMMYFUNCTION("""COMPUTED_VALUE""")," En Ejecución ")</f>
        <v xml:space="preserve"> En Ejecución </v>
      </c>
      <c r="F81" s="41">
        <f ca="1">IFERROR(__xludf.DUMMYFUNCTION("""COMPUTED_VALUE"""),44560)</f>
        <v>44560</v>
      </c>
      <c r="G81" s="16">
        <f ca="1">IFERROR(__xludf.DUMMYFUNCTION("""COMPUTED_VALUE"""),57600000)</f>
        <v>57600000</v>
      </c>
      <c r="H81" s="16" t="str">
        <f ca="1">IFERROR(__xludf.DUMMYFUNCTION("""COMPUTED_VALUE""")," En Ejecución ")</f>
        <v xml:space="preserve"> En Ejecución </v>
      </c>
      <c r="I81" s="16">
        <f ca="1">IFERROR(__xludf.DUMMYFUNCTION("""COMPUTED_VALUE"""),1090601)</f>
        <v>1090601</v>
      </c>
      <c r="J81" s="83" t="s">
        <v>48</v>
      </c>
      <c r="K81" s="16"/>
      <c r="L81" s="16"/>
      <c r="M81" s="16"/>
      <c r="N81" s="21">
        <f ca="1">IFERROR(__xludf.DUMMYFUNCTION("""COMPUTED_VALUE"""),1090601)</f>
        <v>1090601</v>
      </c>
      <c r="O81" s="19"/>
      <c r="P81" s="19"/>
      <c r="Q81" s="19"/>
      <c r="R81" s="19"/>
      <c r="S81" s="19"/>
      <c r="T81" s="19"/>
      <c r="U81" s="19"/>
      <c r="V81" s="19"/>
      <c r="W81" s="20">
        <f ca="1">IFERROR(__xludf.DUMMYFUNCTION("""COMPUTED_VALUE"""),1090601)</f>
        <v>1090601</v>
      </c>
      <c r="X81" s="43" t="str">
        <f ca="1">IFERROR(__xludf.DUMMYFUNCTION("""COMPUTED_VALUE"""),"MUNICIPALIDAD DE SAN PABLO")</f>
        <v>MUNICIPALIDAD DE SAN PABLO</v>
      </c>
    </row>
    <row r="82" spans="1:24" ht="15.75" customHeight="1" x14ac:dyDescent="0.25">
      <c r="A82" s="16" t="str">
        <f ca="1">IFERROR(__xludf.DUMMYFUNCTION("""COMPUTED_VALUE""")," REGIÓN DE LOS LAGOS ")</f>
        <v xml:space="preserve"> REGIÓN DE LOS LAGOS </v>
      </c>
      <c r="B82" s="16" t="str">
        <f t="shared" ca="1" si="0"/>
        <v xml:space="preserve"> FRESIA</v>
      </c>
      <c r="C82" s="16" t="str">
        <f ca="1">IFERROR(__xludf.DUMMYFUNCTION("""COMPUTED_VALUE""")," CONSTRUCCIÓN POZO PROFUNDO SECTOR SAN NICOLAS ")</f>
        <v xml:space="preserve"> CONSTRUCCIÓN POZO PROFUNDO SECTOR SAN NICOLAS </v>
      </c>
      <c r="D82" s="40" t="str">
        <f ca="1">IFERROR(__xludf.DUMMYFUNCTION("""COMPUTED_VALUE"""),"10104180701-C [FET]")</f>
        <v>10104180701-C [FET]</v>
      </c>
      <c r="E82" s="16" t="str">
        <f ca="1">IFERROR(__xludf.DUMMYFUNCTION("""COMPUTED_VALUE""")," En Ejecución ")</f>
        <v xml:space="preserve"> En Ejecución </v>
      </c>
      <c r="F82" s="41">
        <f ca="1">IFERROR(__xludf.DUMMYFUNCTION("""COMPUTED_VALUE"""),44692)</f>
        <v>44692</v>
      </c>
      <c r="G82" s="16">
        <f ca="1">IFERROR(__xludf.DUMMYFUNCTION("""COMPUTED_VALUE"""),86320614)</f>
        <v>86320614</v>
      </c>
      <c r="H82" s="16" t="str">
        <f ca="1">IFERROR(__xludf.DUMMYFUNCTION("""COMPUTED_VALUE""")," En Ejecución ")</f>
        <v xml:space="preserve"> En Ejecución </v>
      </c>
      <c r="I82" s="16">
        <f ca="1">IFERROR(__xludf.DUMMYFUNCTION("""COMPUTED_VALUE"""),80018297)</f>
        <v>80018297</v>
      </c>
      <c r="J82" s="83" t="s">
        <v>48</v>
      </c>
      <c r="K82" s="16"/>
      <c r="L82" s="16"/>
      <c r="M82" s="16"/>
      <c r="N82" s="21">
        <f ca="1">IFERROR(__xludf.DUMMYFUNCTION("""COMPUTED_VALUE"""),80018297)</f>
        <v>80018297</v>
      </c>
      <c r="O82" s="19"/>
      <c r="P82" s="19"/>
      <c r="Q82" s="19"/>
      <c r="R82" s="19"/>
      <c r="S82" s="19"/>
      <c r="T82" s="19"/>
      <c r="U82" s="19"/>
      <c r="V82" s="19"/>
      <c r="W82" s="20">
        <f ca="1">IFERROR(__xludf.DUMMYFUNCTION("""COMPUTED_VALUE"""),80018297)</f>
        <v>80018297</v>
      </c>
      <c r="X82" s="43" t="str">
        <f ca="1">IFERROR(__xludf.DUMMYFUNCTION("""COMPUTED_VALUE"""),"MUNICIPALIDAD DE FRESIA")</f>
        <v>MUNICIPALIDAD DE FRESIA</v>
      </c>
    </row>
    <row r="83" spans="1:24" ht="15.75" customHeight="1" x14ac:dyDescent="0.25">
      <c r="A83" s="16" t="str">
        <f ca="1">IFERROR(__xludf.DUMMYFUNCTION("""COMPUTED_VALUE""")," REGIÓN DE LOS LAGOS ")</f>
        <v xml:space="preserve"> REGIÓN DE LOS LAGOS </v>
      </c>
      <c r="B83" s="16" t="str">
        <f t="shared" ca="1" si="0"/>
        <v xml:space="preserve"> QUEILÉN</v>
      </c>
      <c r="C83" s="16" t="str">
        <f ca="1">IFERROR(__xludf.DUMMYFUNCTION("""COMPUTED_VALUE""")," GENERACION DE INICIATIVAS DE INVERSION EN ALCANTARILLADO E INFRAESTRUCTURA SANITARIA EN 6 LOCALIDADES DE LA COMUNA DE QUEILEN ")</f>
        <v xml:space="preserve"> GENERACION DE INICIATIVAS DE INVERSION EN ALCANTARILLADO E INFRAESTRUCTURA SANITARIA EN 6 LOCALIDADES DE LA COMUNA DE QUEILEN </v>
      </c>
      <c r="D83" s="40" t="str">
        <f ca="1">IFERROR(__xludf.DUMMYFUNCTION("""COMPUTED_VALUE"""),"10207231001-C")</f>
        <v>10207231001-C</v>
      </c>
      <c r="E83" s="16" t="str">
        <f ca="1">IFERROR(__xludf.DUMMYFUNCTION("""COMPUTED_VALUE""")," En Ejecución ")</f>
        <v xml:space="preserve"> En Ejecución </v>
      </c>
      <c r="F83" s="41">
        <f ca="1">IFERROR(__xludf.DUMMYFUNCTION("""COMPUTED_VALUE"""),44987)</f>
        <v>44987</v>
      </c>
      <c r="G83" s="16">
        <f ca="1">IFERROR(__xludf.DUMMYFUNCTION("""COMPUTED_VALUE"""),78000000)</f>
        <v>78000000</v>
      </c>
      <c r="H83" s="16" t="str">
        <f ca="1">IFERROR(__xludf.DUMMYFUNCTION("""COMPUTED_VALUE""")," En Ejecución ")</f>
        <v xml:space="preserve"> En Ejecución </v>
      </c>
      <c r="I83" s="16">
        <f ca="1">IFERROR(__xludf.DUMMYFUNCTION("""COMPUTED_VALUE"""),13030000)</f>
        <v>13030000</v>
      </c>
      <c r="J83" s="83" t="s">
        <v>48</v>
      </c>
      <c r="K83" s="16"/>
      <c r="L83" s="16"/>
      <c r="M83" s="16"/>
      <c r="N83" s="21">
        <f ca="1">IFERROR(__xludf.DUMMYFUNCTION("""COMPUTED_VALUE"""),13030000)</f>
        <v>13030000</v>
      </c>
      <c r="O83" s="19"/>
      <c r="P83" s="19"/>
      <c r="Q83" s="19"/>
      <c r="R83" s="19"/>
      <c r="S83" s="19"/>
      <c r="T83" s="19"/>
      <c r="U83" s="19"/>
      <c r="V83" s="19"/>
      <c r="W83" s="20">
        <f ca="1">IFERROR(__xludf.DUMMYFUNCTION("""COMPUTED_VALUE"""),13030000)</f>
        <v>13030000</v>
      </c>
      <c r="X83" s="43" t="str">
        <f ca="1">IFERROR(__xludf.DUMMYFUNCTION("""COMPUTED_VALUE"""),"MUNICIPALIDAD DE QUEILÉN")</f>
        <v>MUNICIPALIDAD DE QUEILÉN</v>
      </c>
    </row>
    <row r="84" spans="1:24" ht="15.75" customHeight="1" x14ac:dyDescent="0.25">
      <c r="A84" s="16" t="str">
        <f ca="1">IFERROR(__xludf.DUMMYFUNCTION("""COMPUTED_VALUE""")," REGIÓN DEL MAULE ")</f>
        <v xml:space="preserve"> REGIÓN DEL MAULE </v>
      </c>
      <c r="B84" s="16" t="str">
        <f t="shared" ca="1" si="0"/>
        <v xml:space="preserve"> PENCAHUE</v>
      </c>
      <c r="C84" s="16" t="str">
        <f ca="1">IFERROR(__xludf.DUMMYFUNCTION("""COMPUTED_VALUE""")," ASISTENCIA TECNICA EN SANEAMIENTO SANITARIO COMUNA DE PENCAHUE ")</f>
        <v xml:space="preserve"> ASISTENCIA TECNICA EN SANEAMIENTO SANITARIO COMUNA DE PENCAHUE </v>
      </c>
      <c r="D84" s="40" t="str">
        <f ca="1">IFERROR(__xludf.DUMMYFUNCTION("""COMPUTED_VALUE"""),"7107231001-C")</f>
        <v>7107231001-C</v>
      </c>
      <c r="E84" s="16" t="str">
        <f ca="1">IFERROR(__xludf.DUMMYFUNCTION("""COMPUTED_VALUE""")," En Ejecución ")</f>
        <v xml:space="preserve"> En Ejecución </v>
      </c>
      <c r="F84" s="41">
        <f ca="1">IFERROR(__xludf.DUMMYFUNCTION("""COMPUTED_VALUE"""),45064)</f>
        <v>45064</v>
      </c>
      <c r="G84" s="16">
        <f ca="1">IFERROR(__xludf.DUMMYFUNCTION("""COMPUTED_VALUE"""),70800000)</f>
        <v>70800000</v>
      </c>
      <c r="H84" s="16" t="str">
        <f ca="1">IFERROR(__xludf.DUMMYFUNCTION("""COMPUTED_VALUE""")," En Ejecución ")</f>
        <v xml:space="preserve"> En Ejecución </v>
      </c>
      <c r="I84" s="16">
        <f ca="1">IFERROR(__xludf.DUMMYFUNCTION("""COMPUTED_VALUE"""),17700000)</f>
        <v>17700000</v>
      </c>
      <c r="J84" s="83" t="s">
        <v>48</v>
      </c>
      <c r="K84" s="16"/>
      <c r="L84" s="16"/>
      <c r="M84" s="16"/>
      <c r="N84" s="21">
        <f ca="1">IFERROR(__xludf.DUMMYFUNCTION("""COMPUTED_VALUE"""),17700000)</f>
        <v>17700000</v>
      </c>
      <c r="O84" s="19"/>
      <c r="P84" s="19"/>
      <c r="Q84" s="19"/>
      <c r="R84" s="19"/>
      <c r="S84" s="19"/>
      <c r="T84" s="19"/>
      <c r="U84" s="19"/>
      <c r="V84" s="19"/>
      <c r="W84" s="20">
        <f ca="1">IFERROR(__xludf.DUMMYFUNCTION("""COMPUTED_VALUE"""),17700000)</f>
        <v>17700000</v>
      </c>
      <c r="X84" s="43" t="str">
        <f ca="1">IFERROR(__xludf.DUMMYFUNCTION("""COMPUTED_VALUE"""),"MUNICIPALIDAD DE PENCAHUE")</f>
        <v>MUNICIPALIDAD DE PENCAHUE</v>
      </c>
    </row>
    <row r="85" spans="1:24" ht="15.75" customHeight="1" x14ac:dyDescent="0.25">
      <c r="A85" s="16" t="str">
        <f ca="1">IFERROR(__xludf.DUMMYFUNCTION("""COMPUTED_VALUE""")," REGIÓN DEL MAULE ")</f>
        <v xml:space="preserve"> REGIÓN DEL MAULE </v>
      </c>
      <c r="B85" s="16" t="str">
        <f t="shared" ca="1" si="0"/>
        <v xml:space="preserve"> LINARES</v>
      </c>
      <c r="C85" s="16" t="str">
        <f ca="1">IFERROR(__xludf.DUMMYFUNCTION("""COMPUTED_VALUE""")," DISEÑO DE SOLUCIONES DE SANEAMIENTO SANITARIO PARA LOS SECTORES DE VILLA LOS ÁNGELES, VILLA 2000 Y OTROS ")</f>
        <v xml:space="preserve"> DISEÑO DE SOLUCIONES DE SANEAMIENTO SANITARIO PARA LOS SECTORES DE VILLA LOS ÁNGELES, VILLA 2000 Y OTROS </v>
      </c>
      <c r="D85" s="40" t="str">
        <f ca="1">IFERROR(__xludf.DUMMYFUNCTION("""COMPUTED_VALUE"""),"7401221004-C")</f>
        <v>7401221004-C</v>
      </c>
      <c r="E85" s="16" t="str">
        <f ca="1">IFERROR(__xludf.DUMMYFUNCTION("""COMPUTED_VALUE""")," En Ejecución ")</f>
        <v xml:space="preserve"> En Ejecución </v>
      </c>
      <c r="F85" s="41">
        <f ca="1">IFERROR(__xludf.DUMMYFUNCTION("""COMPUTED_VALUE"""),45106)</f>
        <v>45106</v>
      </c>
      <c r="G85" s="16">
        <f ca="1">IFERROR(__xludf.DUMMYFUNCTION("""COMPUTED_VALUE"""),46800000)</f>
        <v>46800000</v>
      </c>
      <c r="H85" s="16" t="str">
        <f ca="1">IFERROR(__xludf.DUMMYFUNCTION("""COMPUTED_VALUE""")," En Ejecución ")</f>
        <v xml:space="preserve"> En Ejecución </v>
      </c>
      <c r="I85" s="16">
        <f ca="1">IFERROR(__xludf.DUMMYFUNCTION("""COMPUTED_VALUE"""),11700000)</f>
        <v>11700000</v>
      </c>
      <c r="J85" s="83" t="s">
        <v>48</v>
      </c>
      <c r="K85" s="16"/>
      <c r="L85" s="16"/>
      <c r="M85" s="16"/>
      <c r="N85" s="21">
        <f ca="1">IFERROR(__xludf.DUMMYFUNCTION("""COMPUTED_VALUE"""),11700000)</f>
        <v>11700000</v>
      </c>
      <c r="O85" s="19"/>
      <c r="P85" s="19"/>
      <c r="Q85" s="19"/>
      <c r="R85" s="19"/>
      <c r="S85" s="19"/>
      <c r="T85" s="19"/>
      <c r="U85" s="19"/>
      <c r="V85" s="19"/>
      <c r="W85" s="20">
        <f ca="1">IFERROR(__xludf.DUMMYFUNCTION("""COMPUTED_VALUE"""),11700000)</f>
        <v>11700000</v>
      </c>
      <c r="X85" s="43" t="str">
        <f ca="1">IFERROR(__xludf.DUMMYFUNCTION("""COMPUTED_VALUE"""),"MUNICIPALIDAD DE LINARES")</f>
        <v>MUNICIPALIDAD DE LINARES</v>
      </c>
    </row>
    <row r="86" spans="1:24" ht="15.75" customHeight="1" x14ac:dyDescent="0.25">
      <c r="A86" s="16" t="str">
        <f ca="1">IFERROR(__xludf.DUMMYFUNCTION("""COMPUTED_VALUE""")," REGIÓN DEL MAULE ")</f>
        <v xml:space="preserve"> REGIÓN DEL MAULE </v>
      </c>
      <c r="B86" s="16" t="str">
        <f t="shared" ca="1" si="0"/>
        <v xml:space="preserve"> MAULE</v>
      </c>
      <c r="C86" s="16" t="str">
        <f ca="1">IFERROR(__xludf.DUMMYFUNCTION("""COMPUTED_VALUE""")," ASISTENCIA TÉCNICA EVALUACIÓN Y PROPUESTA DE SOLUCIÓN PLANTAS DE TRATAMIENTOS DE AGUAS SERVIDAS ")</f>
        <v xml:space="preserve"> ASISTENCIA TÉCNICA EVALUACIÓN Y PROPUESTA DE SOLUCIÓN PLANTAS DE TRATAMIENTOS DE AGUAS SERVIDAS </v>
      </c>
      <c r="D86" s="40" t="str">
        <f ca="1">IFERROR(__xludf.DUMMYFUNCTION("""COMPUTED_VALUE"""),"7105221001-C")</f>
        <v>7105221001-C</v>
      </c>
      <c r="E86" s="16" t="str">
        <f ca="1">IFERROR(__xludf.DUMMYFUNCTION("""COMPUTED_VALUE""")," En Ejecución ")</f>
        <v xml:space="preserve"> En Ejecución </v>
      </c>
      <c r="F86" s="41">
        <f ca="1">IFERROR(__xludf.DUMMYFUNCTION("""COMPUTED_VALUE"""),45222)</f>
        <v>45222</v>
      </c>
      <c r="G86" s="16">
        <f ca="1">IFERROR(__xludf.DUMMYFUNCTION("""COMPUTED_VALUE"""),66600000)</f>
        <v>66600000</v>
      </c>
      <c r="H86" s="16" t="str">
        <f ca="1">IFERROR(__xludf.DUMMYFUNCTION("""COMPUTED_VALUE""")," En Ejecución ")</f>
        <v xml:space="preserve"> En Ejecución </v>
      </c>
      <c r="I86" s="16">
        <f ca="1">IFERROR(__xludf.DUMMYFUNCTION("""COMPUTED_VALUE"""),19980000)</f>
        <v>19980000</v>
      </c>
      <c r="J86" s="83" t="s">
        <v>48</v>
      </c>
      <c r="K86" s="16"/>
      <c r="L86" s="16"/>
      <c r="M86" s="16"/>
      <c r="N86" s="21">
        <f ca="1">IFERROR(__xludf.DUMMYFUNCTION("""COMPUTED_VALUE"""),19980000)</f>
        <v>19980000</v>
      </c>
      <c r="O86" s="19"/>
      <c r="P86" s="19"/>
      <c r="Q86" s="19"/>
      <c r="R86" s="19"/>
      <c r="S86" s="19"/>
      <c r="T86" s="19"/>
      <c r="U86" s="19"/>
      <c r="V86" s="19"/>
      <c r="W86" s="20">
        <f ca="1">IFERROR(__xludf.DUMMYFUNCTION("""COMPUTED_VALUE"""),19980000)</f>
        <v>19980000</v>
      </c>
      <c r="X86" s="43" t="str">
        <f ca="1">IFERROR(__xludf.DUMMYFUNCTION("""COMPUTED_VALUE"""),"MUNICIPALIDAD DE MAULE")</f>
        <v>MUNICIPALIDAD DE MAULE</v>
      </c>
    </row>
    <row r="87" spans="1:24" ht="15.75" customHeight="1" x14ac:dyDescent="0.25">
      <c r="A87" s="16" t="str">
        <f ca="1">IFERROR(__xludf.DUMMYFUNCTION("""COMPUTED_VALUE""")," REGIÓN DEL MAULE ")</f>
        <v xml:space="preserve"> REGIÓN DEL MAULE </v>
      </c>
      <c r="B87" s="16" t="str">
        <f t="shared" ca="1" si="0"/>
        <v xml:space="preserve"> VICHUQUÉN</v>
      </c>
      <c r="C87" s="16" t="str">
        <f ca="1">IFERROR(__xludf.DUMMYFUNCTION("""COMPUTED_VALUE""")," ASISTENCIA TECNICA PARA GENERACION DE PROYECTOS DE SANEAMIENTO SANITARIO ")</f>
        <v xml:space="preserve"> ASISTENCIA TECNICA PARA GENERACION DE PROYECTOS DE SANEAMIENTO SANITARIO </v>
      </c>
      <c r="D87" s="40" t="str">
        <f ca="1">IFERROR(__xludf.DUMMYFUNCTION("""COMPUTED_VALUE"""),"7309231002-C")</f>
        <v>7309231002-C</v>
      </c>
      <c r="E87" s="16" t="str">
        <f ca="1">IFERROR(__xludf.DUMMYFUNCTION("""COMPUTED_VALUE""")," En Ejecución ")</f>
        <v xml:space="preserve"> En Ejecución </v>
      </c>
      <c r="F87" s="41">
        <f ca="1">IFERROR(__xludf.DUMMYFUNCTION("""COMPUTED_VALUE"""),45232)</f>
        <v>45232</v>
      </c>
      <c r="G87" s="16">
        <f ca="1">IFERROR(__xludf.DUMMYFUNCTION("""COMPUTED_VALUE"""),64800000)</f>
        <v>64800000</v>
      </c>
      <c r="H87" s="16" t="str">
        <f ca="1">IFERROR(__xludf.DUMMYFUNCTION("""COMPUTED_VALUE""")," En Ejecución ")</f>
        <v xml:space="preserve"> En Ejecución </v>
      </c>
      <c r="I87" s="16">
        <f ca="1">IFERROR(__xludf.DUMMYFUNCTION("""COMPUTED_VALUE"""),22680000)</f>
        <v>22680000</v>
      </c>
      <c r="J87" s="83" t="s">
        <v>48</v>
      </c>
      <c r="K87" s="16"/>
      <c r="L87" s="16"/>
      <c r="M87" s="16"/>
      <c r="N87" s="21">
        <f ca="1">IFERROR(__xludf.DUMMYFUNCTION("""COMPUTED_VALUE"""),22680000)</f>
        <v>22680000</v>
      </c>
      <c r="O87" s="19"/>
      <c r="P87" s="19"/>
      <c r="Q87" s="19"/>
      <c r="R87" s="19"/>
      <c r="S87" s="19"/>
      <c r="T87" s="19"/>
      <c r="U87" s="19"/>
      <c r="V87" s="19"/>
      <c r="W87" s="20">
        <f ca="1">IFERROR(__xludf.DUMMYFUNCTION("""COMPUTED_VALUE"""),22680000)</f>
        <v>22680000</v>
      </c>
      <c r="X87" s="43" t="str">
        <f ca="1">IFERROR(__xludf.DUMMYFUNCTION("""COMPUTED_VALUE"""),"MUNICIPALIDAD DE VICHUQUÉN")</f>
        <v>MUNICIPALIDAD DE VICHUQUÉN</v>
      </c>
    </row>
    <row r="88" spans="1:24" ht="15.75" customHeight="1" x14ac:dyDescent="0.25">
      <c r="A88" s="16" t="str">
        <f ca="1">IFERROR(__xludf.DUMMYFUNCTION("""COMPUTED_VALUE""")," REGIÓN DEL BIOBÍO ")</f>
        <v xml:space="preserve"> REGIÓN DEL BIOBÍO </v>
      </c>
      <c r="B88" s="16" t="str">
        <f t="shared" ca="1" si="0"/>
        <v xml:space="preserve"> TUCAPEL</v>
      </c>
      <c r="C88" s="16" t="str">
        <f ca="1">IFERROR(__xludf.DUMMYFUNCTION("""COMPUTED_VALUE""")," ABASTECIMIENTO DE AGUA POTABLE RURAL SECTOR EL PARRON - PONIENTE , COMUNA DE TUCAPEL ")</f>
        <v xml:space="preserve"> ABASTECIMIENTO DE AGUA POTABLE RURAL SECTOR EL PARRON - PONIENTE , COMUNA DE TUCAPEL </v>
      </c>
      <c r="D88" s="40" t="str">
        <f ca="1">IFERROR(__xludf.DUMMYFUNCTION("""COMPUTED_VALUE"""),"8312200706-C [FET]")</f>
        <v>8312200706-C [FET]</v>
      </c>
      <c r="E88" s="16" t="str">
        <f ca="1">IFERROR(__xludf.DUMMYFUNCTION("""COMPUTED_VALUE""")," En Ejecución ")</f>
        <v xml:space="preserve"> En Ejecución </v>
      </c>
      <c r="F88" s="41">
        <f ca="1">IFERROR(__xludf.DUMMYFUNCTION("""COMPUTED_VALUE"""),44322)</f>
        <v>44322</v>
      </c>
      <c r="G88" s="16">
        <f ca="1">IFERROR(__xludf.DUMMYFUNCTION("""COMPUTED_VALUE"""),77045546)</f>
        <v>77045546</v>
      </c>
      <c r="H88" s="16" t="str">
        <f ca="1">IFERROR(__xludf.DUMMYFUNCTION("""COMPUTED_VALUE""")," En Ejecución ")</f>
        <v xml:space="preserve"> En Ejecución </v>
      </c>
      <c r="I88" s="16">
        <f ca="1">IFERROR(__xludf.DUMMYFUNCTION("""COMPUTED_VALUE"""),77045546)</f>
        <v>77045546</v>
      </c>
      <c r="J88" s="83" t="s">
        <v>48</v>
      </c>
      <c r="K88" s="16"/>
      <c r="L88" s="16"/>
      <c r="M88" s="16"/>
      <c r="N88" s="21">
        <f ca="1">IFERROR(__xludf.DUMMYFUNCTION("""COMPUTED_VALUE"""),77045546)</f>
        <v>77045546</v>
      </c>
      <c r="O88" s="19"/>
      <c r="P88" s="19"/>
      <c r="Q88" s="19"/>
      <c r="R88" s="19"/>
      <c r="S88" s="19"/>
      <c r="T88" s="19"/>
      <c r="U88" s="19"/>
      <c r="V88" s="19"/>
      <c r="W88" s="20">
        <f ca="1">IFERROR(__xludf.DUMMYFUNCTION("""COMPUTED_VALUE"""),77045546)</f>
        <v>77045546</v>
      </c>
      <c r="X88" s="43" t="str">
        <f ca="1">IFERROR(__xludf.DUMMYFUNCTION("""COMPUTED_VALUE"""),"MUNICIPALIDAD DE TUCAPEL")</f>
        <v>MUNICIPALIDAD DE TUCAPEL</v>
      </c>
    </row>
    <row r="89" spans="1:24" ht="15.75" customHeight="1" x14ac:dyDescent="0.25">
      <c r="A89" s="16" t="str">
        <f ca="1">IFERROR(__xludf.DUMMYFUNCTION("""COMPUTED_VALUE""")," REGIÓN DE LOS LAGOS ")</f>
        <v xml:space="preserve"> REGIÓN DE LOS LAGOS </v>
      </c>
      <c r="B89" s="16" t="str">
        <f t="shared" ca="1" si="0"/>
        <v xml:space="preserve"> PUQUELDÓN</v>
      </c>
      <c r="C89" s="16" t="str">
        <f ca="1">IFERROR(__xludf.DUMMYFUNCTION("""COMPUTED_VALUE""")," AMPLIACION DEL SISTEMA DE AGUA POTABLE RURAL LOCALIDAD CHULCHUY, COMUNA DE PUQUELDON ")</f>
        <v xml:space="preserve"> AMPLIACION DEL SISTEMA DE AGUA POTABLE RURAL LOCALIDAD CHULCHUY, COMUNA DE PUQUELDON </v>
      </c>
      <c r="D89" s="40" t="str">
        <f ca="1">IFERROR(__xludf.DUMMYFUNCTION("""COMPUTED_VALUE"""),"10206230703-C")</f>
        <v>10206230703-C</v>
      </c>
      <c r="E89" s="16" t="str">
        <f ca="1">IFERROR(__xludf.DUMMYFUNCTION("""COMPUTED_VALUE""")," En Ejecución ")</f>
        <v xml:space="preserve"> En Ejecución </v>
      </c>
      <c r="F89" s="41">
        <f ca="1">IFERROR(__xludf.DUMMYFUNCTION("""COMPUTED_VALUE"""),45414)</f>
        <v>45414</v>
      </c>
      <c r="G89" s="16">
        <f ca="1">IFERROR(__xludf.DUMMYFUNCTION("""COMPUTED_VALUE"""),146078832)</f>
        <v>146078832</v>
      </c>
      <c r="H89" s="16" t="str">
        <f ca="1">IFERROR(__xludf.DUMMYFUNCTION("""COMPUTED_VALUE""")," En Ejecución ")</f>
        <v xml:space="preserve"> En Ejecución </v>
      </c>
      <c r="I89" s="16">
        <f ca="1">IFERROR(__xludf.DUMMYFUNCTION("""COMPUTED_VALUE"""),146078832)</f>
        <v>146078832</v>
      </c>
      <c r="J89" s="83" t="s">
        <v>48</v>
      </c>
      <c r="K89" s="16"/>
      <c r="L89" s="16"/>
      <c r="M89" s="16"/>
      <c r="N89" s="19"/>
      <c r="O89" s="21">
        <f ca="1">IFERROR(__xludf.DUMMYFUNCTION("""COMPUTED_VALUE"""),146078832)</f>
        <v>146078832</v>
      </c>
      <c r="P89" s="19"/>
      <c r="Q89" s="19"/>
      <c r="R89" s="19"/>
      <c r="S89" s="19"/>
      <c r="T89" s="19"/>
      <c r="U89" s="19"/>
      <c r="V89" s="19"/>
      <c r="W89" s="20">
        <f ca="1">IFERROR(__xludf.DUMMYFUNCTION("""COMPUTED_VALUE"""),146078832)</f>
        <v>146078832</v>
      </c>
      <c r="X89" s="43" t="str">
        <f ca="1">IFERROR(__xludf.DUMMYFUNCTION("""COMPUTED_VALUE"""),"MUNICIPALIDAD DE PUQUELDÓN")</f>
        <v>MUNICIPALIDAD DE PUQUELDÓN</v>
      </c>
    </row>
    <row r="90" spans="1:24" ht="15.75" customHeight="1" x14ac:dyDescent="0.25">
      <c r="A90" s="16" t="str">
        <f ca="1">IFERROR(__xludf.DUMMYFUNCTION("""COMPUTED_VALUE""")," REGIÓN METROPOLITANA ")</f>
        <v xml:space="preserve"> REGIÓN METROPOLITANA </v>
      </c>
      <c r="B90" s="16" t="str">
        <f t="shared" ca="1" si="0"/>
        <v xml:space="preserve"> MAIPÚ</v>
      </c>
      <c r="C90" s="16" t="str">
        <f ca="1">IFERROR(__xludf.DUMMYFUNCTION("""COMPUTED_VALUE""")," CONSTRUCCIÓN RED DE AGUA POTABLE SECTOR SANTA MARTA, MAIPÚ ")</f>
        <v xml:space="preserve"> CONSTRUCCIÓN RED DE AGUA POTABLE SECTOR SANTA MARTA, MAIPÚ </v>
      </c>
      <c r="D90" s="40" t="str">
        <f ca="1">IFERROR(__xludf.DUMMYFUNCTION("""COMPUTED_VALUE"""),"13119230701-C")</f>
        <v>13119230701-C</v>
      </c>
      <c r="E90" s="16" t="str">
        <f ca="1">IFERROR(__xludf.DUMMYFUNCTION("""COMPUTED_VALUE""")," En Ejecución ")</f>
        <v xml:space="preserve"> En Ejecución </v>
      </c>
      <c r="F90" s="41">
        <f ca="1">IFERROR(__xludf.DUMMYFUNCTION("""COMPUTED_VALUE"""),45407)</f>
        <v>45407</v>
      </c>
      <c r="G90" s="16">
        <f ca="1">IFERROR(__xludf.DUMMYFUNCTION("""COMPUTED_VALUE"""),124957575)</f>
        <v>124957575</v>
      </c>
      <c r="H90" s="16" t="str">
        <f ca="1">IFERROR(__xludf.DUMMYFUNCTION("""COMPUTED_VALUE""")," En Ejecución ")</f>
        <v xml:space="preserve"> En Ejecución </v>
      </c>
      <c r="I90" s="16">
        <f ca="1">IFERROR(__xludf.DUMMYFUNCTION("""COMPUTED_VALUE"""),124957575)</f>
        <v>124957575</v>
      </c>
      <c r="J90" s="83" t="s">
        <v>48</v>
      </c>
      <c r="K90" s="16"/>
      <c r="L90" s="16"/>
      <c r="M90" s="16"/>
      <c r="N90" s="19"/>
      <c r="O90" s="21">
        <f ca="1">IFERROR(__xludf.DUMMYFUNCTION("""COMPUTED_VALUE"""),124957575)</f>
        <v>124957575</v>
      </c>
      <c r="P90" s="19"/>
      <c r="Q90" s="19"/>
      <c r="R90" s="19"/>
      <c r="S90" s="19"/>
      <c r="T90" s="19"/>
      <c r="U90" s="19"/>
      <c r="V90" s="19"/>
      <c r="W90" s="20">
        <f ca="1">IFERROR(__xludf.DUMMYFUNCTION("""COMPUTED_VALUE"""),124957575)</f>
        <v>124957575</v>
      </c>
      <c r="X90" s="43" t="str">
        <f ca="1">IFERROR(__xludf.DUMMYFUNCTION("""COMPUTED_VALUE"""),"MUNICIPALIDAD DE MAIPÚ")</f>
        <v>MUNICIPALIDAD DE MAIPÚ</v>
      </c>
    </row>
    <row r="91" spans="1:24" ht="15.75" customHeight="1" x14ac:dyDescent="0.25">
      <c r="A91" s="16" t="str">
        <f ca="1">IFERROR(__xludf.DUMMYFUNCTION("""COMPUTED_VALUE""")," REGIÓN METROPOLITANA ")</f>
        <v xml:space="preserve"> REGIÓN METROPOLITANA </v>
      </c>
      <c r="B91" s="16" t="str">
        <f t="shared" ca="1" si="0"/>
        <v xml:space="preserve"> LA CISTERNA</v>
      </c>
      <c r="C91" s="16" t="str">
        <f ca="1">IFERROR(__xludf.DUMMYFUNCTION("""COMPUTED_VALUE""")," [SATE] INSTALACION DE AGUA POTABLE Y ALCANTARILLADO PARA DISTINTAS PROPIEDADES SIN SERVICIO SANITARIO, COMUNA DE LA CISTERNA ")</f>
        <v xml:space="preserve"> [SATE] INSTALACION DE AGUA POTABLE Y ALCANTARILLADO PARA DISTINTAS PROPIEDADES SIN SERVICIO SANITARIO, COMUNA DE LA CISTERNA </v>
      </c>
      <c r="D91" s="40" t="str">
        <f ca="1">IFERROR(__xludf.DUMMYFUNCTION("""COMPUTED_VALUE"""),"13109230701-C")</f>
        <v>13109230701-C</v>
      </c>
      <c r="E91" s="16" t="str">
        <f ca="1">IFERROR(__xludf.DUMMYFUNCTION("""COMPUTED_VALUE""")," En Ejecución ")</f>
        <v xml:space="preserve"> En Ejecución </v>
      </c>
      <c r="F91" s="41">
        <f ca="1">IFERROR(__xludf.DUMMYFUNCTION("""COMPUTED_VALUE"""),45407)</f>
        <v>45407</v>
      </c>
      <c r="G91" s="16">
        <f ca="1">IFERROR(__xludf.DUMMYFUNCTION("""COMPUTED_VALUE"""),195631485)</f>
        <v>195631485</v>
      </c>
      <c r="H91" s="16" t="str">
        <f ca="1">IFERROR(__xludf.DUMMYFUNCTION("""COMPUTED_VALUE""")," En Ejecución ")</f>
        <v xml:space="preserve"> En Ejecución </v>
      </c>
      <c r="I91" s="16">
        <f ca="1">IFERROR(__xludf.DUMMYFUNCTION("""COMPUTED_VALUE"""),195631485)</f>
        <v>195631485</v>
      </c>
      <c r="J91" s="83" t="s">
        <v>48</v>
      </c>
      <c r="K91" s="16"/>
      <c r="L91" s="16"/>
      <c r="M91" s="16"/>
      <c r="N91" s="19"/>
      <c r="O91" s="21">
        <f ca="1">IFERROR(__xludf.DUMMYFUNCTION("""COMPUTED_VALUE"""),195631485)</f>
        <v>195631485</v>
      </c>
      <c r="P91" s="19"/>
      <c r="Q91" s="19"/>
      <c r="R91" s="19"/>
      <c r="S91" s="19"/>
      <c r="T91" s="19"/>
      <c r="U91" s="19"/>
      <c r="V91" s="19"/>
      <c r="W91" s="20">
        <f ca="1">IFERROR(__xludf.DUMMYFUNCTION("""COMPUTED_VALUE"""),195631485)</f>
        <v>195631485</v>
      </c>
      <c r="X91" s="43" t="str">
        <f ca="1">IFERROR(__xludf.DUMMYFUNCTION("""COMPUTED_VALUE"""),"MUNICIPALIDAD DE LA CISTERNA")</f>
        <v>MUNICIPALIDAD DE LA CISTERNA</v>
      </c>
    </row>
    <row r="92" spans="1:24" ht="15.75" customHeight="1" x14ac:dyDescent="0.25">
      <c r="A92" s="16" t="str">
        <f ca="1">IFERROR(__xludf.DUMMYFUNCTION("""COMPUTED_VALUE""")," REGIÓN DE LOS RÍOS ")</f>
        <v xml:space="preserve"> REGIÓN DE LOS RÍOS </v>
      </c>
      <c r="B92" s="16" t="str">
        <f t="shared" ca="1" si="0"/>
        <v xml:space="preserve"> LOS LAGOS</v>
      </c>
      <c r="C92" s="16" t="str">
        <f ca="1">IFERROR(__xludf.DUMMYFUNCTION("""COMPUTED_VALUE""")," ASISTENCIA LEGAL PARA PROYECTOS CON FINANCIAMIENTO SUBDERE COMUNA DE LOS LAGOS ")</f>
        <v xml:space="preserve"> ASISTENCIA LEGAL PARA PROYECTOS CON FINANCIAMIENTO SUBDERE COMUNA DE LOS LAGOS </v>
      </c>
      <c r="D92" s="40" t="str">
        <f ca="1">IFERROR(__xludf.DUMMYFUNCTION("""COMPUTED_VALUE"""),"14104230601-C")</f>
        <v>14104230601-C</v>
      </c>
      <c r="E92" s="16" t="str">
        <f ca="1">IFERROR(__xludf.DUMMYFUNCTION("""COMPUTED_VALUE""")," En Ejecución ")</f>
        <v xml:space="preserve"> En Ejecución </v>
      </c>
      <c r="F92" s="41">
        <f ca="1">IFERROR(__xludf.DUMMYFUNCTION("""COMPUTED_VALUE"""),45420)</f>
        <v>45420</v>
      </c>
      <c r="G92" s="16">
        <f ca="1">IFERROR(__xludf.DUMMYFUNCTION("""COMPUTED_VALUE"""),18000000)</f>
        <v>18000000</v>
      </c>
      <c r="H92" s="16" t="str">
        <f ca="1">IFERROR(__xludf.DUMMYFUNCTION("""COMPUTED_VALUE""")," En Ejecución ")</f>
        <v xml:space="preserve"> En Ejecución </v>
      </c>
      <c r="I92" s="16">
        <f ca="1">IFERROR(__xludf.DUMMYFUNCTION("""COMPUTED_VALUE"""),18000000)</f>
        <v>18000000</v>
      </c>
      <c r="J92" s="83" t="s">
        <v>48</v>
      </c>
      <c r="K92" s="16"/>
      <c r="L92" s="16"/>
      <c r="M92" s="16"/>
      <c r="N92" s="19"/>
      <c r="O92" s="21">
        <f ca="1">IFERROR(__xludf.DUMMYFUNCTION("""COMPUTED_VALUE"""),18000000)</f>
        <v>18000000</v>
      </c>
      <c r="P92" s="19"/>
      <c r="Q92" s="19"/>
      <c r="R92" s="19"/>
      <c r="S92" s="19"/>
      <c r="T92" s="19"/>
      <c r="U92" s="19"/>
      <c r="V92" s="19"/>
      <c r="W92" s="20">
        <f ca="1">IFERROR(__xludf.DUMMYFUNCTION("""COMPUTED_VALUE"""),18000000)</f>
        <v>18000000</v>
      </c>
      <c r="X92" s="43" t="str">
        <f ca="1">IFERROR(__xludf.DUMMYFUNCTION("""COMPUTED_VALUE"""),"MUNICIPALIDAD DE LOS LAGOS")</f>
        <v>MUNICIPALIDAD DE LOS LAGOS</v>
      </c>
    </row>
    <row r="93" spans="1:24" ht="15.75" customHeight="1" x14ac:dyDescent="0.25">
      <c r="A93" s="16" t="str">
        <f ca="1">IFERROR(__xludf.DUMMYFUNCTION("""COMPUTED_VALUE""")," REGIÓN DE LOS LAGOS ")</f>
        <v xml:space="preserve"> REGIÓN DE LOS LAGOS </v>
      </c>
      <c r="B93" s="16" t="str">
        <f t="shared" ca="1" si="0"/>
        <v xml:space="preserve"> QUELLÓN</v>
      </c>
      <c r="C93" s="16" t="str">
        <f ca="1">IFERROR(__xludf.DUMMYFUNCTION("""COMPUTED_VALUE""")," (SATE) PROGRAMA PILOTO COMPOSTAJE DOMICILIARIO COMUNA DE QUELLÓN ")</f>
        <v xml:space="preserve"> (SATE) PROGRAMA PILOTO COMPOSTAJE DOMICILIARIO COMUNA DE QUELLÓN </v>
      </c>
      <c r="D93" s="40" t="str">
        <f ca="1">IFERROR(__xludf.DUMMYFUNCTION("""COMPUTED_VALUE"""),"10208221501-C")</f>
        <v>10208221501-C</v>
      </c>
      <c r="E93" s="16" t="str">
        <f ca="1">IFERROR(__xludf.DUMMYFUNCTION("""COMPUTED_VALUE""")," En Ejecución ")</f>
        <v xml:space="preserve"> En Ejecución </v>
      </c>
      <c r="F93" s="41">
        <f ca="1">IFERROR(__xludf.DUMMYFUNCTION("""COMPUTED_VALUE"""),45422)</f>
        <v>45422</v>
      </c>
      <c r="G93" s="16">
        <f ca="1">IFERROR(__xludf.DUMMYFUNCTION("""COMPUTED_VALUE"""),239785000)</f>
        <v>239785000</v>
      </c>
      <c r="H93" s="16" t="str">
        <f ca="1">IFERROR(__xludf.DUMMYFUNCTION("""COMPUTED_VALUE""")," En Ejecución ")</f>
        <v xml:space="preserve"> En Ejecución </v>
      </c>
      <c r="I93" s="16">
        <f ca="1">IFERROR(__xludf.DUMMYFUNCTION("""COMPUTED_VALUE"""),239785000)</f>
        <v>239785000</v>
      </c>
      <c r="J93" s="83" t="s">
        <v>48</v>
      </c>
      <c r="K93" s="16"/>
      <c r="L93" s="16"/>
      <c r="M93" s="16"/>
      <c r="N93" s="19"/>
      <c r="O93" s="21">
        <f ca="1">IFERROR(__xludf.DUMMYFUNCTION("""COMPUTED_VALUE"""),239785000)</f>
        <v>239785000</v>
      </c>
      <c r="P93" s="19"/>
      <c r="Q93" s="19"/>
      <c r="R93" s="19"/>
      <c r="S93" s="19"/>
      <c r="T93" s="19"/>
      <c r="U93" s="19"/>
      <c r="V93" s="19"/>
      <c r="W93" s="20">
        <f ca="1">IFERROR(__xludf.DUMMYFUNCTION("""COMPUTED_VALUE"""),239785000)</f>
        <v>239785000</v>
      </c>
      <c r="X93" s="43" t="str">
        <f ca="1">IFERROR(__xludf.DUMMYFUNCTION("""COMPUTED_VALUE"""),"MUNICIPALIDAD DE QUELLÓN")</f>
        <v>MUNICIPALIDAD DE QUELLÓN</v>
      </c>
    </row>
    <row r="94" spans="1:24" ht="15.75" customHeight="1" x14ac:dyDescent="0.25">
      <c r="A94" s="16" t="str">
        <f ca="1">IFERROR(__xludf.DUMMYFUNCTION("""COMPUTED_VALUE""")," REGIÓN DE LOS LAGOS ")</f>
        <v xml:space="preserve"> REGIÓN DE LOS LAGOS </v>
      </c>
      <c r="B94" s="16" t="str">
        <f t="shared" ca="1" si="0"/>
        <v xml:space="preserve"> PURRANQUE</v>
      </c>
      <c r="C94" s="16" t="str">
        <f ca="1">IFERROR(__xludf.DUMMYFUNCTION("""COMPUTED_VALUE""")," ASISTENCIA TÉCNICA PARA GENERACIÓN DE PROYECTOS DE SANEAMIENTO SANITARIO, PURRANQUE ")</f>
        <v xml:space="preserve"> ASISTENCIA TÉCNICA PARA GENERACIÓN DE PROYECTOS DE SANEAMIENTO SANITARIO, PURRANQUE </v>
      </c>
      <c r="D94" s="40" t="str">
        <f ca="1">IFERROR(__xludf.DUMMYFUNCTION("""COMPUTED_VALUE"""),"10303231001-C")</f>
        <v>10303231001-C</v>
      </c>
      <c r="E94" s="16" t="str">
        <f ca="1">IFERROR(__xludf.DUMMYFUNCTION("""COMPUTED_VALUE""")," En Ejecución ")</f>
        <v xml:space="preserve"> En Ejecución </v>
      </c>
      <c r="F94" s="41">
        <f ca="1">IFERROR(__xludf.DUMMYFUNCTION("""COMPUTED_VALUE"""),45429)</f>
        <v>45429</v>
      </c>
      <c r="G94" s="16">
        <f ca="1">IFERROR(__xludf.DUMMYFUNCTION("""COMPUTED_VALUE"""),54600000)</f>
        <v>54600000</v>
      </c>
      <c r="H94" s="16" t="str">
        <f ca="1">IFERROR(__xludf.DUMMYFUNCTION("""COMPUTED_VALUE""")," En Ejecución ")</f>
        <v xml:space="preserve"> En Ejecución </v>
      </c>
      <c r="I94" s="16">
        <f ca="1">IFERROR(__xludf.DUMMYFUNCTION("""COMPUTED_VALUE"""),54600000)</f>
        <v>54600000</v>
      </c>
      <c r="J94" s="83" t="s">
        <v>48</v>
      </c>
      <c r="K94" s="16"/>
      <c r="L94" s="16"/>
      <c r="M94" s="16"/>
      <c r="N94" s="19"/>
      <c r="O94" s="21">
        <f ca="1">IFERROR(__xludf.DUMMYFUNCTION("""COMPUTED_VALUE"""),54600000)</f>
        <v>54600000</v>
      </c>
      <c r="P94" s="19"/>
      <c r="Q94" s="19"/>
      <c r="R94" s="19"/>
      <c r="S94" s="19"/>
      <c r="T94" s="19"/>
      <c r="U94" s="19"/>
      <c r="V94" s="19"/>
      <c r="W94" s="20">
        <f ca="1">IFERROR(__xludf.DUMMYFUNCTION("""COMPUTED_VALUE"""),54600000)</f>
        <v>54600000</v>
      </c>
      <c r="X94" s="43" t="str">
        <f ca="1">IFERROR(__xludf.DUMMYFUNCTION("""COMPUTED_VALUE"""),"MUNICIPALIDAD DE PURRANQUE")</f>
        <v>MUNICIPALIDAD DE PURRANQUE</v>
      </c>
    </row>
    <row r="95" spans="1:24" ht="15.75" customHeight="1" x14ac:dyDescent="0.25">
      <c r="A95" s="16" t="str">
        <f ca="1">IFERROR(__xludf.DUMMYFUNCTION("""COMPUTED_VALUE""")," REGIÓN DE LOS LAGOS ")</f>
        <v xml:space="preserve"> REGIÓN DE LOS LAGOS </v>
      </c>
      <c r="B95" s="16" t="str">
        <f t="shared" ca="1" si="0"/>
        <v xml:space="preserve"> PUQUELDÓN</v>
      </c>
      <c r="C95" s="16" t="str">
        <f ca="1">IFERROR(__xludf.DUMMYFUNCTION("""COMPUTED_VALUE""")," ASISTENCIA TÉCNICA PARA LA GESTIÓN DE RESIDUOS SÓLIDOS COMUNA DE PUQUELDÓN ")</f>
        <v xml:space="preserve"> ASISTENCIA TÉCNICA PARA LA GESTIÓN DE RESIDUOS SÓLIDOS COMUNA DE PUQUELDÓN </v>
      </c>
      <c r="D95" s="40" t="str">
        <f ca="1">IFERROR(__xludf.DUMMYFUNCTION("""COMPUTED_VALUE"""),"10206231002-C")</f>
        <v>10206231002-C</v>
      </c>
      <c r="E95" s="16" t="str">
        <f ca="1">IFERROR(__xludf.DUMMYFUNCTION("""COMPUTED_VALUE""")," En Ejecución ")</f>
        <v xml:space="preserve"> En Ejecución </v>
      </c>
      <c r="F95" s="41">
        <f ca="1">IFERROR(__xludf.DUMMYFUNCTION("""COMPUTED_VALUE"""),45414)</f>
        <v>45414</v>
      </c>
      <c r="G95" s="16">
        <f ca="1">IFERROR(__xludf.DUMMYFUNCTION("""COMPUTED_VALUE"""),22800000)</f>
        <v>22800000</v>
      </c>
      <c r="H95" s="16" t="str">
        <f ca="1">IFERROR(__xludf.DUMMYFUNCTION("""COMPUTED_VALUE""")," En Ejecución ")</f>
        <v xml:space="preserve"> En Ejecución </v>
      </c>
      <c r="I95" s="16">
        <f ca="1">IFERROR(__xludf.DUMMYFUNCTION("""COMPUTED_VALUE"""),22800000)</f>
        <v>22800000</v>
      </c>
      <c r="J95" s="83" t="s">
        <v>48</v>
      </c>
      <c r="K95" s="16"/>
      <c r="L95" s="16"/>
      <c r="M95" s="16"/>
      <c r="N95" s="19"/>
      <c r="O95" s="21">
        <f ca="1">IFERROR(__xludf.DUMMYFUNCTION("""COMPUTED_VALUE"""),22800000)</f>
        <v>22800000</v>
      </c>
      <c r="P95" s="19"/>
      <c r="Q95" s="19"/>
      <c r="R95" s="19"/>
      <c r="S95" s="19"/>
      <c r="T95" s="19"/>
      <c r="U95" s="19"/>
      <c r="V95" s="19"/>
      <c r="W95" s="20">
        <f ca="1">IFERROR(__xludf.DUMMYFUNCTION("""COMPUTED_VALUE"""),22800000)</f>
        <v>22800000</v>
      </c>
      <c r="X95" s="43" t="str">
        <f ca="1">IFERROR(__xludf.DUMMYFUNCTION("""COMPUTED_VALUE"""),"MUNICIPALIDAD DE PUQUELDÓN")</f>
        <v>MUNICIPALIDAD DE PUQUELDÓN</v>
      </c>
    </row>
    <row r="96" spans="1:24" ht="15.75" customHeight="1" x14ac:dyDescent="0.25">
      <c r="A96" s="16" t="str">
        <f ca="1">IFERROR(__xludf.DUMMYFUNCTION("""COMPUTED_VALUE""")," REGIÓN DE LOS RÍOS ")</f>
        <v xml:space="preserve"> REGIÓN DE LOS RÍOS </v>
      </c>
      <c r="B96" s="16" t="str">
        <f t="shared" ca="1" si="0"/>
        <v xml:space="preserve"> CORRAL</v>
      </c>
      <c r="C96" s="16" t="str">
        <f ca="1">IFERROR(__xludf.DUMMYFUNCTION("""COMPUTED_VALUE""")," ASISTENCIA TECNICA PROFESIONAL PARA PROYECTOS DE RESIDUOS SOLIDOS. ")</f>
        <v xml:space="preserve"> ASISTENCIA TECNICA PROFESIONAL PARA PROYECTOS DE RESIDUOS SOLIDOS. </v>
      </c>
      <c r="D96" s="40" t="str">
        <f ca="1">IFERROR(__xludf.DUMMYFUNCTION("""COMPUTED_VALUE"""),"14102231001-C")</f>
        <v>14102231001-C</v>
      </c>
      <c r="E96" s="16" t="str">
        <f ca="1">IFERROR(__xludf.DUMMYFUNCTION("""COMPUTED_VALUE""")," En Ejecución ")</f>
        <v xml:space="preserve"> En Ejecución </v>
      </c>
      <c r="F96" s="41">
        <f ca="1">IFERROR(__xludf.DUMMYFUNCTION("""COMPUTED_VALUE"""),45422)</f>
        <v>45422</v>
      </c>
      <c r="G96" s="16">
        <f ca="1">IFERROR(__xludf.DUMMYFUNCTION("""COMPUTED_VALUE"""),24684000)</f>
        <v>24684000</v>
      </c>
      <c r="H96" s="16" t="str">
        <f ca="1">IFERROR(__xludf.DUMMYFUNCTION("""COMPUTED_VALUE""")," En Ejecución ")</f>
        <v xml:space="preserve"> En Ejecución </v>
      </c>
      <c r="I96" s="16">
        <f ca="1">IFERROR(__xludf.DUMMYFUNCTION("""COMPUTED_VALUE"""),24684000)</f>
        <v>24684000</v>
      </c>
      <c r="J96" s="83" t="s">
        <v>48</v>
      </c>
      <c r="K96" s="16"/>
      <c r="L96" s="16"/>
      <c r="M96" s="16"/>
      <c r="N96" s="19"/>
      <c r="O96" s="21">
        <f ca="1">IFERROR(__xludf.DUMMYFUNCTION("""COMPUTED_VALUE"""),24684000)</f>
        <v>24684000</v>
      </c>
      <c r="P96" s="19"/>
      <c r="Q96" s="19"/>
      <c r="R96" s="19"/>
      <c r="S96" s="19"/>
      <c r="T96" s="19"/>
      <c r="U96" s="19"/>
      <c r="V96" s="19"/>
      <c r="W96" s="20">
        <f ca="1">IFERROR(__xludf.DUMMYFUNCTION("""COMPUTED_VALUE"""),24684000)</f>
        <v>24684000</v>
      </c>
      <c r="X96" s="43" t="str">
        <f ca="1">IFERROR(__xludf.DUMMYFUNCTION("""COMPUTED_VALUE"""),"MUNICIPALIDAD DE CORRAL")</f>
        <v>MUNICIPALIDAD DE CORRAL</v>
      </c>
    </row>
    <row r="97" spans="1:24" ht="15.75" customHeight="1" x14ac:dyDescent="0.25">
      <c r="A97" s="16" t="str">
        <f ca="1">IFERROR(__xludf.DUMMYFUNCTION("""COMPUTED_VALUE""")," REGIÓN DEL BIOBÍO ")</f>
        <v xml:space="preserve"> REGIÓN DEL BIOBÍO </v>
      </c>
      <c r="B97" s="16" t="str">
        <f t="shared" ca="1" si="0"/>
        <v xml:space="preserve"> CONTULMO</v>
      </c>
      <c r="C97" s="16" t="str">
        <f ca="1">IFERROR(__xludf.DUMMYFUNCTION("""COMPUTED_VALUE""")," ASISTENCIA LEGAL PARA POSTULACION PROYECTOS PMB, CONTULMO ")</f>
        <v xml:space="preserve"> ASISTENCIA LEGAL PARA POSTULACION PROYECTOS PMB, CONTULMO </v>
      </c>
      <c r="D97" s="40" t="str">
        <f ca="1">IFERROR(__xludf.DUMMYFUNCTION("""COMPUTED_VALUE"""),"8204230601-C")</f>
        <v>8204230601-C</v>
      </c>
      <c r="E97" s="16" t="str">
        <f ca="1">IFERROR(__xludf.DUMMYFUNCTION("""COMPUTED_VALUE""")," En Ejecución ")</f>
        <v xml:space="preserve"> En Ejecución </v>
      </c>
      <c r="F97" s="41">
        <f ca="1">IFERROR(__xludf.DUMMYFUNCTION("""COMPUTED_VALUE"""),45422)</f>
        <v>45422</v>
      </c>
      <c r="G97" s="16">
        <f ca="1">IFERROR(__xludf.DUMMYFUNCTION("""COMPUTED_VALUE"""),20400000)</f>
        <v>20400000</v>
      </c>
      <c r="H97" s="16" t="str">
        <f ca="1">IFERROR(__xludf.DUMMYFUNCTION("""COMPUTED_VALUE""")," En Ejecución ")</f>
        <v xml:space="preserve"> En Ejecución </v>
      </c>
      <c r="I97" s="16">
        <f ca="1">IFERROR(__xludf.DUMMYFUNCTION("""COMPUTED_VALUE"""),20400000)</f>
        <v>20400000</v>
      </c>
      <c r="J97" s="83" t="s">
        <v>48</v>
      </c>
      <c r="K97" s="16"/>
      <c r="L97" s="16"/>
      <c r="M97" s="16"/>
      <c r="N97" s="19"/>
      <c r="O97" s="21">
        <f ca="1">IFERROR(__xludf.DUMMYFUNCTION("""COMPUTED_VALUE"""),20400000)</f>
        <v>20400000</v>
      </c>
      <c r="P97" s="19"/>
      <c r="Q97" s="19"/>
      <c r="R97" s="19"/>
      <c r="S97" s="19"/>
      <c r="T97" s="19"/>
      <c r="U97" s="19"/>
      <c r="V97" s="19"/>
      <c r="W97" s="20">
        <f ca="1">IFERROR(__xludf.DUMMYFUNCTION("""COMPUTED_VALUE"""),20400000)</f>
        <v>20400000</v>
      </c>
      <c r="X97" s="43" t="str">
        <f ca="1">IFERROR(__xludf.DUMMYFUNCTION("""COMPUTED_VALUE"""),"MUNICIPALIDAD DE CONTULMO")</f>
        <v>MUNICIPALIDAD DE CONTULMO</v>
      </c>
    </row>
    <row r="98" spans="1:24" ht="15.75" customHeight="1" x14ac:dyDescent="0.25">
      <c r="A98" s="16" t="str">
        <f ca="1">IFERROR(__xludf.DUMMYFUNCTION("""COMPUTED_VALUE""")," REGIÓN DEL BIOBÍO ")</f>
        <v xml:space="preserve"> REGIÓN DEL BIOBÍO </v>
      </c>
      <c r="B98" s="16" t="str">
        <f t="shared" ca="1" si="0"/>
        <v xml:space="preserve"> CURANILAHUE</v>
      </c>
      <c r="C98" s="16" t="str">
        <f ca="1">IFERROR(__xludf.DUMMYFUNCTION("""COMPUTED_VALUE""")," ASIST. TÉCNICA PARA LA GENERACIÓN DE PROYECTOS SUBDERE DE INFRAESTRUCTURA MENOR URBANA Y EQUIPAMIENTO COMUNAL ")</f>
        <v xml:space="preserve"> ASIST. TÉCNICA PARA LA GENERACIÓN DE PROYECTOS SUBDERE DE INFRAESTRUCTURA MENOR URBANA Y EQUIPAMIENTO COMUNAL </v>
      </c>
      <c r="D98" s="40" t="str">
        <f ca="1">IFERROR(__xludf.DUMMYFUNCTION("""COMPUTED_VALUE"""),"8205231001-C")</f>
        <v>8205231001-C</v>
      </c>
      <c r="E98" s="16" t="str">
        <f ca="1">IFERROR(__xludf.DUMMYFUNCTION("""COMPUTED_VALUE""")," En Ejecución ")</f>
        <v xml:space="preserve"> En Ejecución </v>
      </c>
      <c r="F98" s="41">
        <f ca="1">IFERROR(__xludf.DUMMYFUNCTION("""COMPUTED_VALUE"""),45427)</f>
        <v>45427</v>
      </c>
      <c r="G98" s="16">
        <f ca="1">IFERROR(__xludf.DUMMYFUNCTION("""COMPUTED_VALUE"""),69600000)</f>
        <v>69600000</v>
      </c>
      <c r="H98" s="16" t="str">
        <f ca="1">IFERROR(__xludf.DUMMYFUNCTION("""COMPUTED_VALUE""")," En Ejecución ")</f>
        <v xml:space="preserve"> En Ejecución </v>
      </c>
      <c r="I98" s="16">
        <f ca="1">IFERROR(__xludf.DUMMYFUNCTION("""COMPUTED_VALUE"""),69600000)</f>
        <v>69600000</v>
      </c>
      <c r="J98" s="83" t="s">
        <v>48</v>
      </c>
      <c r="K98" s="16"/>
      <c r="L98" s="16"/>
      <c r="M98" s="16"/>
      <c r="N98" s="19"/>
      <c r="O98" s="21">
        <f ca="1">IFERROR(__xludf.DUMMYFUNCTION("""COMPUTED_VALUE"""),69600000)</f>
        <v>69600000</v>
      </c>
      <c r="P98" s="19"/>
      <c r="Q98" s="19"/>
      <c r="R98" s="19"/>
      <c r="S98" s="19"/>
      <c r="T98" s="19"/>
      <c r="U98" s="19"/>
      <c r="V98" s="19"/>
      <c r="W98" s="20">
        <f ca="1">IFERROR(__xludf.DUMMYFUNCTION("""COMPUTED_VALUE"""),69600000)</f>
        <v>69600000</v>
      </c>
      <c r="X98" s="43" t="str">
        <f ca="1">IFERROR(__xludf.DUMMYFUNCTION("""COMPUTED_VALUE"""),"MUNICIPALIDAD DE CURANILAHUE")</f>
        <v>MUNICIPALIDAD DE CURANILAHUE</v>
      </c>
    </row>
    <row r="99" spans="1:24" ht="15.75" customHeight="1" x14ac:dyDescent="0.25">
      <c r="A99" s="16" t="str">
        <f ca="1">IFERROR(__xludf.DUMMYFUNCTION("""COMPUTED_VALUE""")," REGIÓN DEL BIOBÍO ")</f>
        <v xml:space="preserve"> REGIÓN DEL BIOBÍO </v>
      </c>
      <c r="B99" s="16" t="str">
        <f t="shared" ca="1" si="0"/>
        <v xml:space="preserve"> CURANILAHUE</v>
      </c>
      <c r="C99" s="16" t="str">
        <f ca="1">IFERROR(__xludf.DUMMYFUNCTION("""COMPUTED_VALUE""")," ASISTENCIA TÉCNICA PARA PROYECTOS DE SANEAMIENTO SANITARIO EN CALLE LIENTUR Y PASAJES LOS LAURELES B Y LOS ACACIOS ")</f>
        <v xml:space="preserve"> ASISTENCIA TÉCNICA PARA PROYECTOS DE SANEAMIENTO SANITARIO EN CALLE LIENTUR Y PASAJES LOS LAURELES B Y LOS ACACIOS </v>
      </c>
      <c r="D99" s="40" t="str">
        <f ca="1">IFERROR(__xludf.DUMMYFUNCTION("""COMPUTED_VALUE"""),"8205241002-C")</f>
        <v>8205241002-C</v>
      </c>
      <c r="E99" s="16" t="str">
        <f ca="1">IFERROR(__xludf.DUMMYFUNCTION("""COMPUTED_VALUE""")," En Ejecución ")</f>
        <v xml:space="preserve"> En Ejecución </v>
      </c>
      <c r="F99" s="41">
        <f ca="1">IFERROR(__xludf.DUMMYFUNCTION("""COMPUTED_VALUE"""),45427)</f>
        <v>45427</v>
      </c>
      <c r="G99" s="16">
        <f ca="1">IFERROR(__xludf.DUMMYFUNCTION("""COMPUTED_VALUE"""),76800000)</f>
        <v>76800000</v>
      </c>
      <c r="H99" s="16" t="str">
        <f ca="1">IFERROR(__xludf.DUMMYFUNCTION("""COMPUTED_VALUE""")," En Ejecución ")</f>
        <v xml:space="preserve"> En Ejecución </v>
      </c>
      <c r="I99" s="16">
        <f ca="1">IFERROR(__xludf.DUMMYFUNCTION("""COMPUTED_VALUE"""),76800000)</f>
        <v>76800000</v>
      </c>
      <c r="J99" s="83" t="s">
        <v>48</v>
      </c>
      <c r="K99" s="16"/>
      <c r="L99" s="16"/>
      <c r="M99" s="16"/>
      <c r="N99" s="19"/>
      <c r="O99" s="21">
        <f ca="1">IFERROR(__xludf.DUMMYFUNCTION("""COMPUTED_VALUE"""),76800000)</f>
        <v>76800000</v>
      </c>
      <c r="P99" s="19"/>
      <c r="Q99" s="19"/>
      <c r="R99" s="19"/>
      <c r="S99" s="19"/>
      <c r="T99" s="19"/>
      <c r="U99" s="19"/>
      <c r="V99" s="19"/>
      <c r="W99" s="20">
        <f ca="1">IFERROR(__xludf.DUMMYFUNCTION("""COMPUTED_VALUE"""),76800000)</f>
        <v>76800000</v>
      </c>
      <c r="X99" s="43" t="str">
        <f ca="1">IFERROR(__xludf.DUMMYFUNCTION("""COMPUTED_VALUE"""),"MUNICIPALIDAD DE CURANILAHUE")</f>
        <v>MUNICIPALIDAD DE CURANILAHUE</v>
      </c>
    </row>
    <row r="100" spans="1:24" ht="15.75" customHeight="1" x14ac:dyDescent="0.25">
      <c r="A100" s="16" t="str">
        <f ca="1">IFERROR(__xludf.DUMMYFUNCTION("""COMPUTED_VALUE""")," REGIÓN DEL BIOBÍO ")</f>
        <v xml:space="preserve"> REGIÓN DEL BIOBÍO </v>
      </c>
      <c r="B100" s="16" t="str">
        <f t="shared" ca="1" si="0"/>
        <v xml:space="preserve"> LOS ÁLAMOS</v>
      </c>
      <c r="C100" s="16" t="str">
        <f ca="1">IFERROR(__xludf.DUMMYFUNCTION("""COMPUTED_VALUE""")," ASISTENCIA TÉCNICA PARA LA URBANIZACIÓN DE SECTORES CON INSTALACIONES SANITARIAS IRREGULARES EN LA ZONA URBANA, COMUNA DE LOS ÁLAMOS ")</f>
        <v xml:space="preserve"> ASISTENCIA TÉCNICA PARA LA URBANIZACIÓN DE SECTORES CON INSTALACIONES SANITARIAS IRREGULARES EN LA ZONA URBANA, COMUNA DE LOS ÁLAMOS </v>
      </c>
      <c r="D100" s="40" t="str">
        <f ca="1">IFERROR(__xludf.DUMMYFUNCTION("""COMPUTED_VALUE"""),"8206231002-C")</f>
        <v>8206231002-C</v>
      </c>
      <c r="E100" s="16" t="str">
        <f ca="1">IFERROR(__xludf.DUMMYFUNCTION("""COMPUTED_VALUE""")," En Ejecución ")</f>
        <v xml:space="preserve"> En Ejecución </v>
      </c>
      <c r="F100" s="41">
        <f ca="1">IFERROR(__xludf.DUMMYFUNCTION("""COMPUTED_VALUE"""),45412)</f>
        <v>45412</v>
      </c>
      <c r="G100" s="16">
        <f ca="1">IFERROR(__xludf.DUMMYFUNCTION("""COMPUTED_VALUE"""),27960000)</f>
        <v>27960000</v>
      </c>
      <c r="H100" s="16" t="str">
        <f ca="1">IFERROR(__xludf.DUMMYFUNCTION("""COMPUTED_VALUE""")," En Ejecución ")</f>
        <v xml:space="preserve"> En Ejecución </v>
      </c>
      <c r="I100" s="16">
        <f ca="1">IFERROR(__xludf.DUMMYFUNCTION("""COMPUTED_VALUE"""),27960000)</f>
        <v>27960000</v>
      </c>
      <c r="J100" s="83" t="s">
        <v>48</v>
      </c>
      <c r="K100" s="16"/>
      <c r="L100" s="16"/>
      <c r="M100" s="16"/>
      <c r="N100" s="19"/>
      <c r="O100" s="21">
        <f ca="1">IFERROR(__xludf.DUMMYFUNCTION("""COMPUTED_VALUE"""),27960000)</f>
        <v>27960000</v>
      </c>
      <c r="P100" s="19"/>
      <c r="Q100" s="19"/>
      <c r="R100" s="19"/>
      <c r="S100" s="19"/>
      <c r="T100" s="19"/>
      <c r="U100" s="19"/>
      <c r="V100" s="19"/>
      <c r="W100" s="20">
        <f ca="1">IFERROR(__xludf.DUMMYFUNCTION("""COMPUTED_VALUE"""),27960000)</f>
        <v>27960000</v>
      </c>
      <c r="X100" s="43" t="str">
        <f ca="1">IFERROR(__xludf.DUMMYFUNCTION("""COMPUTED_VALUE"""),"MUNICIPALIDAD DE LOS ÁLAMOS")</f>
        <v>MUNICIPALIDAD DE LOS ÁLAMOS</v>
      </c>
    </row>
    <row r="101" spans="1:24" ht="15.75" customHeight="1" x14ac:dyDescent="0.25">
      <c r="A101" s="16" t="str">
        <f ca="1">IFERROR(__xludf.DUMMYFUNCTION("""COMPUTED_VALUE""")," REGIÓN DEL MAULE ")</f>
        <v xml:space="preserve"> REGIÓN DEL MAULE </v>
      </c>
      <c r="B101" s="16" t="str">
        <f t="shared" ca="1" si="0"/>
        <v xml:space="preserve"> VICHUQUÉN</v>
      </c>
      <c r="C101" s="16" t="str">
        <f ca="1">IFERROR(__xludf.DUMMYFUNCTION("""COMPUTED_VALUE""")," CONSTRUCCIÓN SOLUCIONES SANITARIAS SANTA FILOMENA ")</f>
        <v xml:space="preserve"> CONSTRUCCIÓN SOLUCIONES SANITARIAS SANTA FILOMENA </v>
      </c>
      <c r="D101" s="40" t="str">
        <f ca="1">IFERROR(__xludf.DUMMYFUNCTION("""COMPUTED_VALUE"""),"7309240701-B")</f>
        <v>7309240701-B</v>
      </c>
      <c r="E101" s="16" t="str">
        <f ca="1">IFERROR(__xludf.DUMMYFUNCTION("""COMPUTED_VALUE""")," En Ejecución ")</f>
        <v xml:space="preserve"> En Ejecución </v>
      </c>
      <c r="F101" s="41">
        <f ca="1">IFERROR(__xludf.DUMMYFUNCTION("""COMPUTED_VALUE"""),45407)</f>
        <v>45407</v>
      </c>
      <c r="G101" s="16">
        <f ca="1">IFERROR(__xludf.DUMMYFUNCTION("""COMPUTED_VALUE"""),292620000)</f>
        <v>292620000</v>
      </c>
      <c r="H101" s="16" t="str">
        <f ca="1">IFERROR(__xludf.DUMMYFUNCTION("""COMPUTED_VALUE""")," En Ejecución ")</f>
        <v xml:space="preserve"> En Ejecución </v>
      </c>
      <c r="I101" s="16">
        <f ca="1">IFERROR(__xludf.DUMMYFUNCTION("""COMPUTED_VALUE"""),292620000)</f>
        <v>292620000</v>
      </c>
      <c r="J101" s="83" t="s">
        <v>48</v>
      </c>
      <c r="K101" s="16"/>
      <c r="L101" s="16"/>
      <c r="M101" s="16"/>
      <c r="N101" s="19"/>
      <c r="O101" s="21">
        <f ca="1">IFERROR(__xludf.DUMMYFUNCTION("""COMPUTED_VALUE"""),292620000)</f>
        <v>292620000</v>
      </c>
      <c r="P101" s="19"/>
      <c r="Q101" s="19"/>
      <c r="R101" s="19"/>
      <c r="S101" s="19"/>
      <c r="T101" s="19"/>
      <c r="U101" s="19"/>
      <c r="V101" s="19"/>
      <c r="W101" s="20">
        <f ca="1">IFERROR(__xludf.DUMMYFUNCTION("""COMPUTED_VALUE"""),292620000)</f>
        <v>292620000</v>
      </c>
      <c r="X101" s="43" t="str">
        <f ca="1">IFERROR(__xludf.DUMMYFUNCTION("""COMPUTED_VALUE"""),"MUNICIPALIDAD DE VICHUQUÉN")</f>
        <v>MUNICIPALIDAD DE VICHUQUÉN</v>
      </c>
    </row>
    <row r="102" spans="1:24" ht="15.75" customHeight="1" x14ac:dyDescent="0.25">
      <c r="A102" s="16" t="str">
        <f ca="1">IFERROR(__xludf.DUMMYFUNCTION("""COMPUTED_VALUE""")," REGIÓN DE VALPARAÍSO ")</f>
        <v xml:space="preserve"> REGIÓN DE VALPARAÍSO </v>
      </c>
      <c r="B102" s="16" t="str">
        <f t="shared" ca="1" si="0"/>
        <v xml:space="preserve"> LOS ANDES</v>
      </c>
      <c r="C102" s="16" t="str">
        <f ca="1">IFERROR(__xludf.DUMMYFUNCTION("""COMPUTED_VALUE""")," ASISTENCIA TÉCNICA EN DESARROLLO DE PROYECTOS DE AGUA POTABLE Y ELECTRIFICACIÓN COMUNA DE LOS ANDES ")</f>
        <v xml:space="preserve"> ASISTENCIA TÉCNICA EN DESARROLLO DE PROYECTOS DE AGUA POTABLE Y ELECTRIFICACIÓN COMUNA DE LOS ANDES </v>
      </c>
      <c r="D102" s="40" t="str">
        <f ca="1">IFERROR(__xludf.DUMMYFUNCTION("""COMPUTED_VALUE"""),"5301231001-C")</f>
        <v>5301231001-C</v>
      </c>
      <c r="E102" s="16" t="str">
        <f ca="1">IFERROR(__xludf.DUMMYFUNCTION("""COMPUTED_VALUE""")," En Ejecución ")</f>
        <v xml:space="preserve"> En Ejecución </v>
      </c>
      <c r="F102" s="41">
        <f ca="1">IFERROR(__xludf.DUMMYFUNCTION("""COMPUTED_VALUE"""),45428)</f>
        <v>45428</v>
      </c>
      <c r="G102" s="16">
        <f ca="1">IFERROR(__xludf.DUMMYFUNCTION("""COMPUTED_VALUE"""),58500000)</f>
        <v>58500000</v>
      </c>
      <c r="H102" s="16" t="str">
        <f ca="1">IFERROR(__xludf.DUMMYFUNCTION("""COMPUTED_VALUE""")," En Ejecución ")</f>
        <v xml:space="preserve"> En Ejecución </v>
      </c>
      <c r="I102" s="16">
        <f ca="1">IFERROR(__xludf.DUMMYFUNCTION("""COMPUTED_VALUE"""),58500000)</f>
        <v>58500000</v>
      </c>
      <c r="J102" s="83" t="s">
        <v>48</v>
      </c>
      <c r="K102" s="16"/>
      <c r="L102" s="16"/>
      <c r="M102" s="16"/>
      <c r="N102" s="19"/>
      <c r="O102" s="21">
        <f ca="1">IFERROR(__xludf.DUMMYFUNCTION("""COMPUTED_VALUE"""),58500000)</f>
        <v>58500000</v>
      </c>
      <c r="P102" s="19"/>
      <c r="Q102" s="19"/>
      <c r="R102" s="19"/>
      <c r="S102" s="19"/>
      <c r="T102" s="19"/>
      <c r="U102" s="19"/>
      <c r="V102" s="19"/>
      <c r="W102" s="20">
        <f ca="1">IFERROR(__xludf.DUMMYFUNCTION("""COMPUTED_VALUE"""),58500000)</f>
        <v>58500000</v>
      </c>
      <c r="X102" s="43" t="str">
        <f ca="1">IFERROR(__xludf.DUMMYFUNCTION("""COMPUTED_VALUE"""),"MUNICIPALIDAD DE LOS ANDES")</f>
        <v>MUNICIPALIDAD DE LOS ANDES</v>
      </c>
    </row>
    <row r="103" spans="1:24" ht="15.75" customHeight="1" x14ac:dyDescent="0.25">
      <c r="A103" s="16" t="str">
        <f ca="1">IFERROR(__xludf.DUMMYFUNCTION("""COMPUTED_VALUE""")," REGIÓN DEL BIOBÍO ")</f>
        <v xml:space="preserve"> REGIÓN DEL BIOBÍO </v>
      </c>
      <c r="B103" s="16" t="str">
        <f t="shared" ca="1" si="0"/>
        <v xml:space="preserve"> TIRÚA</v>
      </c>
      <c r="C103" s="16" t="str">
        <f ca="1">IFERROR(__xludf.DUMMYFUNCTION("""COMPUTED_VALUE""")," ASISTENCIA LEGAL EN PROYECTOS DE SANEAMIENTO SANITARIO Y SERVICIOS SOCIALES SECPLAN ")</f>
        <v xml:space="preserve"> ASISTENCIA LEGAL EN PROYECTOS DE SANEAMIENTO SANITARIO Y SERVICIOS SOCIALES SECPLAN </v>
      </c>
      <c r="D103" s="40" t="str">
        <f ca="1">IFERROR(__xludf.DUMMYFUNCTION("""COMPUTED_VALUE"""),"8207230601-C")</f>
        <v>8207230601-C</v>
      </c>
      <c r="E103" s="16" t="str">
        <f ca="1">IFERROR(__xludf.DUMMYFUNCTION("""COMPUTED_VALUE""")," En Ejecución ")</f>
        <v xml:space="preserve"> En Ejecución </v>
      </c>
      <c r="F103" s="41">
        <f ca="1">IFERROR(__xludf.DUMMYFUNCTION("""COMPUTED_VALUE"""),45420)</f>
        <v>45420</v>
      </c>
      <c r="G103" s="16">
        <f ca="1">IFERROR(__xludf.DUMMYFUNCTION("""COMPUTED_VALUE"""),45600000)</f>
        <v>45600000</v>
      </c>
      <c r="H103" s="16" t="str">
        <f ca="1">IFERROR(__xludf.DUMMYFUNCTION("""COMPUTED_VALUE""")," En Ejecución ")</f>
        <v xml:space="preserve"> En Ejecución </v>
      </c>
      <c r="I103" s="16">
        <f ca="1">IFERROR(__xludf.DUMMYFUNCTION("""COMPUTED_VALUE"""),45600000)</f>
        <v>45600000</v>
      </c>
      <c r="J103" s="83" t="s">
        <v>48</v>
      </c>
      <c r="K103" s="16"/>
      <c r="L103" s="16"/>
      <c r="M103" s="16"/>
      <c r="N103" s="19"/>
      <c r="O103" s="21">
        <f ca="1">IFERROR(__xludf.DUMMYFUNCTION("""COMPUTED_VALUE"""),45600000)</f>
        <v>45600000</v>
      </c>
      <c r="P103" s="19"/>
      <c r="Q103" s="19"/>
      <c r="R103" s="19"/>
      <c r="S103" s="19"/>
      <c r="T103" s="19"/>
      <c r="U103" s="19"/>
      <c r="V103" s="19"/>
      <c r="W103" s="20">
        <f ca="1">IFERROR(__xludf.DUMMYFUNCTION("""COMPUTED_VALUE"""),45600000)</f>
        <v>45600000</v>
      </c>
      <c r="X103" s="43" t="str">
        <f ca="1">IFERROR(__xludf.DUMMYFUNCTION("""COMPUTED_VALUE"""),"MUNICIPALIDAD DE TIRÚA")</f>
        <v>MUNICIPALIDAD DE TIRÚA</v>
      </c>
    </row>
    <row r="104" spans="1:24" ht="15.75" customHeight="1" x14ac:dyDescent="0.25">
      <c r="A104" s="16" t="str">
        <f ca="1">IFERROR(__xludf.DUMMYFUNCTION("""COMPUTED_VALUE""")," REGIÓN DE LOS LAGOS ")</f>
        <v xml:space="preserve"> REGIÓN DE LOS LAGOS </v>
      </c>
      <c r="B104" s="16" t="str">
        <f t="shared" ca="1" si="0"/>
        <v xml:space="preserve"> PUQUELDÓN</v>
      </c>
      <c r="C104" s="16" t="str">
        <f ca="1">IFERROR(__xludf.DUMMYFUNCTION("""COMPUTED_VALUE""")," ASISTENCIA TECNICA PARA GENERACION DE PROYECTOS DE INFRAESTRUCTURA SANITARIA - COMUNA DE PUQUELDON ")</f>
        <v xml:space="preserve"> ASISTENCIA TECNICA PARA GENERACION DE PROYECTOS DE INFRAESTRUCTURA SANITARIA - COMUNA DE PUQUELDON </v>
      </c>
      <c r="D104" s="40" t="str">
        <f ca="1">IFERROR(__xludf.DUMMYFUNCTION("""COMPUTED_VALUE"""),"10206241002-C")</f>
        <v>10206241002-C</v>
      </c>
      <c r="E104" s="16" t="str">
        <f ca="1">IFERROR(__xludf.DUMMYFUNCTION("""COMPUTED_VALUE""")," En Ejecución ")</f>
        <v xml:space="preserve"> En Ejecución </v>
      </c>
      <c r="F104" s="41">
        <f ca="1">IFERROR(__xludf.DUMMYFUNCTION("""COMPUTED_VALUE"""),45415)</f>
        <v>45415</v>
      </c>
      <c r="G104" s="16">
        <f ca="1">IFERROR(__xludf.DUMMYFUNCTION("""COMPUTED_VALUE"""),91200000)</f>
        <v>91200000</v>
      </c>
      <c r="H104" s="16" t="str">
        <f ca="1">IFERROR(__xludf.DUMMYFUNCTION("""COMPUTED_VALUE""")," En Ejecución ")</f>
        <v xml:space="preserve"> En Ejecución </v>
      </c>
      <c r="I104" s="16">
        <f ca="1">IFERROR(__xludf.DUMMYFUNCTION("""COMPUTED_VALUE"""),91200000)</f>
        <v>91200000</v>
      </c>
      <c r="J104" s="83" t="s">
        <v>48</v>
      </c>
      <c r="K104" s="16"/>
      <c r="L104" s="16"/>
      <c r="M104" s="16"/>
      <c r="N104" s="19"/>
      <c r="O104" s="21">
        <f ca="1">IFERROR(__xludf.DUMMYFUNCTION("""COMPUTED_VALUE"""),91200000)</f>
        <v>91200000</v>
      </c>
      <c r="P104" s="19"/>
      <c r="Q104" s="19"/>
      <c r="R104" s="19"/>
      <c r="S104" s="19"/>
      <c r="T104" s="19"/>
      <c r="U104" s="19"/>
      <c r="V104" s="19"/>
      <c r="W104" s="20">
        <f ca="1">IFERROR(__xludf.DUMMYFUNCTION("""COMPUTED_VALUE"""),91200000)</f>
        <v>91200000</v>
      </c>
      <c r="X104" s="43" t="str">
        <f ca="1">IFERROR(__xludf.DUMMYFUNCTION("""COMPUTED_VALUE"""),"MUNICIPALIDAD DE PUQUELDÓN")</f>
        <v>MUNICIPALIDAD DE PUQUELDÓN</v>
      </c>
    </row>
    <row r="105" spans="1:24" ht="15.75" customHeight="1" x14ac:dyDescent="0.25">
      <c r="A105" s="16" t="str">
        <f ca="1">IFERROR(__xludf.DUMMYFUNCTION("""COMPUTED_VALUE""")," REGIÓN DEL BIOBÍO ")</f>
        <v xml:space="preserve"> REGIÓN DEL BIOBÍO </v>
      </c>
      <c r="B105" s="16" t="str">
        <f t="shared" ca="1" si="0"/>
        <v xml:space="preserve"> ARAUCO</v>
      </c>
      <c r="C105" s="16" t="str">
        <f ca="1">IFERROR(__xludf.DUMMYFUNCTION("""COMPUTED_VALUE""")," ASISTENCIA TECNICA PROFESIONALES (PMB-PMU) PARA LA ELABORACION DE PROYECTOS EN LOCALIDADES, LLICO, LARAQUETE, CARAMPANGUE Y OTROS, COMUNA DE ARAUCO. ")</f>
        <v xml:space="preserve"> ASISTENCIA TECNICA PROFESIONALES (PMB-PMU) PARA LA ELABORACION DE PROYECTOS EN LOCALIDADES, LLICO, LARAQUETE, CARAMPANGUE Y OTROS, COMUNA DE ARAUCO. </v>
      </c>
      <c r="D105" s="40" t="str">
        <f ca="1">IFERROR(__xludf.DUMMYFUNCTION("""COMPUTED_VALUE"""),"8202231002-C")</f>
        <v>8202231002-C</v>
      </c>
      <c r="E105" s="16" t="str">
        <f ca="1">IFERROR(__xludf.DUMMYFUNCTION("""COMPUTED_VALUE""")," En Ejecución ")</f>
        <v xml:space="preserve"> En Ejecución </v>
      </c>
      <c r="F105" s="41">
        <f ca="1">IFERROR(__xludf.DUMMYFUNCTION("""COMPUTED_VALUE"""),45422)</f>
        <v>45422</v>
      </c>
      <c r="G105" s="16">
        <f ca="1">IFERROR(__xludf.DUMMYFUNCTION("""COMPUTED_VALUE"""),88200000)</f>
        <v>88200000</v>
      </c>
      <c r="H105" s="16" t="str">
        <f ca="1">IFERROR(__xludf.DUMMYFUNCTION("""COMPUTED_VALUE""")," En Ejecución ")</f>
        <v xml:space="preserve"> En Ejecución </v>
      </c>
      <c r="I105" s="16">
        <f ca="1">IFERROR(__xludf.DUMMYFUNCTION("""COMPUTED_VALUE"""),88200000)</f>
        <v>88200000</v>
      </c>
      <c r="J105" s="83" t="s">
        <v>48</v>
      </c>
      <c r="K105" s="16"/>
      <c r="L105" s="16"/>
      <c r="M105" s="16"/>
      <c r="N105" s="19"/>
      <c r="O105" s="21">
        <f ca="1">IFERROR(__xludf.DUMMYFUNCTION("""COMPUTED_VALUE"""),88200000)</f>
        <v>88200000</v>
      </c>
      <c r="P105" s="19"/>
      <c r="Q105" s="19"/>
      <c r="R105" s="19"/>
      <c r="S105" s="19"/>
      <c r="T105" s="19"/>
      <c r="U105" s="19"/>
      <c r="V105" s="19"/>
      <c r="W105" s="20">
        <f ca="1">IFERROR(__xludf.DUMMYFUNCTION("""COMPUTED_VALUE"""),88200000)</f>
        <v>88200000</v>
      </c>
      <c r="X105" s="43" t="str">
        <f ca="1">IFERROR(__xludf.DUMMYFUNCTION("""COMPUTED_VALUE"""),"MUNICIPALIDAD DE ARAUCO")</f>
        <v>MUNICIPALIDAD DE ARAUCO</v>
      </c>
    </row>
    <row r="106" spans="1:24" ht="15.75" customHeight="1" x14ac:dyDescent="0.25">
      <c r="A106" s="16" t="str">
        <f ca="1">IFERROR(__xludf.DUMMYFUNCTION("""COMPUTED_VALUE""")," REGIÓN DE LOS RÍOS ")</f>
        <v xml:space="preserve"> REGIÓN DE LOS RÍOS </v>
      </c>
      <c r="B106" s="16" t="str">
        <f t="shared" ca="1" si="0"/>
        <v xml:space="preserve"> LA UNIÓN</v>
      </c>
      <c r="C106" s="16" t="str">
        <f ca="1">IFERROR(__xludf.DUMMYFUNCTION("""COMPUTED_VALUE""")," ASISTENCIA TECNICA DE PROYECTOS PMU Y PMB PARA ILUSTRE MUNICIPALIDAD DE LA UNION 2024 ")</f>
        <v xml:space="preserve"> ASISTENCIA TECNICA DE PROYECTOS PMU Y PMB PARA ILUSTRE MUNICIPALIDAD DE LA UNION 2024 </v>
      </c>
      <c r="D106" s="40" t="str">
        <f ca="1">IFERROR(__xludf.DUMMYFUNCTION("""COMPUTED_VALUE"""),"14201231002-C")</f>
        <v>14201231002-C</v>
      </c>
      <c r="E106" s="16" t="str">
        <f ca="1">IFERROR(__xludf.DUMMYFUNCTION("""COMPUTED_VALUE""")," En Ejecución ")</f>
        <v xml:space="preserve"> En Ejecución </v>
      </c>
      <c r="F106" s="41">
        <f ca="1">IFERROR(__xludf.DUMMYFUNCTION("""COMPUTED_VALUE"""),45415)</f>
        <v>45415</v>
      </c>
      <c r="G106" s="16">
        <f ca="1">IFERROR(__xludf.DUMMYFUNCTION("""COMPUTED_VALUE"""),79304364)</f>
        <v>79304364</v>
      </c>
      <c r="H106" s="16" t="str">
        <f ca="1">IFERROR(__xludf.DUMMYFUNCTION("""COMPUTED_VALUE""")," En Ejecución ")</f>
        <v xml:space="preserve"> En Ejecución </v>
      </c>
      <c r="I106" s="16">
        <f ca="1">IFERROR(__xludf.DUMMYFUNCTION("""COMPUTED_VALUE"""),79304364)</f>
        <v>79304364</v>
      </c>
      <c r="J106" s="83" t="s">
        <v>48</v>
      </c>
      <c r="K106" s="16"/>
      <c r="L106" s="16"/>
      <c r="M106" s="16"/>
      <c r="N106" s="19"/>
      <c r="O106" s="21">
        <f ca="1">IFERROR(__xludf.DUMMYFUNCTION("""COMPUTED_VALUE"""),79304364)</f>
        <v>79304364</v>
      </c>
      <c r="P106" s="19"/>
      <c r="Q106" s="19"/>
      <c r="R106" s="19"/>
      <c r="S106" s="19"/>
      <c r="T106" s="19"/>
      <c r="U106" s="19"/>
      <c r="V106" s="19"/>
      <c r="W106" s="20">
        <f ca="1">IFERROR(__xludf.DUMMYFUNCTION("""COMPUTED_VALUE"""),79304364)</f>
        <v>79304364</v>
      </c>
      <c r="X106" s="43" t="str">
        <f ca="1">IFERROR(__xludf.DUMMYFUNCTION("""COMPUTED_VALUE"""),"MUNICIPALIDAD DE LA UNIÓN")</f>
        <v>MUNICIPALIDAD DE LA UNIÓN</v>
      </c>
    </row>
    <row r="107" spans="1:24" ht="15.75" customHeight="1" x14ac:dyDescent="0.25">
      <c r="A107" s="16" t="str">
        <f ca="1">IFERROR(__xludf.DUMMYFUNCTION("""COMPUTED_VALUE""")," REGIÓN DE LA ARAUCANÍA ")</f>
        <v xml:space="preserve"> REGIÓN DE LA ARAUCANÍA </v>
      </c>
      <c r="B107" s="16" t="str">
        <f t="shared" ca="1" si="0"/>
        <v xml:space="preserve"> MELIPEUCO</v>
      </c>
      <c r="C107" s="16" t="str">
        <f ca="1">IFERROR(__xludf.DUMMYFUNCTION("""COMPUTED_VALUE""")," ASISTENCIA TECNICA PARA CARTERA DE PROYECTOS PMU-PMB, MELIPEUCO ")</f>
        <v xml:space="preserve"> ASISTENCIA TECNICA PARA CARTERA DE PROYECTOS PMU-PMB, MELIPEUCO </v>
      </c>
      <c r="D107" s="40" t="str">
        <f ca="1">IFERROR(__xludf.DUMMYFUNCTION("""COMPUTED_VALUE"""),"9110231001-C")</f>
        <v>9110231001-C</v>
      </c>
      <c r="E107" s="16" t="str">
        <f ca="1">IFERROR(__xludf.DUMMYFUNCTION("""COMPUTED_VALUE""")," En Ejecución ")</f>
        <v xml:space="preserve"> En Ejecución </v>
      </c>
      <c r="F107" s="41">
        <f ca="1">IFERROR(__xludf.DUMMYFUNCTION("""COMPUTED_VALUE"""),45420)</f>
        <v>45420</v>
      </c>
      <c r="G107" s="16">
        <f ca="1">IFERROR(__xludf.DUMMYFUNCTION("""COMPUTED_VALUE"""),79200000)</f>
        <v>79200000</v>
      </c>
      <c r="H107" s="16" t="str">
        <f ca="1">IFERROR(__xludf.DUMMYFUNCTION("""COMPUTED_VALUE""")," En Ejecución ")</f>
        <v xml:space="preserve"> En Ejecución </v>
      </c>
      <c r="I107" s="16">
        <f ca="1">IFERROR(__xludf.DUMMYFUNCTION("""COMPUTED_VALUE"""),79200000)</f>
        <v>79200000</v>
      </c>
      <c r="J107" s="83" t="s">
        <v>48</v>
      </c>
      <c r="K107" s="16"/>
      <c r="L107" s="16"/>
      <c r="M107" s="16"/>
      <c r="N107" s="19"/>
      <c r="O107" s="21">
        <f ca="1">IFERROR(__xludf.DUMMYFUNCTION("""COMPUTED_VALUE"""),79200000)</f>
        <v>79200000</v>
      </c>
      <c r="P107" s="19"/>
      <c r="Q107" s="19"/>
      <c r="R107" s="19"/>
      <c r="S107" s="19"/>
      <c r="T107" s="19"/>
      <c r="U107" s="19"/>
      <c r="V107" s="19"/>
      <c r="W107" s="20">
        <f ca="1">IFERROR(__xludf.DUMMYFUNCTION("""COMPUTED_VALUE"""),79200000)</f>
        <v>79200000</v>
      </c>
      <c r="X107" s="43" t="str">
        <f ca="1">IFERROR(__xludf.DUMMYFUNCTION("""COMPUTED_VALUE"""),"MUNICIPALIDAD DE MELIPEUCO")</f>
        <v>MUNICIPALIDAD DE MELIPEUCO</v>
      </c>
    </row>
    <row r="108" spans="1:24" ht="15.75" customHeight="1" x14ac:dyDescent="0.25">
      <c r="A108" s="16" t="str">
        <f ca="1">IFERROR(__xludf.DUMMYFUNCTION("""COMPUTED_VALUE""")," REGIÓN METROPOLITANA ")</f>
        <v xml:space="preserve"> REGIÓN METROPOLITANA </v>
      </c>
      <c r="B108" s="16" t="str">
        <f t="shared" ca="1" si="0"/>
        <v xml:space="preserve"> QUINTA NORMAL</v>
      </c>
      <c r="C108" s="16" t="str">
        <f ca="1">IFERROR(__xludf.DUMMYFUNCTION("""COMPUTED_VALUE""")," CONSTRUCCION DE LA ILUMINACION PEATONAL LA FRONTERA ")</f>
        <v xml:space="preserve"> CONSTRUCCION DE LA ILUMINACION PEATONAL LA FRONTERA </v>
      </c>
      <c r="D108" s="40" t="str">
        <f ca="1">IFERROR(__xludf.DUMMYFUNCTION("""COMPUTED_VALUE"""),"13126230706-C")</f>
        <v>13126230706-C</v>
      </c>
      <c r="E108" s="16" t="str">
        <f ca="1">IFERROR(__xludf.DUMMYFUNCTION("""COMPUTED_VALUE""")," En Ejecución ")</f>
        <v xml:space="preserve"> En Ejecución </v>
      </c>
      <c r="F108" s="41">
        <f ca="1">IFERROR(__xludf.DUMMYFUNCTION("""COMPUTED_VALUE"""),45401)</f>
        <v>45401</v>
      </c>
      <c r="G108" s="16">
        <f ca="1">IFERROR(__xludf.DUMMYFUNCTION("""COMPUTED_VALUE"""),311681704)</f>
        <v>311681704</v>
      </c>
      <c r="H108" s="16" t="str">
        <f ca="1">IFERROR(__xludf.DUMMYFUNCTION("""COMPUTED_VALUE""")," En Ejecución ")</f>
        <v xml:space="preserve"> En Ejecución </v>
      </c>
      <c r="I108" s="16">
        <f ca="1">IFERROR(__xludf.DUMMYFUNCTION("""COMPUTED_VALUE"""),311681704)</f>
        <v>311681704</v>
      </c>
      <c r="J108" s="83" t="s">
        <v>48</v>
      </c>
      <c r="K108" s="16"/>
      <c r="L108" s="16"/>
      <c r="M108" s="16"/>
      <c r="N108" s="19"/>
      <c r="O108" s="21">
        <f ca="1">IFERROR(__xludf.DUMMYFUNCTION("""COMPUTED_VALUE"""),311681704)</f>
        <v>311681704</v>
      </c>
      <c r="P108" s="19"/>
      <c r="Q108" s="19"/>
      <c r="R108" s="19"/>
      <c r="S108" s="19"/>
      <c r="T108" s="19"/>
      <c r="U108" s="19"/>
      <c r="V108" s="19"/>
      <c r="W108" s="20">
        <f ca="1">IFERROR(__xludf.DUMMYFUNCTION("""COMPUTED_VALUE"""),311681704)</f>
        <v>311681704</v>
      </c>
      <c r="X108" s="43" t="str">
        <f ca="1">IFERROR(__xludf.DUMMYFUNCTION("""COMPUTED_VALUE"""),"MUNICIPALIDAD DE QUINTA NORMAL")</f>
        <v>MUNICIPALIDAD DE QUINTA NORMAL</v>
      </c>
    </row>
    <row r="109" spans="1:24" ht="15.75" customHeight="1" x14ac:dyDescent="0.25">
      <c r="A109" s="16" t="str">
        <f ca="1">IFERROR(__xludf.DUMMYFUNCTION("""COMPUTED_VALUE""")," REGIÓN DE LA ARAUCANÍA ")</f>
        <v xml:space="preserve"> REGIÓN DE LA ARAUCANÍA </v>
      </c>
      <c r="B109" s="16" t="str">
        <f t="shared" ca="1" si="0"/>
        <v xml:space="preserve"> PITRUFQUÉN</v>
      </c>
      <c r="C109" s="16" t="str">
        <f ca="1">IFERROR(__xludf.DUMMYFUNCTION("""COMPUTED_VALUE""")," ASISTENCIA TECNICA PARA ELABORACION DE PROYECTOS DE MEJORAMIENTO DE BARRIOS (PMB) Y MEJORAMIENTO URBANO (PMU), EN LA COMUNA DE PITRUFQUEN ")</f>
        <v xml:space="preserve"> ASISTENCIA TECNICA PARA ELABORACION DE PROYECTOS DE MEJORAMIENTO DE BARRIOS (PMB) Y MEJORAMIENTO URBANO (PMU), EN LA COMUNA DE PITRUFQUEN </v>
      </c>
      <c r="D109" s="40" t="str">
        <f ca="1">IFERROR(__xludf.DUMMYFUNCTION("""COMPUTED_VALUE"""),"9114231001-C")</f>
        <v>9114231001-C</v>
      </c>
      <c r="E109" s="16" t="str">
        <f ca="1">IFERROR(__xludf.DUMMYFUNCTION("""COMPUTED_VALUE""")," En Ejecución ")</f>
        <v xml:space="preserve"> En Ejecución </v>
      </c>
      <c r="F109" s="41">
        <f ca="1">IFERROR(__xludf.DUMMYFUNCTION("""COMPUTED_VALUE"""),45422)</f>
        <v>45422</v>
      </c>
      <c r="G109" s="16">
        <f ca="1">IFERROR(__xludf.DUMMYFUNCTION("""COMPUTED_VALUE"""),86400000)</f>
        <v>86400000</v>
      </c>
      <c r="H109" s="16" t="str">
        <f ca="1">IFERROR(__xludf.DUMMYFUNCTION("""COMPUTED_VALUE""")," En Ejecución ")</f>
        <v xml:space="preserve"> En Ejecución </v>
      </c>
      <c r="I109" s="16">
        <f ca="1">IFERROR(__xludf.DUMMYFUNCTION("""COMPUTED_VALUE"""),86400000)</f>
        <v>86400000</v>
      </c>
      <c r="J109" s="83" t="s">
        <v>48</v>
      </c>
      <c r="K109" s="16"/>
      <c r="L109" s="16"/>
      <c r="M109" s="16"/>
      <c r="N109" s="19"/>
      <c r="O109" s="21">
        <f ca="1">IFERROR(__xludf.DUMMYFUNCTION("""COMPUTED_VALUE"""),86400000)</f>
        <v>86400000</v>
      </c>
      <c r="P109" s="19"/>
      <c r="Q109" s="19"/>
      <c r="R109" s="19"/>
      <c r="S109" s="19"/>
      <c r="T109" s="19"/>
      <c r="U109" s="19"/>
      <c r="V109" s="19"/>
      <c r="W109" s="20">
        <f ca="1">IFERROR(__xludf.DUMMYFUNCTION("""COMPUTED_VALUE"""),86400000)</f>
        <v>86400000</v>
      </c>
      <c r="X109" s="43" t="str">
        <f ca="1">IFERROR(__xludf.DUMMYFUNCTION("""COMPUTED_VALUE"""),"MUNICIPALIDAD DE PITRUFQUÉN")</f>
        <v>MUNICIPALIDAD DE PITRUFQUÉN</v>
      </c>
    </row>
    <row r="110" spans="1:24" ht="15.75" customHeight="1" x14ac:dyDescent="0.25">
      <c r="A110" s="16" t="str">
        <f ca="1">IFERROR(__xludf.DUMMYFUNCTION("""COMPUTED_VALUE""")," REGIÓN DE LOS LAGOS ")</f>
        <v xml:space="preserve"> REGIÓN DE LOS LAGOS </v>
      </c>
      <c r="B110" s="16" t="str">
        <f t="shared" ca="1" si="0"/>
        <v xml:space="preserve"> CURACO DE VÉLEZ</v>
      </c>
      <c r="C110" s="16" t="str">
        <f ca="1">IFERROR(__xludf.DUMMYFUNCTION("""COMPUTED_VALUE""")," CONSTRUCCION ALUMBRADO PUBLICO FOTOVOLTAICO HUYAR BAJO - CHULLEC, CURACO DE VELEZ ")</f>
        <v xml:space="preserve"> CONSTRUCCION ALUMBRADO PUBLICO FOTOVOLTAICO HUYAR BAJO - CHULLEC, CURACO DE VELEZ </v>
      </c>
      <c r="D110" s="40" t="str">
        <f ca="1">IFERROR(__xludf.DUMMYFUNCTION("""COMPUTED_VALUE"""),"10204230702-C")</f>
        <v>10204230702-C</v>
      </c>
      <c r="E110" s="16" t="str">
        <f ca="1">IFERROR(__xludf.DUMMYFUNCTION("""COMPUTED_VALUE""")," En Ejecución ")</f>
        <v xml:space="preserve"> En Ejecución </v>
      </c>
      <c r="F110" s="41">
        <f ca="1">IFERROR(__xludf.DUMMYFUNCTION("""COMPUTED_VALUE"""),45422)</f>
        <v>45422</v>
      </c>
      <c r="G110" s="16">
        <f ca="1">IFERROR(__xludf.DUMMYFUNCTION("""COMPUTED_VALUE"""),161139983)</f>
        <v>161139983</v>
      </c>
      <c r="H110" s="16" t="str">
        <f ca="1">IFERROR(__xludf.DUMMYFUNCTION("""COMPUTED_VALUE""")," En Ejecución ")</f>
        <v xml:space="preserve"> En Ejecución </v>
      </c>
      <c r="I110" s="16">
        <f ca="1">IFERROR(__xludf.DUMMYFUNCTION("""COMPUTED_VALUE"""),161139983)</f>
        <v>161139983</v>
      </c>
      <c r="J110" s="83" t="s">
        <v>48</v>
      </c>
      <c r="K110" s="16"/>
      <c r="L110" s="16"/>
      <c r="M110" s="16"/>
      <c r="N110" s="19"/>
      <c r="O110" s="21">
        <f ca="1">IFERROR(__xludf.DUMMYFUNCTION("""COMPUTED_VALUE"""),161139983)</f>
        <v>161139983</v>
      </c>
      <c r="P110" s="19"/>
      <c r="Q110" s="19"/>
      <c r="R110" s="19"/>
      <c r="S110" s="19"/>
      <c r="T110" s="19"/>
      <c r="U110" s="19"/>
      <c r="V110" s="19"/>
      <c r="W110" s="20">
        <f ca="1">IFERROR(__xludf.DUMMYFUNCTION("""COMPUTED_VALUE"""),161139983)</f>
        <v>161139983</v>
      </c>
      <c r="X110" s="43" t="str">
        <f ca="1">IFERROR(__xludf.DUMMYFUNCTION("""COMPUTED_VALUE"""),"MUNICIPALIDAD DE CURACO DE VÉLEZ")</f>
        <v>MUNICIPALIDAD DE CURACO DE VÉLEZ</v>
      </c>
    </row>
    <row r="111" spans="1:24" ht="15.75" customHeight="1" x14ac:dyDescent="0.25">
      <c r="A111" s="16" t="str">
        <f ca="1">IFERROR(__xludf.DUMMYFUNCTION("""COMPUTED_VALUE""")," REGIÓN METROPOLITANA ")</f>
        <v xml:space="preserve"> REGIÓN METROPOLITANA </v>
      </c>
      <c r="B111" s="16" t="str">
        <f t="shared" ca="1" si="0"/>
        <v xml:space="preserve"> LA REINA</v>
      </c>
      <c r="C111" s="16" t="str">
        <f ca="1">IFERROR(__xludf.DUMMYFUNCTION("""COMPUTED_VALUE""")," PROYECTO DE ILUMINACIÓN PEATONAL. CALLE VICENTE PÉREZ ROSALES SECTOR NORTE , COMUNA DE LA REINA ")</f>
        <v xml:space="preserve"> PROYECTO DE ILUMINACIÓN PEATONAL. CALLE VICENTE PÉREZ ROSALES SECTOR NORTE , COMUNA DE LA REINA </v>
      </c>
      <c r="D111" s="40" t="str">
        <f ca="1">IFERROR(__xludf.DUMMYFUNCTION("""COMPUTED_VALUE"""),"13113220701-C")</f>
        <v>13113220701-C</v>
      </c>
      <c r="E111" s="16" t="str">
        <f ca="1">IFERROR(__xludf.DUMMYFUNCTION("""COMPUTED_VALUE""")," En Ejecución ")</f>
        <v xml:space="preserve"> En Ejecución </v>
      </c>
      <c r="F111" s="41">
        <f ca="1">IFERROR(__xludf.DUMMYFUNCTION("""COMPUTED_VALUE"""),45420)</f>
        <v>45420</v>
      </c>
      <c r="G111" s="16">
        <f ca="1">IFERROR(__xludf.DUMMYFUNCTION("""COMPUTED_VALUE"""),258134178)</f>
        <v>258134178</v>
      </c>
      <c r="H111" s="16" t="str">
        <f ca="1">IFERROR(__xludf.DUMMYFUNCTION("""COMPUTED_VALUE""")," En Ejecución ")</f>
        <v xml:space="preserve"> En Ejecución </v>
      </c>
      <c r="I111" s="16">
        <f ca="1">IFERROR(__xludf.DUMMYFUNCTION("""COMPUTED_VALUE"""),258134178)</f>
        <v>258134178</v>
      </c>
      <c r="J111" s="83" t="s">
        <v>48</v>
      </c>
      <c r="K111" s="16"/>
      <c r="L111" s="16"/>
      <c r="M111" s="16"/>
      <c r="N111" s="19"/>
      <c r="O111" s="21">
        <f ca="1">IFERROR(__xludf.DUMMYFUNCTION("""COMPUTED_VALUE"""),258134178)</f>
        <v>258134178</v>
      </c>
      <c r="P111" s="19"/>
      <c r="Q111" s="19"/>
      <c r="R111" s="19"/>
      <c r="S111" s="19"/>
      <c r="T111" s="19"/>
      <c r="U111" s="19"/>
      <c r="V111" s="19"/>
      <c r="W111" s="20">
        <f ca="1">IFERROR(__xludf.DUMMYFUNCTION("""COMPUTED_VALUE"""),258134178)</f>
        <v>258134178</v>
      </c>
      <c r="X111" s="43" t="str">
        <f ca="1">IFERROR(__xludf.DUMMYFUNCTION("""COMPUTED_VALUE"""),"MUNICIPALIDAD DE LA REINA")</f>
        <v>MUNICIPALIDAD DE LA REINA</v>
      </c>
    </row>
    <row r="112" spans="1:24" ht="15.75" customHeight="1" x14ac:dyDescent="0.25">
      <c r="A112" s="16" t="str">
        <f ca="1">IFERROR(__xludf.DUMMYFUNCTION("""COMPUTED_VALUE""")," REGIÓN DE LA ARAUCANÍA ")</f>
        <v xml:space="preserve"> REGIÓN DE LA ARAUCANÍA </v>
      </c>
      <c r="B112" s="16" t="str">
        <f t="shared" ca="1" si="0"/>
        <v xml:space="preserve"> CARAHUE</v>
      </c>
      <c r="C112" s="16" t="str">
        <f ca="1">IFERROR(__xludf.DUMMYFUNCTION("""COMPUTED_VALUE""")," ELABORACION DE PROYECTOS DE EQUIPAMIENTO Y SANEAMIENTO SANITARIO PARA CEMENTERIOS, SEDES SOCIALES Y ESPACIOS PUBLICOS DE LA COMUNA DE CARAHUE. ")</f>
        <v xml:space="preserve"> ELABORACION DE PROYECTOS DE EQUIPAMIENTO Y SANEAMIENTO SANITARIO PARA CEMENTERIOS, SEDES SOCIALES Y ESPACIOS PUBLICOS DE LA COMUNA DE CARAHUE. </v>
      </c>
      <c r="D112" s="40" t="str">
        <f ca="1">IFERROR(__xludf.DUMMYFUNCTION("""COMPUTED_VALUE"""),"9102231001-C")</f>
        <v>9102231001-C</v>
      </c>
      <c r="E112" s="16" t="str">
        <f ca="1">IFERROR(__xludf.DUMMYFUNCTION("""COMPUTED_VALUE""")," En Ejecución ")</f>
        <v xml:space="preserve"> En Ejecución </v>
      </c>
      <c r="F112" s="41">
        <f ca="1">IFERROR(__xludf.DUMMYFUNCTION("""COMPUTED_VALUE"""),45415)</f>
        <v>45415</v>
      </c>
      <c r="G112" s="16">
        <f ca="1">IFERROR(__xludf.DUMMYFUNCTION("""COMPUTED_VALUE"""),122400000)</f>
        <v>122400000</v>
      </c>
      <c r="H112" s="16" t="str">
        <f ca="1">IFERROR(__xludf.DUMMYFUNCTION("""COMPUTED_VALUE""")," En Ejecución ")</f>
        <v xml:space="preserve"> En Ejecución </v>
      </c>
      <c r="I112" s="16">
        <f ca="1">IFERROR(__xludf.DUMMYFUNCTION("""COMPUTED_VALUE"""),122400000)</f>
        <v>122400000</v>
      </c>
      <c r="J112" s="83" t="s">
        <v>48</v>
      </c>
      <c r="K112" s="16"/>
      <c r="L112" s="16"/>
      <c r="M112" s="16"/>
      <c r="N112" s="19"/>
      <c r="O112" s="21">
        <f ca="1">IFERROR(__xludf.DUMMYFUNCTION("""COMPUTED_VALUE"""),122400000)</f>
        <v>122400000</v>
      </c>
      <c r="P112" s="19"/>
      <c r="Q112" s="19"/>
      <c r="R112" s="19"/>
      <c r="S112" s="19"/>
      <c r="T112" s="19"/>
      <c r="U112" s="19"/>
      <c r="V112" s="19"/>
      <c r="W112" s="20">
        <f ca="1">IFERROR(__xludf.DUMMYFUNCTION("""COMPUTED_VALUE"""),122400000)</f>
        <v>122400000</v>
      </c>
      <c r="X112" s="43" t="str">
        <f ca="1">IFERROR(__xludf.DUMMYFUNCTION("""COMPUTED_VALUE"""),"MUNICIPALIDAD DE CARAHUE")</f>
        <v>MUNICIPALIDAD DE CARAHUE</v>
      </c>
    </row>
    <row r="113" spans="1:24" ht="15.75" customHeight="1" x14ac:dyDescent="0.25">
      <c r="A113" s="16" t="str">
        <f ca="1">IFERROR(__xludf.DUMMYFUNCTION("""COMPUTED_VALUE""")," REGIÓN DE LA ARAUCANÍA ")</f>
        <v xml:space="preserve"> REGIÓN DE LA ARAUCANÍA </v>
      </c>
      <c r="B113" s="16" t="str">
        <f t="shared" ca="1" si="0"/>
        <v xml:space="preserve"> LUMACO</v>
      </c>
      <c r="C113" s="16" t="str">
        <f ca="1">IFERROR(__xludf.DUMMYFUNCTION("""COMPUTED_VALUE""")," ASISTENCIA LEGAL PARA LA REGULARIZACIÓN DE PROPIEDAD RAÍZ, COMUNA DE LUMACO ")</f>
        <v xml:space="preserve"> ASISTENCIA LEGAL PARA LA REGULARIZACIÓN DE PROPIEDAD RAÍZ, COMUNA DE LUMACO </v>
      </c>
      <c r="D113" s="40" t="str">
        <f ca="1">IFERROR(__xludf.DUMMYFUNCTION("""COMPUTED_VALUE"""),"9207230601-C")</f>
        <v>9207230601-C</v>
      </c>
      <c r="E113" s="16" t="str">
        <f ca="1">IFERROR(__xludf.DUMMYFUNCTION("""COMPUTED_VALUE""")," En Ejecución ")</f>
        <v xml:space="preserve"> En Ejecución </v>
      </c>
      <c r="F113" s="41">
        <f ca="1">IFERROR(__xludf.DUMMYFUNCTION("""COMPUTED_VALUE"""),45415)</f>
        <v>45415</v>
      </c>
      <c r="G113" s="16">
        <f ca="1">IFERROR(__xludf.DUMMYFUNCTION("""COMPUTED_VALUE"""),74400000)</f>
        <v>74400000</v>
      </c>
      <c r="H113" s="16" t="str">
        <f ca="1">IFERROR(__xludf.DUMMYFUNCTION("""COMPUTED_VALUE""")," En Ejecución ")</f>
        <v xml:space="preserve"> En Ejecución </v>
      </c>
      <c r="I113" s="16">
        <f ca="1">IFERROR(__xludf.DUMMYFUNCTION("""COMPUTED_VALUE"""),74400000)</f>
        <v>74400000</v>
      </c>
      <c r="J113" s="83" t="s">
        <v>48</v>
      </c>
      <c r="K113" s="16"/>
      <c r="L113" s="16"/>
      <c r="M113" s="16"/>
      <c r="N113" s="19"/>
      <c r="O113" s="21">
        <f ca="1">IFERROR(__xludf.DUMMYFUNCTION("""COMPUTED_VALUE"""),74400000)</f>
        <v>74400000</v>
      </c>
      <c r="P113" s="19"/>
      <c r="Q113" s="19"/>
      <c r="R113" s="19"/>
      <c r="S113" s="19"/>
      <c r="T113" s="19"/>
      <c r="U113" s="19"/>
      <c r="V113" s="19"/>
      <c r="W113" s="20">
        <f ca="1">IFERROR(__xludf.DUMMYFUNCTION("""COMPUTED_VALUE"""),74400000)</f>
        <v>74400000</v>
      </c>
      <c r="X113" s="43" t="str">
        <f ca="1">IFERROR(__xludf.DUMMYFUNCTION("""COMPUTED_VALUE"""),"MUNICIPALIDAD DE LUMACO")</f>
        <v>MUNICIPALIDAD DE LUMACO</v>
      </c>
    </row>
    <row r="114" spans="1:24" ht="15.75" customHeight="1" x14ac:dyDescent="0.25">
      <c r="A114" s="16" t="str">
        <f ca="1">IFERROR(__xludf.DUMMYFUNCTION("""COMPUTED_VALUE""")," REGIÓN METROPOLITANA ")</f>
        <v xml:space="preserve"> REGIÓN METROPOLITANA </v>
      </c>
      <c r="B114" s="16" t="str">
        <f t="shared" ca="1" si="0"/>
        <v xml:space="preserve"> PADRE HURTADO</v>
      </c>
      <c r="C114" s="16" t="str">
        <f ca="1">IFERROR(__xludf.DUMMYFUNCTION("""COMPUTED_VALUE""")," INSTALACION RED DE ALUMBRADO PUBLICO LOTEO SANTA MONICA EL ARRAYAN, COMUNA DE PADRE HURTADO ")</f>
        <v xml:space="preserve"> INSTALACION RED DE ALUMBRADO PUBLICO LOTEO SANTA MONICA EL ARRAYAN, COMUNA DE PADRE HURTADO </v>
      </c>
      <c r="D114" s="40" t="str">
        <f ca="1">IFERROR(__xludf.DUMMYFUNCTION("""COMPUTED_VALUE"""),"13604230705-C")</f>
        <v>13604230705-C</v>
      </c>
      <c r="E114" s="16" t="str">
        <f ca="1">IFERROR(__xludf.DUMMYFUNCTION("""COMPUTED_VALUE""")," En Ejecución ")</f>
        <v xml:space="preserve"> En Ejecución </v>
      </c>
      <c r="F114" s="41">
        <f ca="1">IFERROR(__xludf.DUMMYFUNCTION("""COMPUTED_VALUE"""),45415)</f>
        <v>45415</v>
      </c>
      <c r="G114" s="16">
        <f ca="1">IFERROR(__xludf.DUMMYFUNCTION("""COMPUTED_VALUE"""),86454999)</f>
        <v>86454999</v>
      </c>
      <c r="H114" s="16" t="str">
        <f ca="1">IFERROR(__xludf.DUMMYFUNCTION("""COMPUTED_VALUE""")," En Ejecución ")</f>
        <v xml:space="preserve"> En Ejecución </v>
      </c>
      <c r="I114" s="16">
        <f ca="1">IFERROR(__xludf.DUMMYFUNCTION("""COMPUTED_VALUE"""),86454999)</f>
        <v>86454999</v>
      </c>
      <c r="J114" s="83" t="s">
        <v>48</v>
      </c>
      <c r="K114" s="16"/>
      <c r="L114" s="16"/>
      <c r="M114" s="16"/>
      <c r="N114" s="19"/>
      <c r="O114" s="21">
        <f ca="1">IFERROR(__xludf.DUMMYFUNCTION("""COMPUTED_VALUE"""),86454999)</f>
        <v>86454999</v>
      </c>
      <c r="P114" s="19"/>
      <c r="Q114" s="19"/>
      <c r="R114" s="19"/>
      <c r="S114" s="19"/>
      <c r="T114" s="19"/>
      <c r="U114" s="19"/>
      <c r="V114" s="19"/>
      <c r="W114" s="20">
        <f ca="1">IFERROR(__xludf.DUMMYFUNCTION("""COMPUTED_VALUE"""),86454999)</f>
        <v>86454999</v>
      </c>
      <c r="X114" s="43" t="str">
        <f ca="1">IFERROR(__xludf.DUMMYFUNCTION("""COMPUTED_VALUE"""),"MUNICIPALIDAD DE PADRE HURTADO")</f>
        <v>MUNICIPALIDAD DE PADRE HURTADO</v>
      </c>
    </row>
    <row r="115" spans="1:24" ht="15.75" customHeight="1" x14ac:dyDescent="0.25">
      <c r="A115" s="16" t="str">
        <f ca="1">IFERROR(__xludf.DUMMYFUNCTION("""COMPUTED_VALUE""")," REGIÓN DE TARAPACÁ ")</f>
        <v xml:space="preserve"> REGIÓN DE TARAPACÁ </v>
      </c>
      <c r="B115" s="16" t="str">
        <f t="shared" ca="1" si="0"/>
        <v xml:space="preserve"> POZO ALMONTE</v>
      </c>
      <c r="C115" s="16" t="str">
        <f ca="1">IFERROR(__xludf.DUMMYFUNCTION("""COMPUTED_VALUE""")," ESTUDIO ARQUEOLÓGICO Y PALEONTOLÓGICO PARA EL SITIO PROPUESTO DEL SISTEMA DE AUTOGENERACIÓN ELECTRICA PARA EL PUEBLO DE MACAYA. ")</f>
        <v xml:space="preserve"> ESTUDIO ARQUEOLÓGICO Y PALEONTOLÓGICO PARA EL SITIO PROPUESTO DEL SISTEMA DE AUTOGENERACIÓN ELECTRICA PARA EL PUEBLO DE MACAYA. </v>
      </c>
      <c r="D115" s="40" t="str">
        <f ca="1">IFERROR(__xludf.DUMMYFUNCTION("""COMPUTED_VALUE"""),"1401230401-C")</f>
        <v>1401230401-C</v>
      </c>
      <c r="E115" s="16" t="str">
        <f ca="1">IFERROR(__xludf.DUMMYFUNCTION("""COMPUTED_VALUE""")," En Ejecución ")</f>
        <v xml:space="preserve"> En Ejecución </v>
      </c>
      <c r="F115" s="41">
        <f ca="1">IFERROR(__xludf.DUMMYFUNCTION("""COMPUTED_VALUE"""),45415)</f>
        <v>45415</v>
      </c>
      <c r="G115" s="16">
        <f ca="1">IFERROR(__xludf.DUMMYFUNCTION("""COMPUTED_VALUE"""),15232595)</f>
        <v>15232595</v>
      </c>
      <c r="H115" s="16" t="str">
        <f ca="1">IFERROR(__xludf.DUMMYFUNCTION("""COMPUTED_VALUE""")," En Ejecución ")</f>
        <v xml:space="preserve"> En Ejecución </v>
      </c>
      <c r="I115" s="16">
        <f ca="1">IFERROR(__xludf.DUMMYFUNCTION("""COMPUTED_VALUE"""),15232595)</f>
        <v>15232595</v>
      </c>
      <c r="J115" s="83" t="s">
        <v>48</v>
      </c>
      <c r="K115" s="16"/>
      <c r="L115" s="16"/>
      <c r="M115" s="16"/>
      <c r="N115" s="19"/>
      <c r="O115" s="21">
        <f ca="1">IFERROR(__xludf.DUMMYFUNCTION("""COMPUTED_VALUE"""),15232595)</f>
        <v>15232595</v>
      </c>
      <c r="P115" s="19"/>
      <c r="Q115" s="19"/>
      <c r="R115" s="19"/>
      <c r="S115" s="19"/>
      <c r="T115" s="19"/>
      <c r="U115" s="19"/>
      <c r="V115" s="19"/>
      <c r="W115" s="20">
        <f ca="1">IFERROR(__xludf.DUMMYFUNCTION("""COMPUTED_VALUE"""),15232595)</f>
        <v>15232595</v>
      </c>
      <c r="X115" s="43" t="str">
        <f ca="1">IFERROR(__xludf.DUMMYFUNCTION("""COMPUTED_VALUE"""),"MUNICIPALIDAD DE POZO ALMONTE")</f>
        <v>MUNICIPALIDAD DE POZO ALMONTE</v>
      </c>
    </row>
    <row r="116" spans="1:24" ht="15.75" customHeight="1" x14ac:dyDescent="0.25">
      <c r="A116" s="16" t="str">
        <f ca="1">IFERROR(__xludf.DUMMYFUNCTION("""COMPUTED_VALUE""")," REGIÓN METROPOLITANA ")</f>
        <v xml:space="preserve"> REGIÓN METROPOLITANA </v>
      </c>
      <c r="B116" s="16" t="str">
        <f t="shared" ca="1" si="0"/>
        <v xml:space="preserve"> QUINTA NORMAL</v>
      </c>
      <c r="C116" s="16" t="str">
        <f ca="1">IFERROR(__xludf.DUMMYFUNCTION("""COMPUTED_VALUE""")," CONSTRUCCION DE LA ILUMINACION PEATONAL LO ESPINOZA ")</f>
        <v xml:space="preserve"> CONSTRUCCION DE LA ILUMINACION PEATONAL LO ESPINOZA </v>
      </c>
      <c r="D116" s="40" t="str">
        <f ca="1">IFERROR(__xludf.DUMMYFUNCTION("""COMPUTED_VALUE"""),"13126230709-C")</f>
        <v>13126230709-C</v>
      </c>
      <c r="E116" s="16" t="str">
        <f ca="1">IFERROR(__xludf.DUMMYFUNCTION("""COMPUTED_VALUE""")," En Ejecución ")</f>
        <v xml:space="preserve"> En Ejecución </v>
      </c>
      <c r="F116" s="41">
        <f ca="1">IFERROR(__xludf.DUMMYFUNCTION("""COMPUTED_VALUE"""),45415)</f>
        <v>45415</v>
      </c>
      <c r="G116" s="16">
        <f ca="1">IFERROR(__xludf.DUMMYFUNCTION("""COMPUTED_VALUE"""),307379239)</f>
        <v>307379239</v>
      </c>
      <c r="H116" s="16" t="str">
        <f ca="1">IFERROR(__xludf.DUMMYFUNCTION("""COMPUTED_VALUE""")," En Ejecución ")</f>
        <v xml:space="preserve"> En Ejecución </v>
      </c>
      <c r="I116" s="16">
        <f ca="1">IFERROR(__xludf.DUMMYFUNCTION("""COMPUTED_VALUE"""),307379239)</f>
        <v>307379239</v>
      </c>
      <c r="J116" s="83" t="s">
        <v>48</v>
      </c>
      <c r="K116" s="16"/>
      <c r="L116" s="16"/>
      <c r="M116" s="16"/>
      <c r="N116" s="19"/>
      <c r="O116" s="21">
        <f ca="1">IFERROR(__xludf.DUMMYFUNCTION("""COMPUTED_VALUE"""),307379239)</f>
        <v>307379239</v>
      </c>
      <c r="P116" s="19"/>
      <c r="Q116" s="19"/>
      <c r="R116" s="19"/>
      <c r="S116" s="19"/>
      <c r="T116" s="19"/>
      <c r="U116" s="19"/>
      <c r="V116" s="19"/>
      <c r="W116" s="20">
        <f ca="1">IFERROR(__xludf.DUMMYFUNCTION("""COMPUTED_VALUE"""),307379239)</f>
        <v>307379239</v>
      </c>
      <c r="X116" s="43" t="str">
        <f ca="1">IFERROR(__xludf.DUMMYFUNCTION("""COMPUTED_VALUE"""),"MUNICIPALIDAD DE QUINTA NORMAL")</f>
        <v>MUNICIPALIDAD DE QUINTA NORMAL</v>
      </c>
    </row>
    <row r="117" spans="1:24" ht="15.75" customHeight="1" x14ac:dyDescent="0.25">
      <c r="A117" s="16" t="str">
        <f ca="1">IFERROR(__xludf.DUMMYFUNCTION("""COMPUTED_VALUE""")," REGIÓN DEL LIBERTADOR GENERAL BERNARDO O’HIGGINS ")</f>
        <v xml:space="preserve"> REGIÓN DEL LIBERTADOR GENERAL BERNARDO O’HIGGINS </v>
      </c>
      <c r="B117" s="16" t="str">
        <f t="shared" ca="1" si="0"/>
        <v xml:space="preserve"> PICHIDEGUA</v>
      </c>
      <c r="C117" s="16" t="str">
        <f ca="1">IFERROR(__xludf.DUMMYFUNCTION("""COMPUTED_VALUE""")," ASISTENCIA LEGAL REGULARIZACION DE TITULOS DE DOMINIO PROPIEDADES MUNICIPALES COMUNA DE PICHIDEGUA ")</f>
        <v xml:space="preserve"> ASISTENCIA LEGAL REGULARIZACION DE TITULOS DE DOMINIO PROPIEDADES MUNICIPALES COMUNA DE PICHIDEGUA </v>
      </c>
      <c r="D117" s="40" t="str">
        <f ca="1">IFERROR(__xludf.DUMMYFUNCTION("""COMPUTED_VALUE"""),"6113230601-C")</f>
        <v>6113230601-C</v>
      </c>
      <c r="E117" s="16" t="str">
        <f ca="1">IFERROR(__xludf.DUMMYFUNCTION("""COMPUTED_VALUE""")," En Ejecución ")</f>
        <v xml:space="preserve"> En Ejecución </v>
      </c>
      <c r="F117" s="41">
        <f ca="1">IFERROR(__xludf.DUMMYFUNCTION("""COMPUTED_VALUE"""),45428)</f>
        <v>45428</v>
      </c>
      <c r="G117" s="16">
        <f ca="1">IFERROR(__xludf.DUMMYFUNCTION("""COMPUTED_VALUE"""),37800000)</f>
        <v>37800000</v>
      </c>
      <c r="H117" s="16" t="str">
        <f ca="1">IFERROR(__xludf.DUMMYFUNCTION("""COMPUTED_VALUE""")," En Ejecución ")</f>
        <v xml:space="preserve"> En Ejecución </v>
      </c>
      <c r="I117" s="16">
        <f ca="1">IFERROR(__xludf.DUMMYFUNCTION("""COMPUTED_VALUE"""),37800000)</f>
        <v>37800000</v>
      </c>
      <c r="J117" s="83" t="s">
        <v>48</v>
      </c>
      <c r="K117" s="16"/>
      <c r="L117" s="16"/>
      <c r="M117" s="16"/>
      <c r="N117" s="19"/>
      <c r="O117" s="21">
        <f ca="1">IFERROR(__xludf.DUMMYFUNCTION("""COMPUTED_VALUE"""),37800000)</f>
        <v>37800000</v>
      </c>
      <c r="P117" s="19"/>
      <c r="Q117" s="19"/>
      <c r="R117" s="19"/>
      <c r="S117" s="19"/>
      <c r="T117" s="19"/>
      <c r="U117" s="19"/>
      <c r="V117" s="19"/>
      <c r="W117" s="20">
        <f ca="1">IFERROR(__xludf.DUMMYFUNCTION("""COMPUTED_VALUE"""),37800000)</f>
        <v>37800000</v>
      </c>
      <c r="X117" s="43" t="str">
        <f ca="1">IFERROR(__xludf.DUMMYFUNCTION("""COMPUTED_VALUE"""),"MUNICIPALIDAD DE PICHIDEGUA")</f>
        <v>MUNICIPALIDAD DE PICHIDEGUA</v>
      </c>
    </row>
    <row r="118" spans="1:24" ht="15.75" customHeight="1" x14ac:dyDescent="0.25">
      <c r="A118" s="16" t="str">
        <f ca="1">IFERROR(__xludf.DUMMYFUNCTION("""COMPUTED_VALUE""")," REGIÓN METROPOLITANA ")</f>
        <v xml:space="preserve"> REGIÓN METROPOLITANA </v>
      </c>
      <c r="B118" s="16" t="str">
        <f t="shared" ca="1" si="0"/>
        <v xml:space="preserve"> QUINTA NORMAL</v>
      </c>
      <c r="C118" s="16" t="str">
        <f ca="1">IFERROR(__xludf.DUMMYFUNCTION("""COMPUTED_VALUE""")," CONSTRUCCION DE LA ILUMINACION PEATONAL SAN PABLO PONIENTE ")</f>
        <v xml:space="preserve"> CONSTRUCCION DE LA ILUMINACION PEATONAL SAN PABLO PONIENTE </v>
      </c>
      <c r="D118" s="40" t="str">
        <f ca="1">IFERROR(__xludf.DUMMYFUNCTION("""COMPUTED_VALUE"""),"13126230705-C")</f>
        <v>13126230705-C</v>
      </c>
      <c r="E118" s="16" t="str">
        <f ca="1">IFERROR(__xludf.DUMMYFUNCTION("""COMPUTED_VALUE""")," En Ejecución ")</f>
        <v xml:space="preserve"> En Ejecución </v>
      </c>
      <c r="F118" s="41">
        <f ca="1">IFERROR(__xludf.DUMMYFUNCTION("""COMPUTED_VALUE"""),45415)</f>
        <v>45415</v>
      </c>
      <c r="G118" s="16">
        <f ca="1">IFERROR(__xludf.DUMMYFUNCTION("""COMPUTED_VALUE"""),264620173)</f>
        <v>264620173</v>
      </c>
      <c r="H118" s="16" t="str">
        <f ca="1">IFERROR(__xludf.DUMMYFUNCTION("""COMPUTED_VALUE""")," En Ejecución ")</f>
        <v xml:space="preserve"> En Ejecución </v>
      </c>
      <c r="I118" s="16">
        <f ca="1">IFERROR(__xludf.DUMMYFUNCTION("""COMPUTED_VALUE"""),264620173)</f>
        <v>264620173</v>
      </c>
      <c r="J118" s="83" t="s">
        <v>48</v>
      </c>
      <c r="K118" s="16"/>
      <c r="L118" s="16"/>
      <c r="M118" s="16"/>
      <c r="N118" s="19"/>
      <c r="O118" s="21">
        <f ca="1">IFERROR(__xludf.DUMMYFUNCTION("""COMPUTED_VALUE"""),264620173)</f>
        <v>264620173</v>
      </c>
      <c r="P118" s="19"/>
      <c r="Q118" s="19"/>
      <c r="R118" s="19"/>
      <c r="S118" s="19"/>
      <c r="T118" s="19"/>
      <c r="U118" s="19"/>
      <c r="V118" s="19"/>
      <c r="W118" s="20">
        <f ca="1">IFERROR(__xludf.DUMMYFUNCTION("""COMPUTED_VALUE"""),264620173)</f>
        <v>264620173</v>
      </c>
      <c r="X118" s="43" t="str">
        <f ca="1">IFERROR(__xludf.DUMMYFUNCTION("""COMPUTED_VALUE"""),"MUNICIPALIDAD DE QUINTA NORMAL")</f>
        <v>MUNICIPALIDAD DE QUINTA NORMAL</v>
      </c>
    </row>
    <row r="119" spans="1:24" ht="15.75" customHeight="1" x14ac:dyDescent="0.25">
      <c r="A119" s="16" t="str">
        <f ca="1">IFERROR(__xludf.DUMMYFUNCTION("""COMPUTED_VALUE""")," REGIÓN METROPOLITANA ")</f>
        <v xml:space="preserve"> REGIÓN METROPOLITANA </v>
      </c>
      <c r="B119" s="16" t="str">
        <f t="shared" ca="1" si="0"/>
        <v xml:space="preserve"> SAN JOAQUÍN</v>
      </c>
      <c r="C119" s="16" t="str">
        <f ca="1">IFERROR(__xludf.DUMMYFUNCTION("""COMPUTED_VALUE""")," ASISTENCIA TÉCNICA PARA ELABORACIÓN DE PROYECTOS PMU EN CONDOMINIOS DE VIVIENDAS SOCIALES DE SAN JOAQUÍN ")</f>
        <v xml:space="preserve"> ASISTENCIA TÉCNICA PARA ELABORACIÓN DE PROYECTOS PMU EN CONDOMINIOS DE VIVIENDAS SOCIALES DE SAN JOAQUÍN </v>
      </c>
      <c r="D119" s="40" t="str">
        <f ca="1">IFERROR(__xludf.DUMMYFUNCTION("""COMPUTED_VALUE"""),"13129241001-C")</f>
        <v>13129241001-C</v>
      </c>
      <c r="E119" s="16" t="str">
        <f ca="1">IFERROR(__xludf.DUMMYFUNCTION("""COMPUTED_VALUE""")," En Ejecución ")</f>
        <v xml:space="preserve"> En Ejecución </v>
      </c>
      <c r="F119" s="41">
        <f ca="1">IFERROR(__xludf.DUMMYFUNCTION("""COMPUTED_VALUE"""),45422)</f>
        <v>45422</v>
      </c>
      <c r="G119" s="16">
        <f ca="1">IFERROR(__xludf.DUMMYFUNCTION("""COMPUTED_VALUE"""),54390000)</f>
        <v>54390000</v>
      </c>
      <c r="H119" s="16" t="str">
        <f ca="1">IFERROR(__xludf.DUMMYFUNCTION("""COMPUTED_VALUE""")," En Ejecución ")</f>
        <v xml:space="preserve"> En Ejecución </v>
      </c>
      <c r="I119" s="16">
        <f ca="1">IFERROR(__xludf.DUMMYFUNCTION("""COMPUTED_VALUE"""),54390000)</f>
        <v>54390000</v>
      </c>
      <c r="J119" s="83" t="s">
        <v>48</v>
      </c>
      <c r="K119" s="16"/>
      <c r="L119" s="16"/>
      <c r="M119" s="16"/>
      <c r="N119" s="19"/>
      <c r="O119" s="21">
        <f ca="1">IFERROR(__xludf.DUMMYFUNCTION("""COMPUTED_VALUE"""),54390000)</f>
        <v>54390000</v>
      </c>
      <c r="P119" s="19"/>
      <c r="Q119" s="19"/>
      <c r="R119" s="19"/>
      <c r="S119" s="19"/>
      <c r="T119" s="19"/>
      <c r="U119" s="19"/>
      <c r="V119" s="19"/>
      <c r="W119" s="20">
        <f ca="1">IFERROR(__xludf.DUMMYFUNCTION("""COMPUTED_VALUE"""),54390000)</f>
        <v>54390000</v>
      </c>
      <c r="X119" s="43" t="str">
        <f ca="1">IFERROR(__xludf.DUMMYFUNCTION("""COMPUTED_VALUE"""),"MUNICIPALIDAD DE SAN JOAQUÍN")</f>
        <v>MUNICIPALIDAD DE SAN JOAQUÍN</v>
      </c>
    </row>
    <row r="120" spans="1:24" ht="15.75" customHeight="1" x14ac:dyDescent="0.25">
      <c r="A120" s="16" t="str">
        <f ca="1">IFERROR(__xludf.DUMMYFUNCTION("""COMPUTED_VALUE""")," REGIÓN DEL BIOBÍO ")</f>
        <v xml:space="preserve"> REGIÓN DEL BIOBÍO </v>
      </c>
      <c r="B120" s="16" t="str">
        <f t="shared" ca="1" si="0"/>
        <v xml:space="preserve"> QUILACO</v>
      </c>
      <c r="C120" s="16" t="str">
        <f ca="1">IFERROR(__xludf.DUMMYFUNCTION("""COMPUTED_VALUE""")," ASISTENCIA TÉCNICA DE FORMULACIÓN, DISEÑO Y POSTULACIÓN DE INICIATIVAS DE INVERSIÓN EN SANEAMIENTO SANITARIO E INFRAESTRUCTURA AÑO 2024 ")</f>
        <v xml:space="preserve"> ASISTENCIA TÉCNICA DE FORMULACIÓN, DISEÑO Y POSTULACIÓN DE INICIATIVAS DE INVERSIÓN EN SANEAMIENTO SANITARIO E INFRAESTRUCTURA AÑO 2024 </v>
      </c>
      <c r="D120" s="40" t="str">
        <f ca="1">IFERROR(__xludf.DUMMYFUNCTION("""COMPUTED_VALUE"""),"8308241001-C")</f>
        <v>8308241001-C</v>
      </c>
      <c r="E120" s="16" t="str">
        <f ca="1">IFERROR(__xludf.DUMMYFUNCTION("""COMPUTED_VALUE""")," En Ejecución ")</f>
        <v xml:space="preserve"> En Ejecución </v>
      </c>
      <c r="F120" s="41">
        <f ca="1">IFERROR(__xludf.DUMMYFUNCTION("""COMPUTED_VALUE"""),45436)</f>
        <v>45436</v>
      </c>
      <c r="G120" s="16">
        <f ca="1">IFERROR(__xludf.DUMMYFUNCTION("""COMPUTED_VALUE"""),86360400)</f>
        <v>86360400</v>
      </c>
      <c r="H120" s="16" t="str">
        <f ca="1">IFERROR(__xludf.DUMMYFUNCTION("""COMPUTED_VALUE""")," En Ejecución ")</f>
        <v xml:space="preserve"> En Ejecución </v>
      </c>
      <c r="I120" s="16">
        <f ca="1">IFERROR(__xludf.DUMMYFUNCTION("""COMPUTED_VALUE"""),86360400)</f>
        <v>86360400</v>
      </c>
      <c r="J120" s="83" t="s">
        <v>48</v>
      </c>
      <c r="K120" s="16"/>
      <c r="L120" s="16"/>
      <c r="M120" s="16"/>
      <c r="N120" s="19"/>
      <c r="O120" s="21">
        <f ca="1">IFERROR(__xludf.DUMMYFUNCTION("""COMPUTED_VALUE"""),86360400)</f>
        <v>86360400</v>
      </c>
      <c r="P120" s="19"/>
      <c r="Q120" s="19"/>
      <c r="R120" s="19"/>
      <c r="S120" s="19"/>
      <c r="T120" s="19"/>
      <c r="U120" s="19"/>
      <c r="V120" s="19"/>
      <c r="W120" s="20">
        <f ca="1">IFERROR(__xludf.DUMMYFUNCTION("""COMPUTED_VALUE"""),86360400)</f>
        <v>86360400</v>
      </c>
      <c r="X120" s="43" t="str">
        <f ca="1">IFERROR(__xludf.DUMMYFUNCTION("""COMPUTED_VALUE"""),"MUNICIPALIDAD DE QUILACO")</f>
        <v>MUNICIPALIDAD DE QUILACO</v>
      </c>
    </row>
    <row r="121" spans="1:24" ht="15.75" customHeight="1" x14ac:dyDescent="0.25">
      <c r="A121" s="16" t="str">
        <f ca="1">IFERROR(__xludf.DUMMYFUNCTION("""COMPUTED_VALUE""")," REGIÓN DE LA ARAUCANÍA ")</f>
        <v xml:space="preserve"> REGIÓN DE LA ARAUCANÍA </v>
      </c>
      <c r="B121" s="16" t="str">
        <f t="shared" ca="1" si="0"/>
        <v xml:space="preserve"> PERQUENCO</v>
      </c>
      <c r="C121" s="16" t="str">
        <f ca="1">IFERROR(__xludf.DUMMYFUNCTION("""COMPUTED_VALUE""")," CONTRATACIÓN DE PROFESIONALES PARA ASISTENCIA TECNICA, CARTERA PMB, COMUNA PERQUENCO ")</f>
        <v xml:space="preserve"> CONTRATACIÓN DE PROFESIONALES PARA ASISTENCIA TECNICA, CARTERA PMB, COMUNA PERQUENCO </v>
      </c>
      <c r="D121" s="40" t="str">
        <f ca="1">IFERROR(__xludf.DUMMYFUNCTION("""COMPUTED_VALUE"""),"9113231003-C")</f>
        <v>9113231003-C</v>
      </c>
      <c r="E121" s="16" t="str">
        <f ca="1">IFERROR(__xludf.DUMMYFUNCTION("""COMPUTED_VALUE""")," En Ejecución ")</f>
        <v xml:space="preserve"> En Ejecución </v>
      </c>
      <c r="F121" s="41">
        <f ca="1">IFERROR(__xludf.DUMMYFUNCTION("""COMPUTED_VALUE"""),45428)</f>
        <v>45428</v>
      </c>
      <c r="G121" s="16">
        <f ca="1">IFERROR(__xludf.DUMMYFUNCTION("""COMPUTED_VALUE"""),68400000)</f>
        <v>68400000</v>
      </c>
      <c r="H121" s="16" t="str">
        <f ca="1">IFERROR(__xludf.DUMMYFUNCTION("""COMPUTED_VALUE""")," En Ejecución ")</f>
        <v xml:space="preserve"> En Ejecución </v>
      </c>
      <c r="I121" s="16">
        <f ca="1">IFERROR(__xludf.DUMMYFUNCTION("""COMPUTED_VALUE"""),68400000)</f>
        <v>68400000</v>
      </c>
      <c r="J121" s="83" t="s">
        <v>48</v>
      </c>
      <c r="K121" s="16"/>
      <c r="L121" s="16"/>
      <c r="M121" s="16"/>
      <c r="N121" s="19"/>
      <c r="O121" s="21">
        <f ca="1">IFERROR(__xludf.DUMMYFUNCTION("""COMPUTED_VALUE"""),68400000)</f>
        <v>68400000</v>
      </c>
      <c r="P121" s="19"/>
      <c r="Q121" s="19"/>
      <c r="R121" s="19"/>
      <c r="S121" s="19"/>
      <c r="T121" s="19"/>
      <c r="U121" s="19"/>
      <c r="V121" s="19"/>
      <c r="W121" s="20">
        <f ca="1">IFERROR(__xludf.DUMMYFUNCTION("""COMPUTED_VALUE"""),68400000)</f>
        <v>68400000</v>
      </c>
      <c r="X121" s="43" t="str">
        <f ca="1">IFERROR(__xludf.DUMMYFUNCTION("""COMPUTED_VALUE"""),"MUNICIPALIDAD DE PERQUENCO")</f>
        <v>MUNICIPALIDAD DE PERQUENCO</v>
      </c>
    </row>
    <row r="122" spans="1:24" ht="15.75" customHeight="1" x14ac:dyDescent="0.25">
      <c r="A122" s="16" t="str">
        <f ca="1">IFERROR(__xludf.DUMMYFUNCTION("""COMPUTED_VALUE""")," REGIÓN DE AYSÉN DEL GENERAL CARLOS IBÁÑEZ DEL CAMPO ")</f>
        <v xml:space="preserve"> REGIÓN DE AYSÉN DEL GENERAL CARLOS IBÁÑEZ DEL CAMPO </v>
      </c>
      <c r="B122" s="16" t="str">
        <f t="shared" ca="1" si="0"/>
        <v xml:space="preserve"> CISNES</v>
      </c>
      <c r="C122" s="16" t="str">
        <f ca="1">IFERROR(__xludf.DUMMYFUNCTION("""COMPUTED_VALUE""")," CONTRATACIÓN DE PROFESIONAL DEL ÁREA DE ELECTRIFICACIÓN PARA GENERACIÓN Y CONTRAPARTE TÉCNICA DE PROYECTOS PMB 2022, COMUNA DE CISNES ")</f>
        <v xml:space="preserve"> CONTRATACIÓN DE PROFESIONAL DEL ÁREA DE ELECTRIFICACIÓN PARA GENERACIÓN Y CONTRAPARTE TÉCNICA DE PROYECTOS PMB 2022, COMUNA DE CISNES </v>
      </c>
      <c r="D122" s="40" t="str">
        <f ca="1">IFERROR(__xludf.DUMMYFUNCTION("""COMPUTED_VALUE"""),"11202221003-C")</f>
        <v>11202221003-C</v>
      </c>
      <c r="E122" s="16" t="str">
        <f ca="1">IFERROR(__xludf.DUMMYFUNCTION("""COMPUTED_VALUE""")," En Ejecución ")</f>
        <v xml:space="preserve"> En Ejecución </v>
      </c>
      <c r="F122" s="41">
        <f ca="1">IFERROR(__xludf.DUMMYFUNCTION("""COMPUTED_VALUE"""),44861)</f>
        <v>44861</v>
      </c>
      <c r="G122" s="16">
        <f ca="1">IFERROR(__xludf.DUMMYFUNCTION("""COMPUTED_VALUE"""),21600000)</f>
        <v>21600000</v>
      </c>
      <c r="H122" s="16" t="str">
        <f ca="1">IFERROR(__xludf.DUMMYFUNCTION("""COMPUTED_VALUE""")," En Ejecución ")</f>
        <v xml:space="preserve"> En Ejecución </v>
      </c>
      <c r="I122" s="16">
        <f ca="1">IFERROR(__xludf.DUMMYFUNCTION("""COMPUTED_VALUE"""),3600000)</f>
        <v>3600000</v>
      </c>
      <c r="J122" s="83" t="s">
        <v>48</v>
      </c>
      <c r="K122" s="16"/>
      <c r="L122" s="16"/>
      <c r="M122" s="16"/>
      <c r="N122" s="19"/>
      <c r="O122" s="21">
        <f ca="1">IFERROR(__xludf.DUMMYFUNCTION("""COMPUTED_VALUE"""),3600000)</f>
        <v>3600000</v>
      </c>
      <c r="P122" s="19"/>
      <c r="Q122" s="19"/>
      <c r="R122" s="19"/>
      <c r="S122" s="19"/>
      <c r="T122" s="19"/>
      <c r="U122" s="19"/>
      <c r="V122" s="19"/>
      <c r="W122" s="20">
        <f ca="1">IFERROR(__xludf.DUMMYFUNCTION("""COMPUTED_VALUE"""),3600000)</f>
        <v>3600000</v>
      </c>
      <c r="X122" s="43" t="str">
        <f ca="1">IFERROR(__xludf.DUMMYFUNCTION("""COMPUTED_VALUE"""),"MUNICIPALIDAD DE CISNES")</f>
        <v>MUNICIPALIDAD DE CISNES</v>
      </c>
    </row>
    <row r="123" spans="1:24" ht="15.75" customHeight="1" x14ac:dyDescent="0.25">
      <c r="A123" s="16" t="str">
        <f ca="1">IFERROR(__xludf.DUMMYFUNCTION("""COMPUTED_VALUE""")," REGIÓN DE LOS LAGOS ")</f>
        <v xml:space="preserve"> REGIÓN DE LOS LAGOS </v>
      </c>
      <c r="B123" s="16" t="str">
        <f t="shared" ca="1" si="0"/>
        <v xml:space="preserve"> PUYEHUE</v>
      </c>
      <c r="C123" s="16" t="str">
        <f ca="1">IFERROR(__xludf.DUMMYFUNCTION("""COMPUTED_VALUE""")," ASISTENCIA TÉCNICA PROFESIONAL PARA FORMULACIÓN DE PROYECTOS 2022 – 2023 ")</f>
        <v xml:space="preserve"> ASISTENCIA TÉCNICA PROFESIONAL PARA FORMULACIÓN DE PROYECTOS 2022 – 2023 </v>
      </c>
      <c r="D123" s="40" t="str">
        <f ca="1">IFERROR(__xludf.DUMMYFUNCTION("""COMPUTED_VALUE"""),"10304221002-C")</f>
        <v>10304221002-C</v>
      </c>
      <c r="E123" s="16" t="str">
        <f ca="1">IFERROR(__xludf.DUMMYFUNCTION("""COMPUTED_VALUE""")," En Ejecución ")</f>
        <v xml:space="preserve"> En Ejecución </v>
      </c>
      <c r="F123" s="41">
        <f ca="1">IFERROR(__xludf.DUMMYFUNCTION("""COMPUTED_VALUE"""),44862)</f>
        <v>44862</v>
      </c>
      <c r="G123" s="16">
        <f ca="1">IFERROR(__xludf.DUMMYFUNCTION("""COMPUTED_VALUE"""),64800000)</f>
        <v>64800000</v>
      </c>
      <c r="H123" s="16" t="str">
        <f ca="1">IFERROR(__xludf.DUMMYFUNCTION("""COMPUTED_VALUE""")," En Ejecución ")</f>
        <v xml:space="preserve"> En Ejecución </v>
      </c>
      <c r="I123" s="16">
        <f ca="1">IFERROR(__xludf.DUMMYFUNCTION("""COMPUTED_VALUE"""),3600000)</f>
        <v>3600000</v>
      </c>
      <c r="J123" s="83" t="s">
        <v>48</v>
      </c>
      <c r="K123" s="16"/>
      <c r="L123" s="16"/>
      <c r="M123" s="16"/>
      <c r="N123" s="19"/>
      <c r="O123" s="21">
        <f ca="1">IFERROR(__xludf.DUMMYFUNCTION("""COMPUTED_VALUE"""),3600000)</f>
        <v>3600000</v>
      </c>
      <c r="P123" s="19"/>
      <c r="Q123" s="19"/>
      <c r="R123" s="19"/>
      <c r="S123" s="19"/>
      <c r="T123" s="19"/>
      <c r="U123" s="19"/>
      <c r="V123" s="19"/>
      <c r="W123" s="20">
        <f ca="1">IFERROR(__xludf.DUMMYFUNCTION("""COMPUTED_VALUE"""),3600000)</f>
        <v>3600000</v>
      </c>
      <c r="X123" s="43" t="str">
        <f ca="1">IFERROR(__xludf.DUMMYFUNCTION("""COMPUTED_VALUE"""),"MUNICIPALIDAD DE PUYEHUE")</f>
        <v>MUNICIPALIDAD DE PUYEHUE</v>
      </c>
    </row>
    <row r="124" spans="1:24" ht="15.75" customHeight="1" x14ac:dyDescent="0.25">
      <c r="A124" s="16" t="str">
        <f ca="1">IFERROR(__xludf.DUMMYFUNCTION("""COMPUTED_VALUE""")," REGIÓN DE VALPARAÍSO ")</f>
        <v xml:space="preserve"> REGIÓN DE VALPARAÍSO </v>
      </c>
      <c r="B124" s="16" t="str">
        <f t="shared" ca="1" si="0"/>
        <v xml:space="preserve"> SANTA MARÍA</v>
      </c>
      <c r="C124" s="16" t="str">
        <f ca="1">IFERROR(__xludf.DUMMYFUNCTION("""COMPUTED_VALUE""")," CONSTRUCCIÓN EXTENSIÓN DE MATRIZ AP CALLEJÓN SAN FRANCISCO, COMUNA DE SANTA MARÍA ")</f>
        <v xml:space="preserve"> CONSTRUCCIÓN EXTENSIÓN DE MATRIZ AP CALLEJÓN SAN FRANCISCO, COMUNA DE SANTA MARÍA </v>
      </c>
      <c r="D124" s="40" t="str">
        <f ca="1">IFERROR(__xludf.DUMMYFUNCTION("""COMPUTED_VALUE"""),"5706220703-C [CHA]")</f>
        <v>5706220703-C [CHA]</v>
      </c>
      <c r="E124" s="16" t="str">
        <f ca="1">IFERROR(__xludf.DUMMYFUNCTION("""COMPUTED_VALUE""")," En Ejecución ")</f>
        <v xml:space="preserve"> En Ejecución </v>
      </c>
      <c r="F124" s="41">
        <f ca="1">IFERROR(__xludf.DUMMYFUNCTION("""COMPUTED_VALUE"""),44771)</f>
        <v>44771</v>
      </c>
      <c r="G124" s="16">
        <f ca="1">IFERROR(__xludf.DUMMYFUNCTION("""COMPUTED_VALUE"""),6280524)</f>
        <v>6280524</v>
      </c>
      <c r="H124" s="16" t="str">
        <f ca="1">IFERROR(__xludf.DUMMYFUNCTION("""COMPUTED_VALUE""")," En Ejecución ")</f>
        <v xml:space="preserve"> En Ejecución </v>
      </c>
      <c r="I124" s="16">
        <f ca="1">IFERROR(__xludf.DUMMYFUNCTION("""COMPUTED_VALUE"""),6279445)</f>
        <v>6279445</v>
      </c>
      <c r="J124" s="83" t="s">
        <v>48</v>
      </c>
      <c r="K124" s="16"/>
      <c r="L124" s="16"/>
      <c r="M124" s="16"/>
      <c r="N124" s="19"/>
      <c r="O124" s="21">
        <f ca="1">IFERROR(__xludf.DUMMYFUNCTION("""COMPUTED_VALUE"""),6279445)</f>
        <v>6279445</v>
      </c>
      <c r="P124" s="19"/>
      <c r="Q124" s="19"/>
      <c r="R124" s="19"/>
      <c r="S124" s="19"/>
      <c r="T124" s="19"/>
      <c r="U124" s="19"/>
      <c r="V124" s="19"/>
      <c r="W124" s="20">
        <f ca="1">IFERROR(__xludf.DUMMYFUNCTION("""COMPUTED_VALUE"""),6279445)</f>
        <v>6279445</v>
      </c>
      <c r="X124" s="43" t="str">
        <f ca="1">IFERROR(__xludf.DUMMYFUNCTION("""COMPUTED_VALUE"""),"MUNICIPALIDAD DE SANTA MARÍA")</f>
        <v>MUNICIPALIDAD DE SANTA MARÍA</v>
      </c>
    </row>
    <row r="125" spans="1:24" ht="15.75" customHeight="1" x14ac:dyDescent="0.25">
      <c r="A125" s="16" t="str">
        <f ca="1">IFERROR(__xludf.DUMMYFUNCTION("""COMPUTED_VALUE""")," REGIÓN DEL MAULE ")</f>
        <v xml:space="preserve"> REGIÓN DEL MAULE </v>
      </c>
      <c r="B125" s="16" t="str">
        <f t="shared" ca="1" si="0"/>
        <v xml:space="preserve"> ROMERAL</v>
      </c>
      <c r="C125" s="16" t="str">
        <f ca="1">IFERROR(__xludf.DUMMYFUNCTION("""COMPUTED_VALUE""")," MEJORAMIENTO Y AMPLIACION DE REDES DE ALUMBRADO PUBLICO Y DISEÑO DE PROYECTOS DE EFICIENCIA ENERGETICA EN EQUIPAMIENTO COMUNAL, COMUNA DE ROMERAL ")</f>
        <v xml:space="preserve"> MEJORAMIENTO Y AMPLIACION DE REDES DE ALUMBRADO PUBLICO Y DISEÑO DE PROYECTOS DE EFICIENCIA ENERGETICA EN EQUIPAMIENTO COMUNAL, COMUNA DE ROMERAL </v>
      </c>
      <c r="D125" s="40" t="str">
        <f ca="1">IFERROR(__xludf.DUMMYFUNCTION("""COMPUTED_VALUE"""),"7306231001-C")</f>
        <v>7306231001-C</v>
      </c>
      <c r="E125" s="16" t="str">
        <f ca="1">IFERROR(__xludf.DUMMYFUNCTION("""COMPUTED_VALUE""")," En Ejecución ")</f>
        <v xml:space="preserve"> En Ejecución </v>
      </c>
      <c r="F125" s="41">
        <f ca="1">IFERROR(__xludf.DUMMYFUNCTION("""COMPUTED_VALUE"""),45128)</f>
        <v>45128</v>
      </c>
      <c r="G125" s="16">
        <f ca="1">IFERROR(__xludf.DUMMYFUNCTION("""COMPUTED_VALUE"""),52800000)</f>
        <v>52800000</v>
      </c>
      <c r="H125" s="16" t="str">
        <f ca="1">IFERROR(__xludf.DUMMYFUNCTION("""COMPUTED_VALUE""")," En Ejecución ")</f>
        <v xml:space="preserve"> En Ejecución </v>
      </c>
      <c r="I125" s="16">
        <f ca="1">IFERROR(__xludf.DUMMYFUNCTION("""COMPUTED_VALUE"""),13200000)</f>
        <v>13200000</v>
      </c>
      <c r="J125" s="83" t="s">
        <v>48</v>
      </c>
      <c r="K125" s="16"/>
      <c r="L125" s="16"/>
      <c r="M125" s="16"/>
      <c r="N125" s="19"/>
      <c r="O125" s="21">
        <f ca="1">IFERROR(__xludf.DUMMYFUNCTION("""COMPUTED_VALUE"""),13200000)</f>
        <v>13200000</v>
      </c>
      <c r="P125" s="19"/>
      <c r="Q125" s="19"/>
      <c r="R125" s="19"/>
      <c r="S125" s="19"/>
      <c r="T125" s="19"/>
      <c r="U125" s="19"/>
      <c r="V125" s="19"/>
      <c r="W125" s="20">
        <f ca="1">IFERROR(__xludf.DUMMYFUNCTION("""COMPUTED_VALUE"""),13200000)</f>
        <v>13200000</v>
      </c>
      <c r="X125" s="43" t="str">
        <f ca="1">IFERROR(__xludf.DUMMYFUNCTION("""COMPUTED_VALUE"""),"MUNICIPALIDAD DE ROMERAL")</f>
        <v>MUNICIPALIDAD DE ROMERAL</v>
      </c>
    </row>
    <row r="126" spans="1:24" ht="15.75" customHeight="1" x14ac:dyDescent="0.25">
      <c r="A126" s="16" t="str">
        <f ca="1">IFERROR(__xludf.DUMMYFUNCTION("""COMPUTED_VALUE""")," REGIÓN DEL MAULE ")</f>
        <v xml:space="preserve"> REGIÓN DEL MAULE </v>
      </c>
      <c r="B126" s="16" t="str">
        <f t="shared" ca="1" si="0"/>
        <v xml:space="preserve"> RÍO CLARO</v>
      </c>
      <c r="C126" s="16" t="str">
        <f ca="1">IFERROR(__xludf.DUMMYFUNCTION("""COMPUTED_VALUE""")," ASISTENCIA TÉCNICA EN SANEAMIENTO SANITARIO COMUNA DE RÍO CLARO ")</f>
        <v xml:space="preserve"> ASISTENCIA TÉCNICA EN SANEAMIENTO SANITARIO COMUNA DE RÍO CLARO </v>
      </c>
      <c r="D126" s="40" t="str">
        <f ca="1">IFERROR(__xludf.DUMMYFUNCTION("""COMPUTED_VALUE"""),"7108231001-C")</f>
        <v>7108231001-C</v>
      </c>
      <c r="E126" s="16" t="str">
        <f ca="1">IFERROR(__xludf.DUMMYFUNCTION("""COMPUTED_VALUE""")," En Ejecución ")</f>
        <v xml:space="preserve"> En Ejecución </v>
      </c>
      <c r="F126" s="41">
        <f ca="1">IFERROR(__xludf.DUMMYFUNCTION("""COMPUTED_VALUE"""),45128)</f>
        <v>45128</v>
      </c>
      <c r="G126" s="16">
        <f ca="1">IFERROR(__xludf.DUMMYFUNCTION("""COMPUTED_VALUE"""),73560000)</f>
        <v>73560000</v>
      </c>
      <c r="H126" s="16" t="str">
        <f ca="1">IFERROR(__xludf.DUMMYFUNCTION("""COMPUTED_VALUE""")," En Ejecución ")</f>
        <v xml:space="preserve"> En Ejecución </v>
      </c>
      <c r="I126" s="16">
        <f ca="1">IFERROR(__xludf.DUMMYFUNCTION("""COMPUTED_VALUE"""),18390000)</f>
        <v>18390000</v>
      </c>
      <c r="J126" s="83" t="s">
        <v>48</v>
      </c>
      <c r="K126" s="16"/>
      <c r="L126" s="16"/>
      <c r="M126" s="16"/>
      <c r="N126" s="19"/>
      <c r="O126" s="21">
        <f ca="1">IFERROR(__xludf.DUMMYFUNCTION("""COMPUTED_VALUE"""),18390000)</f>
        <v>18390000</v>
      </c>
      <c r="P126" s="19"/>
      <c r="Q126" s="19"/>
      <c r="R126" s="19"/>
      <c r="S126" s="19"/>
      <c r="T126" s="19"/>
      <c r="U126" s="19"/>
      <c r="V126" s="19"/>
      <c r="W126" s="20">
        <f ca="1">IFERROR(__xludf.DUMMYFUNCTION("""COMPUTED_VALUE"""),18390000)</f>
        <v>18390000</v>
      </c>
      <c r="X126" s="43" t="str">
        <f ca="1">IFERROR(__xludf.DUMMYFUNCTION("""COMPUTED_VALUE"""),"MUNICIPALIDAD DE RÍO CLARO")</f>
        <v>MUNICIPALIDAD DE RÍO CLARO</v>
      </c>
    </row>
    <row r="127" spans="1:24" ht="15.75" customHeight="1" x14ac:dyDescent="0.25">
      <c r="A127" s="16" t="str">
        <f ca="1">IFERROR(__xludf.DUMMYFUNCTION("""COMPUTED_VALUE""")," REGIÓN DE LOS LAGOS ")</f>
        <v xml:space="preserve"> REGIÓN DE LOS LAGOS </v>
      </c>
      <c r="B127" s="16" t="str">
        <f t="shared" ca="1" si="0"/>
        <v xml:space="preserve"> SAN PABLO</v>
      </c>
      <c r="C127" s="16" t="str">
        <f ca="1">IFERROR(__xludf.DUMMYFUNCTION("""COMPUTED_VALUE""")," ASISTENCIA TÉCNICA CONTRATACIÓN DE PROFESIONALES PARA APOYO TÉCNICO MUNICIPAL ")</f>
        <v xml:space="preserve"> ASISTENCIA TÉCNICA CONTRATACIÓN DE PROFESIONALES PARA APOYO TÉCNICO MUNICIPAL </v>
      </c>
      <c r="D127" s="40" t="str">
        <f ca="1">IFERROR(__xludf.DUMMYFUNCTION("""COMPUTED_VALUE"""),"10307231001-C")</f>
        <v>10307231001-C</v>
      </c>
      <c r="E127" s="16" t="str">
        <f ca="1">IFERROR(__xludf.DUMMYFUNCTION("""COMPUTED_VALUE""")," En Ejecución ")</f>
        <v xml:space="preserve"> En Ejecución </v>
      </c>
      <c r="F127" s="41">
        <f ca="1">IFERROR(__xludf.DUMMYFUNCTION("""COMPUTED_VALUE"""),45441)</f>
        <v>45441</v>
      </c>
      <c r="G127" s="16">
        <f ca="1">IFERROR(__xludf.DUMMYFUNCTION("""COMPUTED_VALUE"""),64800000)</f>
        <v>64800000</v>
      </c>
      <c r="H127" s="16" t="str">
        <f ca="1">IFERROR(__xludf.DUMMYFUNCTION("""COMPUTED_VALUE""")," En Ejecución ")</f>
        <v xml:space="preserve"> En Ejecución </v>
      </c>
      <c r="I127" s="16">
        <f ca="1">IFERROR(__xludf.DUMMYFUNCTION("""COMPUTED_VALUE"""),64800000)</f>
        <v>64800000</v>
      </c>
      <c r="J127" s="83" t="s">
        <v>48</v>
      </c>
      <c r="K127" s="16"/>
      <c r="L127" s="16"/>
      <c r="M127" s="16"/>
      <c r="N127" s="19"/>
      <c r="O127" s="19"/>
      <c r="P127" s="21">
        <f ca="1">IFERROR(__xludf.DUMMYFUNCTION("""COMPUTED_VALUE"""),64800000)</f>
        <v>64800000</v>
      </c>
      <c r="Q127" s="19"/>
      <c r="R127" s="19"/>
      <c r="S127" s="19"/>
      <c r="T127" s="19"/>
      <c r="U127" s="19"/>
      <c r="V127" s="19"/>
      <c r="W127" s="20">
        <f ca="1">IFERROR(__xludf.DUMMYFUNCTION("""COMPUTED_VALUE"""),64800000)</f>
        <v>64800000</v>
      </c>
      <c r="X127" s="43" t="str">
        <f ca="1">IFERROR(__xludf.DUMMYFUNCTION("""COMPUTED_VALUE"""),"MUNICIPALIDAD DE SAN PABLO")</f>
        <v>MUNICIPALIDAD DE SAN PABLO</v>
      </c>
    </row>
    <row r="128" spans="1:24" ht="15.75" customHeight="1" x14ac:dyDescent="0.25">
      <c r="A128" s="16" t="str">
        <f ca="1">IFERROR(__xludf.DUMMYFUNCTION("""COMPUTED_VALUE""")," REGIÓN DE ATACAMA ")</f>
        <v xml:space="preserve"> REGIÓN DE ATACAMA </v>
      </c>
      <c r="B128" s="16" t="str">
        <f t="shared" ca="1" si="0"/>
        <v xml:space="preserve"> TIERRA AMARILLA</v>
      </c>
      <c r="C128" s="16" t="str">
        <f ca="1">IFERROR(__xludf.DUMMYFUNCTION("""COMPUTED_VALUE""")," ADQUISICIÓN DE TERRENO UBICADO EN AV. MIGUEL LEMEUR N°625-635 ")</f>
        <v xml:space="preserve"> ADQUISICIÓN DE TERRENO UBICADO EN AV. MIGUEL LEMEUR N°625-635 </v>
      </c>
      <c r="D128" s="40" t="str">
        <f ca="1">IFERROR(__xludf.DUMMYFUNCTION("""COMPUTED_VALUE"""),"3103220801-C")</f>
        <v>3103220801-C</v>
      </c>
      <c r="E128" s="16" t="str">
        <f ca="1">IFERROR(__xludf.DUMMYFUNCTION("""COMPUTED_VALUE""")," En Ejecución ")</f>
        <v xml:space="preserve"> En Ejecución </v>
      </c>
      <c r="F128" s="41">
        <f ca="1">IFERROR(__xludf.DUMMYFUNCTION("""COMPUTED_VALUE"""),45443)</f>
        <v>45443</v>
      </c>
      <c r="G128" s="16">
        <f ca="1">IFERROR(__xludf.DUMMYFUNCTION("""COMPUTED_VALUE"""),659886340)</f>
        <v>659886340</v>
      </c>
      <c r="H128" s="16" t="str">
        <f ca="1">IFERROR(__xludf.DUMMYFUNCTION("""COMPUTED_VALUE""")," En Ejecución ")</f>
        <v xml:space="preserve"> En Ejecución </v>
      </c>
      <c r="I128" s="16">
        <f ca="1">IFERROR(__xludf.DUMMYFUNCTION("""COMPUTED_VALUE"""),659886340)</f>
        <v>659886340</v>
      </c>
      <c r="J128" s="83" t="s">
        <v>48</v>
      </c>
      <c r="K128" s="16"/>
      <c r="L128" s="16"/>
      <c r="M128" s="16"/>
      <c r="N128" s="19"/>
      <c r="O128" s="19"/>
      <c r="P128" s="21">
        <f ca="1">IFERROR(__xludf.DUMMYFUNCTION("""COMPUTED_VALUE"""),659886340)</f>
        <v>659886340</v>
      </c>
      <c r="Q128" s="19"/>
      <c r="R128" s="19"/>
      <c r="S128" s="19"/>
      <c r="T128" s="19"/>
      <c r="U128" s="19"/>
      <c r="V128" s="19"/>
      <c r="W128" s="20">
        <f ca="1">IFERROR(__xludf.DUMMYFUNCTION("""COMPUTED_VALUE"""),659886340)</f>
        <v>659886340</v>
      </c>
      <c r="X128" s="43" t="str">
        <f ca="1">IFERROR(__xludf.DUMMYFUNCTION("""COMPUTED_VALUE"""),"MUNICIPALIDAD DE TIERRA AMARILLA")</f>
        <v>MUNICIPALIDAD DE TIERRA AMARILLA</v>
      </c>
    </row>
    <row r="129" spans="1:24" ht="15.75" customHeight="1" x14ac:dyDescent="0.25">
      <c r="A129" s="16" t="str">
        <f ca="1">IFERROR(__xludf.DUMMYFUNCTION("""COMPUTED_VALUE""")," REGIÓN DEL BIOBÍO ")</f>
        <v xml:space="preserve"> REGIÓN DEL BIOBÍO </v>
      </c>
      <c r="B129" s="16" t="str">
        <f t="shared" ca="1" si="0"/>
        <v xml:space="preserve"> TUCAPEL</v>
      </c>
      <c r="C129" s="16" t="str">
        <f ca="1">IFERROR(__xludf.DUMMYFUNCTION("""COMPUTED_VALUE""")," ESTUDIOS GEOFISICOS E HIDROLOGICOS, DIVERSOS SECTORES, COMUNA TUCAPEL ")</f>
        <v xml:space="preserve"> ESTUDIOS GEOFISICOS E HIDROLOGICOS, DIVERSOS SECTORES, COMUNA TUCAPEL </v>
      </c>
      <c r="D129" s="40" t="str">
        <f ca="1">IFERROR(__xludf.DUMMYFUNCTION("""COMPUTED_VALUE"""),"8312230401-C")</f>
        <v>8312230401-C</v>
      </c>
      <c r="E129" s="16" t="str">
        <f ca="1">IFERROR(__xludf.DUMMYFUNCTION("""COMPUTED_VALUE""")," En Ejecución ")</f>
        <v xml:space="preserve"> En Ejecución </v>
      </c>
      <c r="F129" s="41">
        <f ca="1">IFERROR(__xludf.DUMMYFUNCTION("""COMPUTED_VALUE"""),45441)</f>
        <v>45441</v>
      </c>
      <c r="G129" s="16">
        <f ca="1">IFERROR(__xludf.DUMMYFUNCTION("""COMPUTED_VALUE"""),59916500)</f>
        <v>59916500</v>
      </c>
      <c r="H129" s="16" t="str">
        <f ca="1">IFERROR(__xludf.DUMMYFUNCTION("""COMPUTED_VALUE""")," En Ejecución ")</f>
        <v xml:space="preserve"> En Ejecución </v>
      </c>
      <c r="I129" s="16">
        <f ca="1">IFERROR(__xludf.DUMMYFUNCTION("""COMPUTED_VALUE"""),59916500)</f>
        <v>59916500</v>
      </c>
      <c r="J129" s="83" t="s">
        <v>48</v>
      </c>
      <c r="K129" s="16"/>
      <c r="L129" s="16"/>
      <c r="M129" s="16"/>
      <c r="N129" s="19"/>
      <c r="O129" s="19"/>
      <c r="P129" s="21">
        <f ca="1">IFERROR(__xludf.DUMMYFUNCTION("""COMPUTED_VALUE"""),59916500)</f>
        <v>59916500</v>
      </c>
      <c r="Q129" s="19"/>
      <c r="R129" s="19"/>
      <c r="S129" s="19"/>
      <c r="T129" s="19"/>
      <c r="U129" s="19"/>
      <c r="V129" s="19"/>
      <c r="W129" s="20">
        <f ca="1">IFERROR(__xludf.DUMMYFUNCTION("""COMPUTED_VALUE"""),59916500)</f>
        <v>59916500</v>
      </c>
      <c r="X129" s="43" t="str">
        <f ca="1">IFERROR(__xludf.DUMMYFUNCTION("""COMPUTED_VALUE"""),"MUNICIPALIDAD DE TUCAPEL")</f>
        <v>MUNICIPALIDAD DE TUCAPEL</v>
      </c>
    </row>
    <row r="130" spans="1:24" ht="15.75" customHeight="1" x14ac:dyDescent="0.25">
      <c r="A130" s="16" t="str">
        <f ca="1">IFERROR(__xludf.DUMMYFUNCTION("""COMPUTED_VALUE""")," REGIÓN DEL BIOBÍO ")</f>
        <v xml:space="preserve"> REGIÓN DEL BIOBÍO </v>
      </c>
      <c r="B130" s="16" t="str">
        <f t="shared" ca="1" si="0"/>
        <v xml:space="preserve"> TIRÚA</v>
      </c>
      <c r="C130" s="16" t="str">
        <f ca="1">IFERROR(__xludf.DUMMYFUNCTION("""COMPUTED_VALUE""")," ASISTENCIA TÉCNICA PARA EL DESARROLLO DE PROYECTOS DE SANEAMIENTO BÁSICO, ELECTRIFICACIÓN RURAL Y SERVICIOS SOCIALES SECPLAN ")</f>
        <v xml:space="preserve"> ASISTENCIA TÉCNICA PARA EL DESARROLLO DE PROYECTOS DE SANEAMIENTO BÁSICO, ELECTRIFICACIÓN RURAL Y SERVICIOS SOCIALES SECPLAN </v>
      </c>
      <c r="D130" s="40" t="str">
        <f ca="1">IFERROR(__xludf.DUMMYFUNCTION("""COMPUTED_VALUE"""),"8207231001-C")</f>
        <v>8207231001-C</v>
      </c>
      <c r="E130" s="16" t="str">
        <f ca="1">IFERROR(__xludf.DUMMYFUNCTION("""COMPUTED_VALUE""")," En Ejecución ")</f>
        <v xml:space="preserve"> En Ejecución </v>
      </c>
      <c r="F130" s="41">
        <f ca="1">IFERROR(__xludf.DUMMYFUNCTION("""COMPUTED_VALUE"""),45441)</f>
        <v>45441</v>
      </c>
      <c r="G130" s="16">
        <f ca="1">IFERROR(__xludf.DUMMYFUNCTION("""COMPUTED_VALUE"""),64800000)</f>
        <v>64800000</v>
      </c>
      <c r="H130" s="16" t="str">
        <f ca="1">IFERROR(__xludf.DUMMYFUNCTION("""COMPUTED_VALUE""")," En Ejecución ")</f>
        <v xml:space="preserve"> En Ejecución </v>
      </c>
      <c r="I130" s="16">
        <f ca="1">IFERROR(__xludf.DUMMYFUNCTION("""COMPUTED_VALUE"""),64800000)</f>
        <v>64800000</v>
      </c>
      <c r="J130" s="83" t="s">
        <v>48</v>
      </c>
      <c r="K130" s="16"/>
      <c r="L130" s="16"/>
      <c r="M130" s="16"/>
      <c r="N130" s="19"/>
      <c r="O130" s="19"/>
      <c r="P130" s="21">
        <f ca="1">IFERROR(__xludf.DUMMYFUNCTION("""COMPUTED_VALUE"""),64800000)</f>
        <v>64800000</v>
      </c>
      <c r="Q130" s="19"/>
      <c r="R130" s="19"/>
      <c r="S130" s="19"/>
      <c r="T130" s="19"/>
      <c r="U130" s="19"/>
      <c r="V130" s="19"/>
      <c r="W130" s="20">
        <f ca="1">IFERROR(__xludf.DUMMYFUNCTION("""COMPUTED_VALUE"""),64800000)</f>
        <v>64800000</v>
      </c>
      <c r="X130" s="43" t="str">
        <f ca="1">IFERROR(__xludf.DUMMYFUNCTION("""COMPUTED_VALUE"""),"MUNICIPALIDAD DE TIRÚA")</f>
        <v>MUNICIPALIDAD DE TIRÚA</v>
      </c>
    </row>
    <row r="131" spans="1:24" ht="15.75" customHeight="1" x14ac:dyDescent="0.25">
      <c r="A131" s="16" t="str">
        <f ca="1">IFERROR(__xludf.DUMMYFUNCTION("""COMPUTED_VALUE""")," REGIÓN DE ATACAMA ")</f>
        <v xml:space="preserve"> REGIÓN DE ATACAMA </v>
      </c>
      <c r="B131" s="16" t="str">
        <f t="shared" ca="1" si="0"/>
        <v xml:space="preserve"> CALDERA</v>
      </c>
      <c r="C131" s="16" t="str">
        <f ca="1">IFERROR(__xludf.DUMMYFUNCTION("""COMPUTED_VALUE""")," ASISTENCIAS TÉCNICAS PARA EL DESARROLLO Y GESTIÓN DE PROYECTOS, VARIOS SECTORES DE LA COMUNA DE CALDERA ")</f>
        <v xml:space="preserve"> ASISTENCIAS TÉCNICAS PARA EL DESARROLLO Y GESTIÓN DE PROYECTOS, VARIOS SECTORES DE LA COMUNA DE CALDERA </v>
      </c>
      <c r="D131" s="40" t="str">
        <f ca="1">IFERROR(__xludf.DUMMYFUNCTION("""COMPUTED_VALUE"""),"3102231001-C")</f>
        <v>3102231001-C</v>
      </c>
      <c r="E131" s="16" t="str">
        <f ca="1">IFERROR(__xludf.DUMMYFUNCTION("""COMPUTED_VALUE""")," En Ejecución ")</f>
        <v xml:space="preserve"> En Ejecución </v>
      </c>
      <c r="F131" s="41">
        <f ca="1">IFERROR(__xludf.DUMMYFUNCTION("""COMPUTED_VALUE"""),45441)</f>
        <v>45441</v>
      </c>
      <c r="G131" s="16">
        <f ca="1">IFERROR(__xludf.DUMMYFUNCTION("""COMPUTED_VALUE"""),67200000)</f>
        <v>67200000</v>
      </c>
      <c r="H131" s="16" t="str">
        <f ca="1">IFERROR(__xludf.DUMMYFUNCTION("""COMPUTED_VALUE""")," En Ejecución ")</f>
        <v xml:space="preserve"> En Ejecución </v>
      </c>
      <c r="I131" s="16">
        <f ca="1">IFERROR(__xludf.DUMMYFUNCTION("""COMPUTED_VALUE"""),67200000)</f>
        <v>67200000</v>
      </c>
      <c r="J131" s="83" t="s">
        <v>48</v>
      </c>
      <c r="K131" s="16"/>
      <c r="L131" s="16"/>
      <c r="M131" s="16"/>
      <c r="N131" s="19"/>
      <c r="O131" s="19"/>
      <c r="P131" s="21">
        <f ca="1">IFERROR(__xludf.DUMMYFUNCTION("""COMPUTED_VALUE"""),67200000)</f>
        <v>67200000</v>
      </c>
      <c r="Q131" s="19"/>
      <c r="R131" s="19"/>
      <c r="S131" s="19"/>
      <c r="T131" s="19"/>
      <c r="U131" s="19"/>
      <c r="V131" s="19"/>
      <c r="W131" s="20">
        <f ca="1">IFERROR(__xludf.DUMMYFUNCTION("""COMPUTED_VALUE"""),67200000)</f>
        <v>67200000</v>
      </c>
      <c r="X131" s="43" t="str">
        <f ca="1">IFERROR(__xludf.DUMMYFUNCTION("""COMPUTED_VALUE"""),"MUNICIPALIDAD DE CALDERA")</f>
        <v>MUNICIPALIDAD DE CALDERA</v>
      </c>
    </row>
    <row r="132" spans="1:24" ht="15.75" customHeight="1" x14ac:dyDescent="0.25">
      <c r="A132" s="16" t="str">
        <f ca="1">IFERROR(__xludf.DUMMYFUNCTION("""COMPUTED_VALUE""")," REGIÓN DE ÑUBLE ")</f>
        <v xml:space="preserve"> REGIÓN DE ÑUBLE </v>
      </c>
      <c r="B132" s="16" t="str">
        <f t="shared" ca="1" si="0"/>
        <v xml:space="preserve"> COBQUECURA</v>
      </c>
      <c r="C132" s="16" t="str">
        <f ca="1">IFERROR(__xludf.DUMMYFUNCTION("""COMPUTED_VALUE""")," ETAPA II ASISTENCIA TÉCNICA PARA LA NORMALIZACION Y REGULARIZACIÓN ZONA TÍPICA, COMUNA DE COBQUECURA ")</f>
        <v xml:space="preserve"> ETAPA II ASISTENCIA TÉCNICA PARA LA NORMALIZACION Y REGULARIZACIÓN ZONA TÍPICA, COMUNA DE COBQUECURA </v>
      </c>
      <c r="D132" s="40" t="str">
        <f ca="1">IFERROR(__xludf.DUMMYFUNCTION("""COMPUTED_VALUE"""),"16202231002-C")</f>
        <v>16202231002-C</v>
      </c>
      <c r="E132" s="16" t="str">
        <f ca="1">IFERROR(__xludf.DUMMYFUNCTION("""COMPUTED_VALUE""")," En Ejecución ")</f>
        <v xml:space="preserve"> En Ejecución </v>
      </c>
      <c r="F132" s="41">
        <f ca="1">IFERROR(__xludf.DUMMYFUNCTION("""COMPUTED_VALUE"""),45441)</f>
        <v>45441</v>
      </c>
      <c r="G132" s="16">
        <f ca="1">IFERROR(__xludf.DUMMYFUNCTION("""COMPUTED_VALUE"""),83400000)</f>
        <v>83400000</v>
      </c>
      <c r="H132" s="16" t="str">
        <f ca="1">IFERROR(__xludf.DUMMYFUNCTION("""COMPUTED_VALUE""")," En Ejecución ")</f>
        <v xml:space="preserve"> En Ejecución </v>
      </c>
      <c r="I132" s="16">
        <f ca="1">IFERROR(__xludf.DUMMYFUNCTION("""COMPUTED_VALUE"""),83400000)</f>
        <v>83400000</v>
      </c>
      <c r="J132" s="83" t="s">
        <v>48</v>
      </c>
      <c r="K132" s="16"/>
      <c r="L132" s="16"/>
      <c r="M132" s="16"/>
      <c r="N132" s="19"/>
      <c r="O132" s="19"/>
      <c r="P132" s="21">
        <f ca="1">IFERROR(__xludf.DUMMYFUNCTION("""COMPUTED_VALUE"""),83400000)</f>
        <v>83400000</v>
      </c>
      <c r="Q132" s="19"/>
      <c r="R132" s="19"/>
      <c r="S132" s="19"/>
      <c r="T132" s="19"/>
      <c r="U132" s="19"/>
      <c r="V132" s="19"/>
      <c r="W132" s="20">
        <f ca="1">IFERROR(__xludf.DUMMYFUNCTION("""COMPUTED_VALUE"""),83400000)</f>
        <v>83400000</v>
      </c>
      <c r="X132" s="43" t="str">
        <f ca="1">IFERROR(__xludf.DUMMYFUNCTION("""COMPUTED_VALUE"""),"MUNICIPALIDAD DE COBQUECURA")</f>
        <v>MUNICIPALIDAD DE COBQUECURA</v>
      </c>
    </row>
    <row r="133" spans="1:24" ht="15.75" customHeight="1" x14ac:dyDescent="0.25">
      <c r="A133" s="16" t="str">
        <f ca="1">IFERROR(__xludf.DUMMYFUNCTION("""COMPUTED_VALUE""")," REGIÓN DEL MAULE ")</f>
        <v xml:space="preserve"> REGIÓN DEL MAULE </v>
      </c>
      <c r="B133" s="16" t="str">
        <f t="shared" ca="1" si="0"/>
        <v xml:space="preserve"> SAN CLEMENTE</v>
      </c>
      <c r="C133" s="16" t="str">
        <f ca="1">IFERROR(__xludf.DUMMYFUNCTION("""COMPUTED_VALUE""")," ASISTENCIA TECNICA PARA LA GENERACIÓN DE PROYECTOS URBANOS Y RURALES, SAN CLEMENTE ")</f>
        <v xml:space="preserve"> ASISTENCIA TECNICA PARA LA GENERACIÓN DE PROYECTOS URBANOS Y RURALES, SAN CLEMENTE </v>
      </c>
      <c r="D133" s="40" t="str">
        <f ca="1">IFERROR(__xludf.DUMMYFUNCTION("""COMPUTED_VALUE"""),"7109231003-C")</f>
        <v>7109231003-C</v>
      </c>
      <c r="E133" s="16" t="str">
        <f ca="1">IFERROR(__xludf.DUMMYFUNCTION("""COMPUTED_VALUE""")," En Ejecución ")</f>
        <v xml:space="preserve"> En Ejecución </v>
      </c>
      <c r="F133" s="41">
        <f ca="1">IFERROR(__xludf.DUMMYFUNCTION("""COMPUTED_VALUE"""),45429)</f>
        <v>45429</v>
      </c>
      <c r="G133" s="16">
        <f ca="1">IFERROR(__xludf.DUMMYFUNCTION("""COMPUTED_VALUE"""),75420000)</f>
        <v>75420000</v>
      </c>
      <c r="H133" s="16" t="str">
        <f ca="1">IFERROR(__xludf.DUMMYFUNCTION("""COMPUTED_VALUE""")," En Ejecución ")</f>
        <v xml:space="preserve"> En Ejecución </v>
      </c>
      <c r="I133" s="16">
        <f ca="1">IFERROR(__xludf.DUMMYFUNCTION("""COMPUTED_VALUE"""),18855000)</f>
        <v>18855000</v>
      </c>
      <c r="J133" s="83" t="s">
        <v>48</v>
      </c>
      <c r="K133" s="16"/>
      <c r="L133" s="16"/>
      <c r="M133" s="16"/>
      <c r="N133" s="19"/>
      <c r="O133" s="19"/>
      <c r="P133" s="21">
        <f ca="1">IFERROR(__xludf.DUMMYFUNCTION("""COMPUTED_VALUE"""),18855000)</f>
        <v>18855000</v>
      </c>
      <c r="Q133" s="19"/>
      <c r="R133" s="19"/>
      <c r="S133" s="19"/>
      <c r="T133" s="19"/>
      <c r="U133" s="19"/>
      <c r="V133" s="19"/>
      <c r="W133" s="20">
        <f ca="1">IFERROR(__xludf.DUMMYFUNCTION("""COMPUTED_VALUE"""),18855000)</f>
        <v>18855000</v>
      </c>
      <c r="X133" s="43" t="str">
        <f ca="1">IFERROR(__xludf.DUMMYFUNCTION("""COMPUTED_VALUE"""),"MUNICIPALIDAD DE SAN CLEMENTE")</f>
        <v>MUNICIPALIDAD DE SAN CLEMENTE</v>
      </c>
    </row>
    <row r="134" spans="1:24" ht="15.75" customHeight="1" x14ac:dyDescent="0.25">
      <c r="A134" s="16" t="str">
        <f ca="1">IFERROR(__xludf.DUMMYFUNCTION("""COMPUTED_VALUE""")," REGIÓN DE LOS LAGOS ")</f>
        <v xml:space="preserve"> REGIÓN DE LOS LAGOS </v>
      </c>
      <c r="B134" s="16" t="str">
        <f t="shared" ca="1" si="0"/>
        <v xml:space="preserve"> MAULLÍN</v>
      </c>
      <c r="C134" s="16" t="str">
        <f ca="1">IFERROR(__xludf.DUMMYFUNCTION("""COMPUTED_VALUE""")," ASESORÍA TÉCNICA PARA CATASTRO, ELABORACIÓN Y SEGUIMIENTO DE PROYECTOS DE INVERSIÓN, COMUNA DE MAULLIN ")</f>
        <v xml:space="preserve"> ASESORÍA TÉCNICA PARA CATASTRO, ELABORACIÓN Y SEGUIMIENTO DE PROYECTOS DE INVERSIÓN, COMUNA DE MAULLIN </v>
      </c>
      <c r="D134" s="40" t="str">
        <f ca="1">IFERROR(__xludf.DUMMYFUNCTION("""COMPUTED_VALUE"""),"10108231001-C")</f>
        <v>10108231001-C</v>
      </c>
      <c r="E134" s="16" t="str">
        <f ca="1">IFERROR(__xludf.DUMMYFUNCTION("""COMPUTED_VALUE""")," En Ejecución ")</f>
        <v xml:space="preserve"> En Ejecución </v>
      </c>
      <c r="F134" s="41">
        <f ca="1">IFERROR(__xludf.DUMMYFUNCTION("""COMPUTED_VALUE"""),45441)</f>
        <v>45441</v>
      </c>
      <c r="G134" s="16">
        <f ca="1">IFERROR(__xludf.DUMMYFUNCTION("""COMPUTED_VALUE"""),81600000)</f>
        <v>81600000</v>
      </c>
      <c r="H134" s="16" t="str">
        <f ca="1">IFERROR(__xludf.DUMMYFUNCTION("""COMPUTED_VALUE""")," En Ejecución ")</f>
        <v xml:space="preserve"> En Ejecución </v>
      </c>
      <c r="I134" s="16">
        <f ca="1">IFERROR(__xludf.DUMMYFUNCTION("""COMPUTED_VALUE"""),81600000)</f>
        <v>81600000</v>
      </c>
      <c r="J134" s="83" t="s">
        <v>48</v>
      </c>
      <c r="K134" s="16"/>
      <c r="L134" s="16"/>
      <c r="M134" s="16"/>
      <c r="N134" s="19"/>
      <c r="O134" s="19"/>
      <c r="P134" s="21">
        <f ca="1">IFERROR(__xludf.DUMMYFUNCTION("""COMPUTED_VALUE"""),81600000)</f>
        <v>81600000</v>
      </c>
      <c r="Q134" s="19"/>
      <c r="R134" s="19"/>
      <c r="S134" s="19"/>
      <c r="T134" s="19"/>
      <c r="U134" s="19"/>
      <c r="V134" s="19"/>
      <c r="W134" s="20">
        <f ca="1">IFERROR(__xludf.DUMMYFUNCTION("""COMPUTED_VALUE"""),81600000)</f>
        <v>81600000</v>
      </c>
      <c r="X134" s="43" t="str">
        <f ca="1">IFERROR(__xludf.DUMMYFUNCTION("""COMPUTED_VALUE"""),"MUNICIPALIDAD DE MAULLÍN")</f>
        <v>MUNICIPALIDAD DE MAULLÍN</v>
      </c>
    </row>
    <row r="135" spans="1:24" ht="15.75" customHeight="1" x14ac:dyDescent="0.25">
      <c r="A135" s="16" t="str">
        <f ca="1">IFERROR(__xludf.DUMMYFUNCTION("""COMPUTED_VALUE""")," REGIÓN METROPOLITANA ")</f>
        <v xml:space="preserve"> REGIÓN METROPOLITANA </v>
      </c>
      <c r="B135" s="16" t="str">
        <f t="shared" ca="1" si="0"/>
        <v xml:space="preserve"> LA FLORIDA</v>
      </c>
      <c r="C135" s="16" t="str">
        <f ca="1">IFERROR(__xludf.DUMMYFUNCTION("""COMPUTED_VALUE""")," INSTALACION, 20 MONOPOSTES TECNOLOGIA LED, DISTINTOS SECTORES DE LA COMUNA DE LA FLORIDA ")</f>
        <v xml:space="preserve"> INSTALACION, 20 MONOPOSTES TECNOLOGIA LED, DISTINTOS SECTORES DE LA COMUNA DE LA FLORIDA </v>
      </c>
      <c r="D135" s="40" t="str">
        <f ca="1">IFERROR(__xludf.DUMMYFUNCTION("""COMPUTED_VALUE"""),"13110220701-C")</f>
        <v>13110220701-C</v>
      </c>
      <c r="E135" s="16" t="str">
        <f ca="1">IFERROR(__xludf.DUMMYFUNCTION("""COMPUTED_VALUE""")," En Ejecución ")</f>
        <v xml:space="preserve"> En Ejecución </v>
      </c>
      <c r="F135" s="41">
        <f ca="1">IFERROR(__xludf.DUMMYFUNCTION("""COMPUTED_VALUE"""),45463)</f>
        <v>45463</v>
      </c>
      <c r="G135" s="16">
        <f ca="1">IFERROR(__xludf.DUMMYFUNCTION("""COMPUTED_VALUE"""),169296006)</f>
        <v>169296006</v>
      </c>
      <c r="H135" s="16" t="str">
        <f ca="1">IFERROR(__xludf.DUMMYFUNCTION("""COMPUTED_VALUE""")," En Ejecución ")</f>
        <v xml:space="preserve"> En Ejecución </v>
      </c>
      <c r="I135" s="16">
        <f ca="1">IFERROR(__xludf.DUMMYFUNCTION("""COMPUTED_VALUE"""),169296006)</f>
        <v>169296006</v>
      </c>
      <c r="J135" s="83" t="s">
        <v>48</v>
      </c>
      <c r="K135" s="16"/>
      <c r="L135" s="16"/>
      <c r="M135" s="16"/>
      <c r="N135" s="19"/>
      <c r="O135" s="19"/>
      <c r="P135" s="21">
        <f ca="1">IFERROR(__xludf.DUMMYFUNCTION("""COMPUTED_VALUE"""),169296006)</f>
        <v>169296006</v>
      </c>
      <c r="Q135" s="19"/>
      <c r="R135" s="19"/>
      <c r="S135" s="19"/>
      <c r="T135" s="19"/>
      <c r="U135" s="19"/>
      <c r="V135" s="19"/>
      <c r="W135" s="20">
        <f ca="1">IFERROR(__xludf.DUMMYFUNCTION("""COMPUTED_VALUE"""),169296006)</f>
        <v>169296006</v>
      </c>
      <c r="X135" s="43" t="str">
        <f ca="1">IFERROR(__xludf.DUMMYFUNCTION("""COMPUTED_VALUE"""),"MUNICIPALIDAD DE LA FLORIDA")</f>
        <v>MUNICIPALIDAD DE LA FLORIDA</v>
      </c>
    </row>
    <row r="136" spans="1:24" ht="15.75" customHeight="1" x14ac:dyDescent="0.25">
      <c r="A136" s="16" t="str">
        <f ca="1">IFERROR(__xludf.DUMMYFUNCTION("""COMPUTED_VALUE""")," REGIÓN DE LA ARAUCANÍA ")</f>
        <v xml:space="preserve"> REGIÓN DE LA ARAUCANÍA </v>
      </c>
      <c r="B136" s="16" t="str">
        <f t="shared" ca="1" si="0"/>
        <v xml:space="preserve"> PADRE LAS CASAS</v>
      </c>
      <c r="C136" s="16" t="str">
        <f ca="1">IFERROR(__xludf.DUMMYFUNCTION("""COMPUTED_VALUE""")," ASISTENCIA DE ASESORIA LEGAL PARA LA REGULARIZACIÓN DE LA PEQUEÑA PROPIEDAD RAIZ, COMUNA DE PADRE LAS CASAS ")</f>
        <v xml:space="preserve"> ASISTENCIA DE ASESORIA LEGAL PARA LA REGULARIZACIÓN DE LA PEQUEÑA PROPIEDAD RAIZ, COMUNA DE PADRE LAS CASAS </v>
      </c>
      <c r="D136" s="40" t="str">
        <f ca="1">IFERROR(__xludf.DUMMYFUNCTION("""COMPUTED_VALUE"""),"9112230601-C")</f>
        <v>9112230601-C</v>
      </c>
      <c r="E136" s="16" t="str">
        <f ca="1">IFERROR(__xludf.DUMMYFUNCTION("""COMPUTED_VALUE""")," En Ejecución ")</f>
        <v xml:space="preserve"> En Ejecución </v>
      </c>
      <c r="F136" s="41">
        <f ca="1">IFERROR(__xludf.DUMMYFUNCTION("""COMPUTED_VALUE"""),45441)</f>
        <v>45441</v>
      </c>
      <c r="G136" s="16">
        <f ca="1">IFERROR(__xludf.DUMMYFUNCTION("""COMPUTED_VALUE"""),111600000)</f>
        <v>111600000</v>
      </c>
      <c r="H136" s="16" t="str">
        <f ca="1">IFERROR(__xludf.DUMMYFUNCTION("""COMPUTED_VALUE""")," En Ejecución ")</f>
        <v xml:space="preserve"> En Ejecución </v>
      </c>
      <c r="I136" s="16">
        <f ca="1">IFERROR(__xludf.DUMMYFUNCTION("""COMPUTED_VALUE"""),111600000)</f>
        <v>111600000</v>
      </c>
      <c r="J136" s="83" t="s">
        <v>48</v>
      </c>
      <c r="K136" s="16"/>
      <c r="L136" s="16"/>
      <c r="M136" s="16"/>
      <c r="N136" s="19"/>
      <c r="O136" s="19"/>
      <c r="P136" s="21">
        <f ca="1">IFERROR(__xludf.DUMMYFUNCTION("""COMPUTED_VALUE"""),111600000)</f>
        <v>111600000</v>
      </c>
      <c r="Q136" s="19"/>
      <c r="R136" s="19"/>
      <c r="S136" s="19"/>
      <c r="T136" s="19"/>
      <c r="U136" s="19"/>
      <c r="V136" s="19"/>
      <c r="W136" s="20">
        <f ca="1">IFERROR(__xludf.DUMMYFUNCTION("""COMPUTED_VALUE"""),111600000)</f>
        <v>111600000</v>
      </c>
      <c r="X136" s="43" t="str">
        <f ca="1">IFERROR(__xludf.DUMMYFUNCTION("""COMPUTED_VALUE"""),"MUNICIPALIDAD DE PADRE LAS CASAS")</f>
        <v>MUNICIPALIDAD DE PADRE LAS CASAS</v>
      </c>
    </row>
    <row r="137" spans="1:24" ht="15.75" customHeight="1" x14ac:dyDescent="0.25">
      <c r="A137" s="16" t="str">
        <f ca="1">IFERROR(__xludf.DUMMYFUNCTION("""COMPUTED_VALUE""")," REGIÓN DE TARAPACÁ ")</f>
        <v xml:space="preserve"> REGIÓN DE TARAPACÁ </v>
      </c>
      <c r="B137" s="16" t="str">
        <f t="shared" ca="1" si="0"/>
        <v xml:space="preserve"> HUARA</v>
      </c>
      <c r="C137" s="16" t="str">
        <f ca="1">IFERROR(__xludf.DUMMYFUNCTION("""COMPUTED_VALUE""")," ASISTENCIA TECNICA PARA LA GENERACIÓN DE PROYECTOS PMB Y PMU COMUNA DE HUARA ")</f>
        <v xml:space="preserve"> ASISTENCIA TECNICA PARA LA GENERACIÓN DE PROYECTOS PMB Y PMU COMUNA DE HUARA </v>
      </c>
      <c r="D137" s="40" t="str">
        <f ca="1">IFERROR(__xludf.DUMMYFUNCTION("""COMPUTED_VALUE"""),"1404231001-C")</f>
        <v>1404231001-C</v>
      </c>
      <c r="E137" s="16" t="str">
        <f ca="1">IFERROR(__xludf.DUMMYFUNCTION("""COMPUTED_VALUE""")," En Ejecución ")</f>
        <v xml:space="preserve"> En Ejecución </v>
      </c>
      <c r="F137" s="41">
        <f ca="1">IFERROR(__xludf.DUMMYFUNCTION("""COMPUTED_VALUE"""),45464)</f>
        <v>45464</v>
      </c>
      <c r="G137" s="16">
        <f ca="1">IFERROR(__xludf.DUMMYFUNCTION("""COMPUTED_VALUE"""),55800000)</f>
        <v>55800000</v>
      </c>
      <c r="H137" s="16" t="str">
        <f ca="1">IFERROR(__xludf.DUMMYFUNCTION("""COMPUTED_VALUE""")," En Ejecución ")</f>
        <v xml:space="preserve"> En Ejecución </v>
      </c>
      <c r="I137" s="16">
        <f ca="1">IFERROR(__xludf.DUMMYFUNCTION("""COMPUTED_VALUE"""),55800000)</f>
        <v>55800000</v>
      </c>
      <c r="J137" s="83" t="s">
        <v>48</v>
      </c>
      <c r="K137" s="16"/>
      <c r="L137" s="16"/>
      <c r="M137" s="16"/>
      <c r="N137" s="19"/>
      <c r="O137" s="19"/>
      <c r="P137" s="21">
        <f ca="1">IFERROR(__xludf.DUMMYFUNCTION("""COMPUTED_VALUE"""),55800000)</f>
        <v>55800000</v>
      </c>
      <c r="Q137" s="19"/>
      <c r="R137" s="19"/>
      <c r="S137" s="19"/>
      <c r="T137" s="19"/>
      <c r="U137" s="19"/>
      <c r="V137" s="19"/>
      <c r="W137" s="20">
        <f ca="1">IFERROR(__xludf.DUMMYFUNCTION("""COMPUTED_VALUE"""),55800000)</f>
        <v>55800000</v>
      </c>
      <c r="X137" s="43" t="str">
        <f ca="1">IFERROR(__xludf.DUMMYFUNCTION("""COMPUTED_VALUE"""),"MUNICIPALIDAD DE HUARA")</f>
        <v>MUNICIPALIDAD DE HUARA</v>
      </c>
    </row>
    <row r="138" spans="1:24" ht="15.75" customHeight="1" x14ac:dyDescent="0.25">
      <c r="A138" s="16" t="str">
        <f ca="1">IFERROR(__xludf.DUMMYFUNCTION("""COMPUTED_VALUE""")," REGIÓN DE LOS RÍOS ")</f>
        <v xml:space="preserve"> REGIÓN DE LOS RÍOS </v>
      </c>
      <c r="B138" s="16" t="str">
        <f t="shared" ca="1" si="0"/>
        <v xml:space="preserve"> CORRAL</v>
      </c>
      <c r="C138" s="16" t="str">
        <f ca="1">IFERROR(__xludf.DUMMYFUNCTION("""COMPUTED_VALUE""")," ASISTENCIA TÉCNICA PROFESIONAL CON FINANCIAMIENTO DE LA SUBDERE EN LA COMUNA DE CORRAL ")</f>
        <v xml:space="preserve"> ASISTENCIA TÉCNICA PROFESIONAL CON FINANCIAMIENTO DE LA SUBDERE EN LA COMUNA DE CORRAL </v>
      </c>
      <c r="D138" s="40" t="str">
        <f ca="1">IFERROR(__xludf.DUMMYFUNCTION("""COMPUTED_VALUE"""),"14102231002-C")</f>
        <v>14102231002-C</v>
      </c>
      <c r="E138" s="16" t="str">
        <f ca="1">IFERROR(__xludf.DUMMYFUNCTION("""COMPUTED_VALUE""")," En Ejecución ")</f>
        <v xml:space="preserve"> En Ejecución </v>
      </c>
      <c r="F138" s="41">
        <f ca="1">IFERROR(__xludf.DUMMYFUNCTION("""COMPUTED_VALUE"""),45441)</f>
        <v>45441</v>
      </c>
      <c r="G138" s="16">
        <f ca="1">IFERROR(__xludf.DUMMYFUNCTION("""COMPUTED_VALUE"""),74052000)</f>
        <v>74052000</v>
      </c>
      <c r="H138" s="16" t="str">
        <f ca="1">IFERROR(__xludf.DUMMYFUNCTION("""COMPUTED_VALUE""")," En Ejecución ")</f>
        <v xml:space="preserve"> En Ejecución </v>
      </c>
      <c r="I138" s="16">
        <f ca="1">IFERROR(__xludf.DUMMYFUNCTION("""COMPUTED_VALUE"""),74052000)</f>
        <v>74052000</v>
      </c>
      <c r="J138" s="83" t="s">
        <v>48</v>
      </c>
      <c r="K138" s="16"/>
      <c r="L138" s="16"/>
      <c r="M138" s="16"/>
      <c r="N138" s="19"/>
      <c r="O138" s="19"/>
      <c r="P138" s="21">
        <f ca="1">IFERROR(__xludf.DUMMYFUNCTION("""COMPUTED_VALUE"""),74052000)</f>
        <v>74052000</v>
      </c>
      <c r="Q138" s="19"/>
      <c r="R138" s="19"/>
      <c r="S138" s="19"/>
      <c r="T138" s="19"/>
      <c r="U138" s="19"/>
      <c r="V138" s="19"/>
      <c r="W138" s="20">
        <f ca="1">IFERROR(__xludf.DUMMYFUNCTION("""COMPUTED_VALUE"""),74052000)</f>
        <v>74052000</v>
      </c>
      <c r="X138" s="43" t="str">
        <f ca="1">IFERROR(__xludf.DUMMYFUNCTION("""COMPUTED_VALUE"""),"MUNICIPALIDAD DE CORRAL")</f>
        <v>MUNICIPALIDAD DE CORRAL</v>
      </c>
    </row>
    <row r="139" spans="1:24" ht="15.75" customHeight="1" x14ac:dyDescent="0.25">
      <c r="A139" s="16" t="str">
        <f ca="1">IFERROR(__xludf.DUMMYFUNCTION("""COMPUTED_VALUE""")," REGIÓN METROPOLITANA ")</f>
        <v xml:space="preserve"> REGIÓN METROPOLITANA </v>
      </c>
      <c r="B139" s="16" t="str">
        <f t="shared" ca="1" si="0"/>
        <v xml:space="preserve"> LA PINTANA</v>
      </c>
      <c r="C139" s="16" t="str">
        <f ca="1">IFERROR(__xludf.DUMMYFUNCTION("""COMPUTED_VALUE""")," CAMBIO DE LUMINARIAS SECTOR CENTRO, POBLACIÓN SAN RAFAEL ")</f>
        <v xml:space="preserve"> CAMBIO DE LUMINARIAS SECTOR CENTRO, POBLACIÓN SAN RAFAEL </v>
      </c>
      <c r="D139" s="40" t="str">
        <f ca="1">IFERROR(__xludf.DUMMYFUNCTION("""COMPUTED_VALUE"""),"13112230704-C")</f>
        <v>13112230704-C</v>
      </c>
      <c r="E139" s="16" t="str">
        <f ca="1">IFERROR(__xludf.DUMMYFUNCTION("""COMPUTED_VALUE""")," En Ejecución ")</f>
        <v xml:space="preserve"> En Ejecución </v>
      </c>
      <c r="F139" s="41">
        <f ca="1">IFERROR(__xludf.DUMMYFUNCTION("""COMPUTED_VALUE"""),45442)</f>
        <v>45442</v>
      </c>
      <c r="G139" s="16">
        <f ca="1">IFERROR(__xludf.DUMMYFUNCTION("""COMPUTED_VALUE"""),245009680)</f>
        <v>245009680</v>
      </c>
      <c r="H139" s="16" t="str">
        <f ca="1">IFERROR(__xludf.DUMMYFUNCTION("""COMPUTED_VALUE""")," En Ejecución ")</f>
        <v xml:space="preserve"> En Ejecución </v>
      </c>
      <c r="I139" s="16">
        <f ca="1">IFERROR(__xludf.DUMMYFUNCTION("""COMPUTED_VALUE"""),245009680)</f>
        <v>245009680</v>
      </c>
      <c r="J139" s="83" t="s">
        <v>48</v>
      </c>
      <c r="K139" s="16"/>
      <c r="L139" s="16"/>
      <c r="M139" s="16"/>
      <c r="N139" s="19"/>
      <c r="O139" s="19"/>
      <c r="P139" s="21">
        <f ca="1">IFERROR(__xludf.DUMMYFUNCTION("""COMPUTED_VALUE"""),245009680)</f>
        <v>245009680</v>
      </c>
      <c r="Q139" s="19"/>
      <c r="R139" s="19"/>
      <c r="S139" s="19"/>
      <c r="T139" s="19"/>
      <c r="U139" s="19"/>
      <c r="V139" s="19"/>
      <c r="W139" s="20">
        <f ca="1">IFERROR(__xludf.DUMMYFUNCTION("""COMPUTED_VALUE"""),245009680)</f>
        <v>245009680</v>
      </c>
      <c r="X139" s="43" t="str">
        <f ca="1">IFERROR(__xludf.DUMMYFUNCTION("""COMPUTED_VALUE"""),"MUNICIPALIDAD DE LA PINTANA")</f>
        <v>MUNICIPALIDAD DE LA PINTANA</v>
      </c>
    </row>
    <row r="140" spans="1:24" ht="15.75" customHeight="1" x14ac:dyDescent="0.25">
      <c r="A140" s="16" t="str">
        <f ca="1">IFERROR(__xludf.DUMMYFUNCTION("""COMPUTED_VALUE""")," REGIÓN METROPOLITANA ")</f>
        <v xml:space="preserve"> REGIÓN METROPOLITANA </v>
      </c>
      <c r="B140" s="16" t="str">
        <f t="shared" ca="1" si="0"/>
        <v xml:space="preserve"> LA PINTANA</v>
      </c>
      <c r="C140" s="16" t="str">
        <f ca="1">IFERROR(__xludf.DUMMYFUNCTION("""COMPUTED_VALUE""")," CAMBIO DE LUMINARIAS SECTOR CENTRO, POBLACIÓN SAN RICARDO ")</f>
        <v xml:space="preserve"> CAMBIO DE LUMINARIAS SECTOR CENTRO, POBLACIÓN SAN RICARDO </v>
      </c>
      <c r="D140" s="40" t="str">
        <f ca="1">IFERROR(__xludf.DUMMYFUNCTION("""COMPUTED_VALUE"""),"13112230706-C")</f>
        <v>13112230706-C</v>
      </c>
      <c r="E140" s="16" t="str">
        <f ca="1">IFERROR(__xludf.DUMMYFUNCTION("""COMPUTED_VALUE""")," En Ejecución ")</f>
        <v xml:space="preserve"> En Ejecución </v>
      </c>
      <c r="F140" s="41">
        <f ca="1">IFERROR(__xludf.DUMMYFUNCTION("""COMPUTED_VALUE"""),45442)</f>
        <v>45442</v>
      </c>
      <c r="G140" s="16">
        <f ca="1">IFERROR(__xludf.DUMMYFUNCTION("""COMPUTED_VALUE"""),266465023)</f>
        <v>266465023</v>
      </c>
      <c r="H140" s="16" t="str">
        <f ca="1">IFERROR(__xludf.DUMMYFUNCTION("""COMPUTED_VALUE""")," En Ejecución ")</f>
        <v xml:space="preserve"> En Ejecución </v>
      </c>
      <c r="I140" s="16">
        <f ca="1">IFERROR(__xludf.DUMMYFUNCTION("""COMPUTED_VALUE"""),266465023)</f>
        <v>266465023</v>
      </c>
      <c r="J140" s="83" t="s">
        <v>48</v>
      </c>
      <c r="K140" s="16"/>
      <c r="L140" s="16"/>
      <c r="M140" s="16"/>
      <c r="N140" s="19"/>
      <c r="O140" s="19"/>
      <c r="P140" s="21">
        <f ca="1">IFERROR(__xludf.DUMMYFUNCTION("""COMPUTED_VALUE"""),266465023)</f>
        <v>266465023</v>
      </c>
      <c r="Q140" s="19"/>
      <c r="R140" s="19"/>
      <c r="S140" s="19"/>
      <c r="T140" s="19"/>
      <c r="U140" s="19"/>
      <c r="V140" s="19"/>
      <c r="W140" s="20">
        <f ca="1">IFERROR(__xludf.DUMMYFUNCTION("""COMPUTED_VALUE"""),266465023)</f>
        <v>266465023</v>
      </c>
      <c r="X140" s="43" t="str">
        <f ca="1">IFERROR(__xludf.DUMMYFUNCTION("""COMPUTED_VALUE"""),"MUNICIPALIDAD DE LA PINTANA")</f>
        <v>MUNICIPALIDAD DE LA PINTANA</v>
      </c>
    </row>
    <row r="141" spans="1:24" ht="15.75" customHeight="1" x14ac:dyDescent="0.25">
      <c r="A141" s="16" t="str">
        <f ca="1">IFERROR(__xludf.DUMMYFUNCTION("""COMPUTED_VALUE""")," REGIÓN DE ÑUBLE ")</f>
        <v xml:space="preserve"> REGIÓN DE ÑUBLE </v>
      </c>
      <c r="B141" s="16" t="str">
        <f t="shared" ca="1" si="0"/>
        <v xml:space="preserve"> RÁNQUIL</v>
      </c>
      <c r="C141" s="16" t="str">
        <f ca="1">IFERROR(__xludf.DUMMYFUNCTION("""COMPUTED_VALUE""")," ASISTENCIA TÉCNICA PARA EL DISEÑO DE PROYECTOS Y CATASTRO DE SANEAMIENTO SANITARIO, COMUNA DE RÁNQUIL. ")</f>
        <v xml:space="preserve"> ASISTENCIA TÉCNICA PARA EL DISEÑO DE PROYECTOS Y CATASTRO DE SANEAMIENTO SANITARIO, COMUNA DE RÁNQUIL. </v>
      </c>
      <c r="D141" s="40" t="str">
        <f ca="1">IFERROR(__xludf.DUMMYFUNCTION("""COMPUTED_VALUE"""),"16206241002-C")</f>
        <v>16206241002-C</v>
      </c>
      <c r="E141" s="16" t="str">
        <f ca="1">IFERROR(__xludf.DUMMYFUNCTION("""COMPUTED_VALUE""")," En Ejecución ")</f>
        <v xml:space="preserve"> En Ejecución </v>
      </c>
      <c r="F141" s="41">
        <f ca="1">IFERROR(__xludf.DUMMYFUNCTION("""COMPUTED_VALUE"""),45464)</f>
        <v>45464</v>
      </c>
      <c r="G141" s="16">
        <f ca="1">IFERROR(__xludf.DUMMYFUNCTION("""COMPUTED_VALUE"""),86400000)</f>
        <v>86400000</v>
      </c>
      <c r="H141" s="16" t="str">
        <f ca="1">IFERROR(__xludf.DUMMYFUNCTION("""COMPUTED_VALUE""")," En Ejecución ")</f>
        <v xml:space="preserve"> En Ejecución </v>
      </c>
      <c r="I141" s="16">
        <f ca="1">IFERROR(__xludf.DUMMYFUNCTION("""COMPUTED_VALUE"""),86400000)</f>
        <v>86400000</v>
      </c>
      <c r="J141" s="83" t="s">
        <v>48</v>
      </c>
      <c r="K141" s="16"/>
      <c r="L141" s="16"/>
      <c r="M141" s="16"/>
      <c r="N141" s="19"/>
      <c r="O141" s="19"/>
      <c r="P141" s="21">
        <f ca="1">IFERROR(__xludf.DUMMYFUNCTION("""COMPUTED_VALUE"""),86400000)</f>
        <v>86400000</v>
      </c>
      <c r="Q141" s="19"/>
      <c r="R141" s="19"/>
      <c r="S141" s="19"/>
      <c r="T141" s="19"/>
      <c r="U141" s="19"/>
      <c r="V141" s="19"/>
      <c r="W141" s="20">
        <f ca="1">IFERROR(__xludf.DUMMYFUNCTION("""COMPUTED_VALUE"""),86400000)</f>
        <v>86400000</v>
      </c>
      <c r="X141" s="43" t="str">
        <f ca="1">IFERROR(__xludf.DUMMYFUNCTION("""COMPUTED_VALUE"""),"MUNICIPALIDAD DE RÁNQUIL")</f>
        <v>MUNICIPALIDAD DE RÁNQUIL</v>
      </c>
    </row>
    <row r="142" spans="1:24" ht="15.75" customHeight="1" x14ac:dyDescent="0.25">
      <c r="A142" s="16" t="str">
        <f ca="1">IFERROR(__xludf.DUMMYFUNCTION("""COMPUTED_VALUE""")," REGIÓN DE ÑUBLE ")</f>
        <v xml:space="preserve"> REGIÓN DE ÑUBLE </v>
      </c>
      <c r="B142" s="16" t="str">
        <f t="shared" ca="1" si="0"/>
        <v xml:space="preserve"> PINTO</v>
      </c>
      <c r="C142" s="16" t="str">
        <f ca="1">IFERROR(__xludf.DUMMYFUNCTION("""COMPUTED_VALUE""")," ASISTENCIA TECNICA PARA SOLUCIONES SANITARIAS DE AGUA POTABLE Y AGUAS SERVIDAS DE DIVERSOS SECTORES DE LA COMUNA DE PINTO ")</f>
        <v xml:space="preserve"> ASISTENCIA TECNICA PARA SOLUCIONES SANITARIAS DE AGUA POTABLE Y AGUAS SERVIDAS DE DIVERSOS SECTORES DE LA COMUNA DE PINTO </v>
      </c>
      <c r="D142" s="40" t="str">
        <f ca="1">IFERROR(__xludf.DUMMYFUNCTION("""COMPUTED_VALUE"""),"16106231003-C")</f>
        <v>16106231003-C</v>
      </c>
      <c r="E142" s="16" t="str">
        <f ca="1">IFERROR(__xludf.DUMMYFUNCTION("""COMPUTED_VALUE""")," En Ejecución ")</f>
        <v xml:space="preserve"> En Ejecución </v>
      </c>
      <c r="F142" s="41">
        <f ca="1">IFERROR(__xludf.DUMMYFUNCTION("""COMPUTED_VALUE"""),45464)</f>
        <v>45464</v>
      </c>
      <c r="G142" s="16">
        <f ca="1">IFERROR(__xludf.DUMMYFUNCTION("""COMPUTED_VALUE"""),76800000)</f>
        <v>76800000</v>
      </c>
      <c r="H142" s="16" t="str">
        <f ca="1">IFERROR(__xludf.DUMMYFUNCTION("""COMPUTED_VALUE""")," En Ejecución ")</f>
        <v xml:space="preserve"> En Ejecución </v>
      </c>
      <c r="I142" s="16">
        <f ca="1">IFERROR(__xludf.DUMMYFUNCTION("""COMPUTED_VALUE"""),76800000)</f>
        <v>76800000</v>
      </c>
      <c r="J142" s="83" t="s">
        <v>48</v>
      </c>
      <c r="K142" s="16"/>
      <c r="L142" s="16"/>
      <c r="M142" s="16"/>
      <c r="N142" s="19"/>
      <c r="O142" s="19"/>
      <c r="P142" s="21">
        <f ca="1">IFERROR(__xludf.DUMMYFUNCTION("""COMPUTED_VALUE"""),76800000)</f>
        <v>76800000</v>
      </c>
      <c r="Q142" s="19"/>
      <c r="R142" s="19"/>
      <c r="S142" s="19"/>
      <c r="T142" s="19"/>
      <c r="U142" s="19"/>
      <c r="V142" s="19"/>
      <c r="W142" s="20">
        <f ca="1">IFERROR(__xludf.DUMMYFUNCTION("""COMPUTED_VALUE"""),76800000)</f>
        <v>76800000</v>
      </c>
      <c r="X142" s="43" t="str">
        <f ca="1">IFERROR(__xludf.DUMMYFUNCTION("""COMPUTED_VALUE"""),"MUNICIPALIDAD DE PINTO")</f>
        <v>MUNICIPALIDAD DE PINTO</v>
      </c>
    </row>
    <row r="143" spans="1:24" ht="15.75" customHeight="1" x14ac:dyDescent="0.25">
      <c r="A143" s="16" t="str">
        <f ca="1">IFERROR(__xludf.DUMMYFUNCTION("""COMPUTED_VALUE""")," REGIÓN DE LOS LAGOS ")</f>
        <v xml:space="preserve"> REGIÓN DE LOS LAGOS </v>
      </c>
      <c r="B143" s="16" t="str">
        <f t="shared" ca="1" si="0"/>
        <v xml:space="preserve"> PUQUELDÓN</v>
      </c>
      <c r="C143" s="16" t="str">
        <f ca="1">IFERROR(__xludf.DUMMYFUNCTION("""COMPUTED_VALUE""")," (SATE) ESTUDIO PLAN DE OPERACIÓN, CIERRE Y SELLADO VERTEDERO MUNICIPAL PUQUELDON ")</f>
        <v xml:space="preserve"> (SATE) ESTUDIO PLAN DE OPERACIÓN, CIERRE Y SELLADO VERTEDERO MUNICIPAL PUQUELDON </v>
      </c>
      <c r="D143" s="40" t="str">
        <f ca="1">IFERROR(__xludf.DUMMYFUNCTION("""COMPUTED_VALUE"""),"10206220402-C")</f>
        <v>10206220402-C</v>
      </c>
      <c r="E143" s="16" t="str">
        <f ca="1">IFERROR(__xludf.DUMMYFUNCTION("""COMPUTED_VALUE""")," En Ejecución ")</f>
        <v xml:space="preserve"> En Ejecución </v>
      </c>
      <c r="F143" s="41">
        <f ca="1">IFERROR(__xludf.DUMMYFUNCTION("""COMPUTED_VALUE"""),45463)</f>
        <v>45463</v>
      </c>
      <c r="G143" s="16">
        <f ca="1">IFERROR(__xludf.DUMMYFUNCTION("""COMPUTED_VALUE"""),84226162)</f>
        <v>84226162</v>
      </c>
      <c r="H143" s="16" t="str">
        <f ca="1">IFERROR(__xludf.DUMMYFUNCTION("""COMPUTED_VALUE""")," En Ejecución ")</f>
        <v xml:space="preserve"> En Ejecución </v>
      </c>
      <c r="I143" s="16">
        <f ca="1">IFERROR(__xludf.DUMMYFUNCTION("""COMPUTED_VALUE"""),84226162)</f>
        <v>84226162</v>
      </c>
      <c r="J143" s="83" t="s">
        <v>48</v>
      </c>
      <c r="K143" s="16"/>
      <c r="L143" s="16"/>
      <c r="M143" s="16"/>
      <c r="N143" s="19"/>
      <c r="O143" s="19"/>
      <c r="P143" s="21">
        <f ca="1">IFERROR(__xludf.DUMMYFUNCTION("""COMPUTED_VALUE"""),84226162)</f>
        <v>84226162</v>
      </c>
      <c r="Q143" s="19"/>
      <c r="R143" s="19"/>
      <c r="S143" s="19"/>
      <c r="T143" s="19"/>
      <c r="U143" s="19"/>
      <c r="V143" s="19"/>
      <c r="W143" s="20">
        <f ca="1">IFERROR(__xludf.DUMMYFUNCTION("""COMPUTED_VALUE"""),84226162)</f>
        <v>84226162</v>
      </c>
      <c r="X143" s="43" t="str">
        <f ca="1">IFERROR(__xludf.DUMMYFUNCTION("""COMPUTED_VALUE"""),"MUNICIPALIDAD DE PUQUELDÓN")</f>
        <v>MUNICIPALIDAD DE PUQUELDÓN</v>
      </c>
    </row>
    <row r="144" spans="1:24" ht="15.75" customHeight="1" x14ac:dyDescent="0.25">
      <c r="A144" s="16" t="str">
        <f ca="1">IFERROR(__xludf.DUMMYFUNCTION("""COMPUTED_VALUE""")," REGIÓN DE LOS LAGOS ")</f>
        <v xml:space="preserve"> REGIÓN DE LOS LAGOS </v>
      </c>
      <c r="B144" s="16" t="str">
        <f t="shared" ca="1" si="0"/>
        <v xml:space="preserve"> PUQUELDÓN</v>
      </c>
      <c r="C144" s="16" t="str">
        <f ca="1">IFERROR(__xludf.DUMMYFUNCTION("""COMPUTED_VALUE""")," ESTUDIO DE ALTERNATIVAS DE MANEJO DE RSM Y SELECCIÓN DE TERRENO PARA DISPOSICIÓN FINAL - COMUNA DE PUQUELDÓN ")</f>
        <v xml:space="preserve"> ESTUDIO DE ALTERNATIVAS DE MANEJO DE RSM Y SELECCIÓN DE TERRENO PARA DISPOSICIÓN FINAL - COMUNA DE PUQUELDÓN </v>
      </c>
      <c r="D144" s="40" t="str">
        <f ca="1">IFERROR(__xludf.DUMMYFUNCTION("""COMPUTED_VALUE"""),"10206230401-C")</f>
        <v>10206230401-C</v>
      </c>
      <c r="E144" s="16" t="str">
        <f ca="1">IFERROR(__xludf.DUMMYFUNCTION("""COMPUTED_VALUE""")," En Ejecución ")</f>
        <v xml:space="preserve"> En Ejecución </v>
      </c>
      <c r="F144" s="41">
        <f ca="1">IFERROR(__xludf.DUMMYFUNCTION("""COMPUTED_VALUE"""),45463)</f>
        <v>45463</v>
      </c>
      <c r="G144" s="16">
        <f ca="1">IFERROR(__xludf.DUMMYFUNCTION("""COMPUTED_VALUE"""),157407408)</f>
        <v>157407408</v>
      </c>
      <c r="H144" s="16" t="str">
        <f ca="1">IFERROR(__xludf.DUMMYFUNCTION("""COMPUTED_VALUE""")," En Ejecución ")</f>
        <v xml:space="preserve"> En Ejecución </v>
      </c>
      <c r="I144" s="16">
        <f ca="1">IFERROR(__xludf.DUMMYFUNCTION("""COMPUTED_VALUE"""),157407408)</f>
        <v>157407408</v>
      </c>
      <c r="J144" s="83" t="s">
        <v>48</v>
      </c>
      <c r="K144" s="16"/>
      <c r="L144" s="16"/>
      <c r="M144" s="16"/>
      <c r="N144" s="19"/>
      <c r="O144" s="19"/>
      <c r="P144" s="21">
        <f ca="1">IFERROR(__xludf.DUMMYFUNCTION("""COMPUTED_VALUE"""),157407408)</f>
        <v>157407408</v>
      </c>
      <c r="Q144" s="19"/>
      <c r="R144" s="19"/>
      <c r="S144" s="19"/>
      <c r="T144" s="19"/>
      <c r="U144" s="19"/>
      <c r="V144" s="19"/>
      <c r="W144" s="20">
        <f ca="1">IFERROR(__xludf.DUMMYFUNCTION("""COMPUTED_VALUE"""),157407408)</f>
        <v>157407408</v>
      </c>
      <c r="X144" s="43" t="str">
        <f ca="1">IFERROR(__xludf.DUMMYFUNCTION("""COMPUTED_VALUE"""),"MUNICIPALIDAD DE PUQUELDÓN")</f>
        <v>MUNICIPALIDAD DE PUQUELDÓN</v>
      </c>
    </row>
    <row r="145" spans="1:24" ht="15.75" customHeight="1" x14ac:dyDescent="0.25">
      <c r="A145" s="16" t="str">
        <f ca="1">IFERROR(__xludf.DUMMYFUNCTION("""COMPUTED_VALUE""")," REGIÓN DE LOS LAGOS ")</f>
        <v xml:space="preserve"> REGIÓN DE LOS LAGOS </v>
      </c>
      <c r="B145" s="16" t="str">
        <f t="shared" ca="1" si="0"/>
        <v xml:space="preserve"> CHAITÉN</v>
      </c>
      <c r="C145" s="16" t="str">
        <f ca="1">IFERROR(__xludf.DUMMYFUNCTION("""COMPUTED_VALUE""")," GENERACION DE PROYECTOS PARA LA COMUNA DE CHAITÉN ")</f>
        <v xml:space="preserve"> GENERACION DE PROYECTOS PARA LA COMUNA DE CHAITÉN </v>
      </c>
      <c r="D145" s="40" t="str">
        <f ca="1">IFERROR(__xludf.DUMMYFUNCTION("""COMPUTED_VALUE"""),"10401231001-C")</f>
        <v>10401231001-C</v>
      </c>
      <c r="E145" s="16" t="str">
        <f ca="1">IFERROR(__xludf.DUMMYFUNCTION("""COMPUTED_VALUE""")," En Ejecución ")</f>
        <v xml:space="preserve"> En Ejecución </v>
      </c>
      <c r="F145" s="41">
        <f ca="1">IFERROR(__xludf.DUMMYFUNCTION("""COMPUTED_VALUE"""),45464)</f>
        <v>45464</v>
      </c>
      <c r="G145" s="16">
        <f ca="1">IFERROR(__xludf.DUMMYFUNCTION("""COMPUTED_VALUE"""),91200000)</f>
        <v>91200000</v>
      </c>
      <c r="H145" s="16" t="str">
        <f ca="1">IFERROR(__xludf.DUMMYFUNCTION("""COMPUTED_VALUE""")," En Ejecución ")</f>
        <v xml:space="preserve"> En Ejecución </v>
      </c>
      <c r="I145" s="16">
        <f ca="1">IFERROR(__xludf.DUMMYFUNCTION("""COMPUTED_VALUE"""),91200000)</f>
        <v>91200000</v>
      </c>
      <c r="J145" s="83" t="s">
        <v>48</v>
      </c>
      <c r="K145" s="16"/>
      <c r="L145" s="16"/>
      <c r="M145" s="16"/>
      <c r="N145" s="19"/>
      <c r="O145" s="19"/>
      <c r="P145" s="21">
        <f ca="1">IFERROR(__xludf.DUMMYFUNCTION("""COMPUTED_VALUE"""),91200000)</f>
        <v>91200000</v>
      </c>
      <c r="Q145" s="19"/>
      <c r="R145" s="19"/>
      <c r="S145" s="19"/>
      <c r="T145" s="19"/>
      <c r="U145" s="19"/>
      <c r="V145" s="19"/>
      <c r="W145" s="20">
        <f ca="1">IFERROR(__xludf.DUMMYFUNCTION("""COMPUTED_VALUE"""),91200000)</f>
        <v>91200000</v>
      </c>
      <c r="X145" s="43" t="str">
        <f ca="1">IFERROR(__xludf.DUMMYFUNCTION("""COMPUTED_VALUE"""),"MUNICIPALIDAD DE CHAITÉN")</f>
        <v>MUNICIPALIDAD DE CHAITÉN</v>
      </c>
    </row>
    <row r="146" spans="1:24" ht="15.75" customHeight="1" x14ac:dyDescent="0.25">
      <c r="A146" s="16" t="str">
        <f ca="1">IFERROR(__xludf.DUMMYFUNCTION("""COMPUTED_VALUE""")," REGIÓN DE LOS LAGOS ")</f>
        <v xml:space="preserve"> REGIÓN DE LOS LAGOS </v>
      </c>
      <c r="B146" s="16" t="str">
        <f t="shared" ca="1" si="0"/>
        <v xml:space="preserve"> PUYEHUE</v>
      </c>
      <c r="C146" s="16" t="str">
        <f ca="1">IFERROR(__xludf.DUMMYFUNCTION("""COMPUTED_VALUE""")," ASISTENCIA TECNICA PARA LA FORMULACION DE PROYECTOS AÑO 2024 ")</f>
        <v xml:space="preserve"> ASISTENCIA TECNICA PARA LA FORMULACION DE PROYECTOS AÑO 2024 </v>
      </c>
      <c r="D146" s="40" t="str">
        <f ca="1">IFERROR(__xludf.DUMMYFUNCTION("""COMPUTED_VALUE"""),"10304241001-C")</f>
        <v>10304241001-C</v>
      </c>
      <c r="E146" s="16" t="str">
        <f ca="1">IFERROR(__xludf.DUMMYFUNCTION("""COMPUTED_VALUE""")," En Ejecución ")</f>
        <v xml:space="preserve"> En Ejecución </v>
      </c>
      <c r="F146" s="41">
        <f ca="1">IFERROR(__xludf.DUMMYFUNCTION("""COMPUTED_VALUE"""),45464)</f>
        <v>45464</v>
      </c>
      <c r="G146" s="16">
        <f ca="1">IFERROR(__xludf.DUMMYFUNCTION("""COMPUTED_VALUE"""),68400000)</f>
        <v>68400000</v>
      </c>
      <c r="H146" s="16" t="str">
        <f ca="1">IFERROR(__xludf.DUMMYFUNCTION("""COMPUTED_VALUE""")," En Ejecución ")</f>
        <v xml:space="preserve"> En Ejecución </v>
      </c>
      <c r="I146" s="16">
        <f ca="1">IFERROR(__xludf.DUMMYFUNCTION("""COMPUTED_VALUE"""),68400000)</f>
        <v>68400000</v>
      </c>
      <c r="J146" s="83" t="s">
        <v>48</v>
      </c>
      <c r="K146" s="16"/>
      <c r="L146" s="16"/>
      <c r="M146" s="16"/>
      <c r="N146" s="19"/>
      <c r="O146" s="19"/>
      <c r="P146" s="21">
        <f ca="1">IFERROR(__xludf.DUMMYFUNCTION("""COMPUTED_VALUE"""),68400000)</f>
        <v>68400000</v>
      </c>
      <c r="Q146" s="19"/>
      <c r="R146" s="19"/>
      <c r="S146" s="19"/>
      <c r="T146" s="19"/>
      <c r="U146" s="19"/>
      <c r="V146" s="19"/>
      <c r="W146" s="20">
        <f ca="1">IFERROR(__xludf.DUMMYFUNCTION("""COMPUTED_VALUE"""),68400000)</f>
        <v>68400000</v>
      </c>
      <c r="X146" s="43" t="str">
        <f ca="1">IFERROR(__xludf.DUMMYFUNCTION("""COMPUTED_VALUE"""),"MUNICIPALIDAD DE PUYEHUE")</f>
        <v>MUNICIPALIDAD DE PUYEHUE</v>
      </c>
    </row>
    <row r="147" spans="1:24" ht="15.75" customHeight="1" x14ac:dyDescent="0.25">
      <c r="A147" s="16" t="str">
        <f ca="1">IFERROR(__xludf.DUMMYFUNCTION("""COMPUTED_VALUE""")," REGIÓN DE LOS LAGOS ")</f>
        <v xml:space="preserve"> REGIÓN DE LOS LAGOS </v>
      </c>
      <c r="B147" s="16" t="str">
        <f t="shared" ca="1" si="0"/>
        <v xml:space="preserve"> PALENA</v>
      </c>
      <c r="C147" s="16" t="str">
        <f ca="1">IFERROR(__xludf.DUMMYFUNCTION("""COMPUTED_VALUE""")," ASISTENCIA TÉCNICA PARA PROYECTOS DE MEJORAMIENTO URBANO E INFRAESTRUCTURA SANITARIA COMUNA DE PALENA. ")</f>
        <v xml:space="preserve"> ASISTENCIA TÉCNICA PARA PROYECTOS DE MEJORAMIENTO URBANO E INFRAESTRUCTURA SANITARIA COMUNA DE PALENA. </v>
      </c>
      <c r="D147" s="40" t="str">
        <f ca="1">IFERROR(__xludf.DUMMYFUNCTION("""COMPUTED_VALUE"""),"10404231002-C")</f>
        <v>10404231002-C</v>
      </c>
      <c r="E147" s="16" t="str">
        <f ca="1">IFERROR(__xludf.DUMMYFUNCTION("""COMPUTED_VALUE""")," En Ejecución ")</f>
        <v xml:space="preserve"> En Ejecución </v>
      </c>
      <c r="F147" s="41">
        <f ca="1">IFERROR(__xludf.DUMMYFUNCTION("""COMPUTED_VALUE"""),45464)</f>
        <v>45464</v>
      </c>
      <c r="G147" s="16">
        <f ca="1">IFERROR(__xludf.DUMMYFUNCTION("""COMPUTED_VALUE"""),91200000)</f>
        <v>91200000</v>
      </c>
      <c r="H147" s="16" t="str">
        <f ca="1">IFERROR(__xludf.DUMMYFUNCTION("""COMPUTED_VALUE""")," En Ejecución ")</f>
        <v xml:space="preserve"> En Ejecución </v>
      </c>
      <c r="I147" s="16">
        <f ca="1">IFERROR(__xludf.DUMMYFUNCTION("""COMPUTED_VALUE"""),91200000)</f>
        <v>91200000</v>
      </c>
      <c r="J147" s="83" t="s">
        <v>48</v>
      </c>
      <c r="K147" s="16"/>
      <c r="L147" s="16"/>
      <c r="M147" s="16"/>
      <c r="N147" s="19"/>
      <c r="O147" s="19"/>
      <c r="P147" s="21">
        <f ca="1">IFERROR(__xludf.DUMMYFUNCTION("""COMPUTED_VALUE"""),91200000)</f>
        <v>91200000</v>
      </c>
      <c r="Q147" s="19"/>
      <c r="R147" s="19"/>
      <c r="S147" s="19"/>
      <c r="T147" s="19"/>
      <c r="U147" s="19"/>
      <c r="V147" s="19"/>
      <c r="W147" s="20">
        <f ca="1">IFERROR(__xludf.DUMMYFUNCTION("""COMPUTED_VALUE"""),91200000)</f>
        <v>91200000</v>
      </c>
      <c r="X147" s="43" t="str">
        <f ca="1">IFERROR(__xludf.DUMMYFUNCTION("""COMPUTED_VALUE"""),"MUNICIPALIDAD DE PALENA")</f>
        <v>MUNICIPALIDAD DE PALENA</v>
      </c>
    </row>
    <row r="148" spans="1:24" ht="15.75" customHeight="1" x14ac:dyDescent="0.25">
      <c r="A148" s="16" t="str">
        <f ca="1">IFERROR(__xludf.DUMMYFUNCTION("""COMPUTED_VALUE""")," REGIÓN DE LOS LAGOS ")</f>
        <v xml:space="preserve"> REGIÓN DE LOS LAGOS </v>
      </c>
      <c r="B148" s="16" t="str">
        <f t="shared" ca="1" si="0"/>
        <v xml:space="preserve"> PUYEHUE</v>
      </c>
      <c r="C148" s="16" t="str">
        <f ca="1">IFERROR(__xludf.DUMMYFUNCTION("""COMPUTED_VALUE""")," “CONSERVACIÓN RED DE AGUA POTABLE EN CALLE GENERAL LAGOS - SSR ENTRE LAGOS, PUYEHUE” ")</f>
        <v xml:space="preserve"> “CONSERVACIÓN RED DE AGUA POTABLE EN CALLE GENERAL LAGOS - SSR ENTRE LAGOS, PUYEHUE” </v>
      </c>
      <c r="D148" s="40" t="str">
        <f ca="1">IFERROR(__xludf.DUMMYFUNCTION("""COMPUTED_VALUE"""),"10304240701-B")</f>
        <v>10304240701-B</v>
      </c>
      <c r="E148" s="16" t="str">
        <f ca="1">IFERROR(__xludf.DUMMYFUNCTION("""COMPUTED_VALUE""")," En Ejecución ")</f>
        <v xml:space="preserve"> En Ejecución </v>
      </c>
      <c r="F148" s="41">
        <f ca="1">IFERROR(__xludf.DUMMYFUNCTION("""COMPUTED_VALUE"""),45464)</f>
        <v>45464</v>
      </c>
      <c r="G148" s="16">
        <f ca="1">IFERROR(__xludf.DUMMYFUNCTION("""COMPUTED_VALUE"""),90000000)</f>
        <v>90000000</v>
      </c>
      <c r="H148" s="16" t="str">
        <f ca="1">IFERROR(__xludf.DUMMYFUNCTION("""COMPUTED_VALUE""")," En Ejecución ")</f>
        <v xml:space="preserve"> En Ejecución </v>
      </c>
      <c r="I148" s="16">
        <f ca="1">IFERROR(__xludf.DUMMYFUNCTION("""COMPUTED_VALUE"""),90000000)</f>
        <v>90000000</v>
      </c>
      <c r="J148" s="83" t="s">
        <v>48</v>
      </c>
      <c r="K148" s="16"/>
      <c r="L148" s="16"/>
      <c r="M148" s="16"/>
      <c r="N148" s="19"/>
      <c r="O148" s="19"/>
      <c r="P148" s="21">
        <f ca="1">IFERROR(__xludf.DUMMYFUNCTION("""COMPUTED_VALUE"""),90000000)</f>
        <v>90000000</v>
      </c>
      <c r="Q148" s="19"/>
      <c r="R148" s="19"/>
      <c r="S148" s="19"/>
      <c r="T148" s="19"/>
      <c r="U148" s="19"/>
      <c r="V148" s="19"/>
      <c r="W148" s="20">
        <f ca="1">IFERROR(__xludf.DUMMYFUNCTION("""COMPUTED_VALUE"""),90000000)</f>
        <v>90000000</v>
      </c>
      <c r="X148" s="43" t="str">
        <f ca="1">IFERROR(__xludf.DUMMYFUNCTION("""COMPUTED_VALUE"""),"MUNICIPALIDAD DE PUYEHUE")</f>
        <v>MUNICIPALIDAD DE PUYEHUE</v>
      </c>
    </row>
    <row r="149" spans="1:24" ht="15.75" customHeight="1" x14ac:dyDescent="0.25">
      <c r="A149" s="16" t="str">
        <f ca="1">IFERROR(__xludf.DUMMYFUNCTION("""COMPUTED_VALUE""")," REGIÓN DEL BIOBÍO ")</f>
        <v xml:space="preserve"> REGIÓN DEL BIOBÍO </v>
      </c>
      <c r="B149" s="16" t="str">
        <f t="shared" ca="1" si="0"/>
        <v xml:space="preserve"> SAN ROSENDO</v>
      </c>
      <c r="C149" s="16" t="str">
        <f ca="1">IFERROR(__xludf.DUMMYFUNCTION("""COMPUTED_VALUE""")," ASISTENCIA TÉCNICA PARA LA GESTIÓN, SUPERVISIÓN, OPTIMIZACIÓN DE LOS RSD Y TEMÁTICAS RELACIONADAS EN SAN ROSENDO ")</f>
        <v xml:space="preserve"> ASISTENCIA TÉCNICA PARA LA GESTIÓN, SUPERVISIÓN, OPTIMIZACIÓN DE LOS RSD Y TEMÁTICAS RELACIONADAS EN SAN ROSENDO </v>
      </c>
      <c r="D149" s="40" t="str">
        <f ca="1">IFERROR(__xludf.DUMMYFUNCTION("""COMPUTED_VALUE"""),"8310241001-C")</f>
        <v>8310241001-C</v>
      </c>
      <c r="E149" s="16" t="str">
        <f ca="1">IFERROR(__xludf.DUMMYFUNCTION("""COMPUTED_VALUE""")," En Ejecución ")</f>
        <v xml:space="preserve"> En Ejecución </v>
      </c>
      <c r="F149" s="41">
        <f ca="1">IFERROR(__xludf.DUMMYFUNCTION("""COMPUTED_VALUE"""),45462)</f>
        <v>45462</v>
      </c>
      <c r="G149" s="16">
        <f ca="1">IFERROR(__xludf.DUMMYFUNCTION("""COMPUTED_VALUE"""),47165760)</f>
        <v>47165760</v>
      </c>
      <c r="H149" s="16" t="str">
        <f ca="1">IFERROR(__xludf.DUMMYFUNCTION("""COMPUTED_VALUE""")," En Ejecución ")</f>
        <v xml:space="preserve"> En Ejecución </v>
      </c>
      <c r="I149" s="16">
        <f ca="1">IFERROR(__xludf.DUMMYFUNCTION("""COMPUTED_VALUE"""),47165760)</f>
        <v>47165760</v>
      </c>
      <c r="J149" s="83" t="s">
        <v>48</v>
      </c>
      <c r="K149" s="16"/>
      <c r="L149" s="16"/>
      <c r="M149" s="16"/>
      <c r="N149" s="19"/>
      <c r="O149" s="19"/>
      <c r="P149" s="21">
        <f ca="1">IFERROR(__xludf.DUMMYFUNCTION("""COMPUTED_VALUE"""),47165760)</f>
        <v>47165760</v>
      </c>
      <c r="Q149" s="19"/>
      <c r="R149" s="19"/>
      <c r="S149" s="19"/>
      <c r="T149" s="19"/>
      <c r="U149" s="19"/>
      <c r="V149" s="19"/>
      <c r="W149" s="20">
        <f ca="1">IFERROR(__xludf.DUMMYFUNCTION("""COMPUTED_VALUE"""),47165760)</f>
        <v>47165760</v>
      </c>
      <c r="X149" s="43" t="str">
        <f ca="1">IFERROR(__xludf.DUMMYFUNCTION("""COMPUTED_VALUE"""),"MUNICIPALIDAD DE SAN ROSENDO")</f>
        <v>MUNICIPALIDAD DE SAN ROSENDO</v>
      </c>
    </row>
    <row r="150" spans="1:24" ht="15.75" customHeight="1" x14ac:dyDescent="0.25">
      <c r="A150" s="16" t="str">
        <f ca="1">IFERROR(__xludf.DUMMYFUNCTION("""COMPUTED_VALUE""")," REGIÓN DEL BIOBÍO ")</f>
        <v xml:space="preserve"> REGIÓN DEL BIOBÍO </v>
      </c>
      <c r="B150" s="16" t="str">
        <f t="shared" ca="1" si="0"/>
        <v xml:space="preserve"> NEGRETE</v>
      </c>
      <c r="C150" s="16" t="str">
        <f ca="1">IFERROR(__xludf.DUMMYFUNCTION("""COMPUTED_VALUE""")," ASISTENCIA TÉCNICA PARA GENERACIÓN DE PROYECTOS DE ENERGIZACIÓN EN ESPACIOS COMUNITARIOS, COMUNA DE NEGRETE. ")</f>
        <v xml:space="preserve"> ASISTENCIA TÉCNICA PARA GENERACIÓN DE PROYECTOS DE ENERGIZACIÓN EN ESPACIOS COMUNITARIOS, COMUNA DE NEGRETE. </v>
      </c>
      <c r="D150" s="40" t="str">
        <f ca="1">IFERROR(__xludf.DUMMYFUNCTION("""COMPUTED_VALUE"""),"8307241001-C")</f>
        <v>8307241001-C</v>
      </c>
      <c r="E150" s="16" t="str">
        <f ca="1">IFERROR(__xludf.DUMMYFUNCTION("""COMPUTED_VALUE""")," En Ejecución ")</f>
        <v xml:space="preserve"> En Ejecución </v>
      </c>
      <c r="F150" s="41">
        <f ca="1">IFERROR(__xludf.DUMMYFUNCTION("""COMPUTED_VALUE"""),45461)</f>
        <v>45461</v>
      </c>
      <c r="G150" s="16">
        <f ca="1">IFERROR(__xludf.DUMMYFUNCTION("""COMPUTED_VALUE"""),73200000)</f>
        <v>73200000</v>
      </c>
      <c r="H150" s="16" t="str">
        <f ca="1">IFERROR(__xludf.DUMMYFUNCTION("""COMPUTED_VALUE""")," En Ejecución ")</f>
        <v xml:space="preserve"> En Ejecución </v>
      </c>
      <c r="I150" s="16">
        <f ca="1">IFERROR(__xludf.DUMMYFUNCTION("""COMPUTED_VALUE"""),73200000)</f>
        <v>73200000</v>
      </c>
      <c r="J150" s="83" t="s">
        <v>48</v>
      </c>
      <c r="K150" s="16"/>
      <c r="L150" s="16"/>
      <c r="M150" s="16"/>
      <c r="N150" s="19"/>
      <c r="O150" s="19"/>
      <c r="P150" s="21">
        <f ca="1">IFERROR(__xludf.DUMMYFUNCTION("""COMPUTED_VALUE"""),73200000)</f>
        <v>73200000</v>
      </c>
      <c r="Q150" s="19"/>
      <c r="R150" s="19"/>
      <c r="S150" s="19"/>
      <c r="T150" s="19"/>
      <c r="U150" s="19"/>
      <c r="V150" s="19"/>
      <c r="W150" s="20">
        <f ca="1">IFERROR(__xludf.DUMMYFUNCTION("""COMPUTED_VALUE"""),73200000)</f>
        <v>73200000</v>
      </c>
      <c r="X150" s="43" t="str">
        <f ca="1">IFERROR(__xludf.DUMMYFUNCTION("""COMPUTED_VALUE"""),"MUNICIPALIDAD DE NEGRETE")</f>
        <v>MUNICIPALIDAD DE NEGRETE</v>
      </c>
    </row>
    <row r="151" spans="1:24" ht="15.75" customHeight="1" x14ac:dyDescent="0.25">
      <c r="A151" s="16" t="str">
        <f ca="1">IFERROR(__xludf.DUMMYFUNCTION("""COMPUTED_VALUE""")," REGIÓN DE COQUIMBO ")</f>
        <v xml:space="preserve"> REGIÓN DE COQUIMBO </v>
      </c>
      <c r="B151" s="16" t="str">
        <f t="shared" ca="1" si="0"/>
        <v xml:space="preserve"> PAIGUANO</v>
      </c>
      <c r="C151" s="16" t="str">
        <f ca="1">IFERROR(__xludf.DUMMYFUNCTION("""COMPUTED_VALUE""")," [SATE] CONSTRUCCION RED DE AGUA POTABLE PARA LA LOCALIDAD DE CHAÑAR BLANCO, COMUNA DE PAIHUANO ")</f>
        <v xml:space="preserve"> [SATE] CONSTRUCCION RED DE AGUA POTABLE PARA LA LOCALIDAD DE CHAÑAR BLANCO, COMUNA DE PAIHUANO </v>
      </c>
      <c r="D151" s="40" t="str">
        <f ca="1">IFERROR(__xludf.DUMMYFUNCTION("""COMPUTED_VALUE"""),"4105230703-C")</f>
        <v>4105230703-C</v>
      </c>
      <c r="E151" s="16" t="str">
        <f ca="1">IFERROR(__xludf.DUMMYFUNCTION("""COMPUTED_VALUE""")," En Ejecución ")</f>
        <v xml:space="preserve"> En Ejecución </v>
      </c>
      <c r="F151" s="41">
        <f ca="1">IFERROR(__xludf.DUMMYFUNCTION("""COMPUTED_VALUE"""),45464)</f>
        <v>45464</v>
      </c>
      <c r="G151" s="16">
        <f ca="1">IFERROR(__xludf.DUMMYFUNCTION("""COMPUTED_VALUE"""),302540916)</f>
        <v>302540916</v>
      </c>
      <c r="H151" s="16" t="str">
        <f ca="1">IFERROR(__xludf.DUMMYFUNCTION("""COMPUTED_VALUE""")," En Ejecución ")</f>
        <v xml:space="preserve"> En Ejecución </v>
      </c>
      <c r="I151" s="16">
        <f ca="1">IFERROR(__xludf.DUMMYFUNCTION("""COMPUTED_VALUE"""),302540916)</f>
        <v>302540916</v>
      </c>
      <c r="J151" s="83" t="s">
        <v>48</v>
      </c>
      <c r="K151" s="16"/>
      <c r="L151" s="16"/>
      <c r="M151" s="16"/>
      <c r="N151" s="19"/>
      <c r="O151" s="19"/>
      <c r="P151" s="21">
        <f ca="1">IFERROR(__xludf.DUMMYFUNCTION("""COMPUTED_VALUE"""),302540916)</f>
        <v>302540916</v>
      </c>
      <c r="Q151" s="19"/>
      <c r="R151" s="19"/>
      <c r="S151" s="19"/>
      <c r="T151" s="19"/>
      <c r="U151" s="19"/>
      <c r="V151" s="19"/>
      <c r="W151" s="20">
        <f ca="1">IFERROR(__xludf.DUMMYFUNCTION("""COMPUTED_VALUE"""),302540916)</f>
        <v>302540916</v>
      </c>
      <c r="X151" s="43" t="str">
        <f ca="1">IFERROR(__xludf.DUMMYFUNCTION("""COMPUTED_VALUE"""),"MUNICIPALIDAD DE PAIGUANO")</f>
        <v>MUNICIPALIDAD DE PAIGUANO</v>
      </c>
    </row>
    <row r="152" spans="1:24" ht="15.75" customHeight="1" x14ac:dyDescent="0.25">
      <c r="A152" s="16" t="str">
        <f ca="1">IFERROR(__xludf.DUMMYFUNCTION("""COMPUTED_VALUE""")," REGIÓN DEL MAULE ")</f>
        <v xml:space="preserve"> REGIÓN DEL MAULE </v>
      </c>
      <c r="B152" s="16" t="str">
        <f t="shared" ca="1" si="0"/>
        <v xml:space="preserve"> TALCA</v>
      </c>
      <c r="C152" s="16" t="str">
        <f ca="1">IFERROR(__xludf.DUMMYFUNCTION("""COMPUTED_VALUE""")," ASISTENCIA TECNICA PARA PROYECTOS DE SANEAMIENTO SANITARIO COMUNA DE TALCA ")</f>
        <v xml:space="preserve"> ASISTENCIA TECNICA PARA PROYECTOS DE SANEAMIENTO SANITARIO COMUNA DE TALCA </v>
      </c>
      <c r="D152" s="40" t="str">
        <f ca="1">IFERROR(__xludf.DUMMYFUNCTION("""COMPUTED_VALUE"""),"7101221001-C")</f>
        <v>7101221001-C</v>
      </c>
      <c r="E152" s="16" t="str">
        <f ca="1">IFERROR(__xludf.DUMMYFUNCTION("""COMPUTED_VALUE""")," En Ejecución ")</f>
        <v xml:space="preserve"> En Ejecución </v>
      </c>
      <c r="F152" s="41">
        <f ca="1">IFERROR(__xludf.DUMMYFUNCTION("""COMPUTED_VALUE"""),44593)</f>
        <v>44593</v>
      </c>
      <c r="G152" s="16">
        <f ca="1">IFERROR(__xludf.DUMMYFUNCTION("""COMPUTED_VALUE"""),70800000)</f>
        <v>70800000</v>
      </c>
      <c r="H152" s="16" t="str">
        <f ca="1">IFERROR(__xludf.DUMMYFUNCTION("""COMPUTED_VALUE""")," En Ejecución ")</f>
        <v xml:space="preserve"> En Ejecución </v>
      </c>
      <c r="I152" s="16">
        <f ca="1">IFERROR(__xludf.DUMMYFUNCTION("""COMPUTED_VALUE"""),13680000)</f>
        <v>13680000</v>
      </c>
      <c r="J152" s="83" t="s">
        <v>48</v>
      </c>
      <c r="K152" s="16"/>
      <c r="L152" s="16"/>
      <c r="M152" s="16"/>
      <c r="N152" s="19"/>
      <c r="O152" s="19"/>
      <c r="P152" s="21">
        <f ca="1">IFERROR(__xludf.DUMMYFUNCTION("""COMPUTED_VALUE"""),13680000)</f>
        <v>13680000</v>
      </c>
      <c r="Q152" s="19"/>
      <c r="R152" s="19"/>
      <c r="S152" s="19"/>
      <c r="T152" s="19"/>
      <c r="U152" s="19"/>
      <c r="V152" s="19"/>
      <c r="W152" s="20">
        <f ca="1">IFERROR(__xludf.DUMMYFUNCTION("""COMPUTED_VALUE"""),13680000)</f>
        <v>13680000</v>
      </c>
      <c r="X152" s="43" t="str">
        <f ca="1">IFERROR(__xludf.DUMMYFUNCTION("""COMPUTED_VALUE"""),"MUNICIPALIDAD DE TALCA")</f>
        <v>MUNICIPALIDAD DE TALCA</v>
      </c>
    </row>
    <row r="153" spans="1:24" ht="15.75" customHeight="1" x14ac:dyDescent="0.25">
      <c r="A153" s="16" t="str">
        <f ca="1">IFERROR(__xludf.DUMMYFUNCTION("""COMPUTED_VALUE""")," REGIÓN DEL MAULE ")</f>
        <v xml:space="preserve"> REGIÓN DEL MAULE </v>
      </c>
      <c r="B153" s="16" t="str">
        <f t="shared" ca="1" si="0"/>
        <v xml:space="preserve"> EMPEDRADO</v>
      </c>
      <c r="C153" s="16" t="str">
        <f ca="1">IFERROR(__xludf.DUMMYFUNCTION("""COMPUTED_VALUE""")," CONTRATACIÓN ASISTENCIA TÉCNICA ÁREA SANEAMIENTO SANITARIO DIVERSOS SECTORES DE COMUNA DE EMPEDRADO ")</f>
        <v xml:space="preserve"> CONTRATACIÓN ASISTENCIA TÉCNICA ÁREA SANEAMIENTO SANITARIO DIVERSOS SECTORES DE COMUNA DE EMPEDRADO </v>
      </c>
      <c r="D153" s="40" t="str">
        <f ca="1">IFERROR(__xludf.DUMMYFUNCTION("""COMPUTED_VALUE"""),"7104221001-C")</f>
        <v>7104221001-C</v>
      </c>
      <c r="E153" s="16" t="str">
        <f ca="1">IFERROR(__xludf.DUMMYFUNCTION("""COMPUTED_VALUE""")," En Ejecución ")</f>
        <v xml:space="preserve"> En Ejecución </v>
      </c>
      <c r="F153" s="41">
        <f ca="1">IFERROR(__xludf.DUMMYFUNCTION("""COMPUTED_VALUE"""),44862)</f>
        <v>44862</v>
      </c>
      <c r="G153" s="16">
        <f ca="1">IFERROR(__xludf.DUMMYFUNCTION("""COMPUTED_VALUE"""),72490608)</f>
        <v>72490608</v>
      </c>
      <c r="H153" s="16" t="str">
        <f ca="1">IFERROR(__xludf.DUMMYFUNCTION("""COMPUTED_VALUE""")," En Ejecución ")</f>
        <v xml:space="preserve"> En Ejecución </v>
      </c>
      <c r="I153" s="16">
        <f ca="1">IFERROR(__xludf.DUMMYFUNCTION("""COMPUTED_VALUE"""),1549061)</f>
        <v>1549061</v>
      </c>
      <c r="J153" s="83" t="s">
        <v>48</v>
      </c>
      <c r="K153" s="16"/>
      <c r="L153" s="16"/>
      <c r="M153" s="16"/>
      <c r="N153" s="19"/>
      <c r="O153" s="19"/>
      <c r="P153" s="21">
        <f ca="1">IFERROR(__xludf.DUMMYFUNCTION("""COMPUTED_VALUE"""),1549061)</f>
        <v>1549061</v>
      </c>
      <c r="Q153" s="19"/>
      <c r="R153" s="19"/>
      <c r="S153" s="19"/>
      <c r="T153" s="19"/>
      <c r="U153" s="19"/>
      <c r="V153" s="19"/>
      <c r="W153" s="20">
        <f ca="1">IFERROR(__xludf.DUMMYFUNCTION("""COMPUTED_VALUE"""),1549061)</f>
        <v>1549061</v>
      </c>
      <c r="X153" s="43" t="str">
        <f ca="1">IFERROR(__xludf.DUMMYFUNCTION("""COMPUTED_VALUE"""),"MUNICIPALIDAD DE EMPEDRADO")</f>
        <v>MUNICIPALIDAD DE EMPEDRADO</v>
      </c>
    </row>
    <row r="154" spans="1:24" ht="15.75" customHeight="1" x14ac:dyDescent="0.25">
      <c r="A154" s="16" t="str">
        <f ca="1">IFERROR(__xludf.DUMMYFUNCTION("""COMPUTED_VALUE""")," REGIÓN DE LA ARAUCANÍA ")</f>
        <v xml:space="preserve"> REGIÓN DE LA ARAUCANÍA </v>
      </c>
      <c r="B154" s="16" t="str">
        <f t="shared" ca="1" si="0"/>
        <v xml:space="preserve"> TRAIGUÉN</v>
      </c>
      <c r="C154" s="16" t="str">
        <f ca="1">IFERROR(__xludf.DUMMYFUNCTION("""COMPUTED_VALUE""")," ABASTO DE AGUA POTABLE SECTOR REÑICO EL AVELLANO ")</f>
        <v xml:space="preserve"> ABASTO DE AGUA POTABLE SECTOR REÑICO EL AVELLANO </v>
      </c>
      <c r="D154" s="40" t="str">
        <f ca="1">IFERROR(__xludf.DUMMYFUNCTION("""COMPUTED_VALUE"""),"9210160710-C")</f>
        <v>9210160710-C</v>
      </c>
      <c r="E154" s="16" t="str">
        <f ca="1">IFERROR(__xludf.DUMMYFUNCTION("""COMPUTED_VALUE""")," En Ejecución ")</f>
        <v xml:space="preserve"> En Ejecución </v>
      </c>
      <c r="F154" s="41">
        <f ca="1">IFERROR(__xludf.DUMMYFUNCTION("""COMPUTED_VALUE"""),43447)</f>
        <v>43447</v>
      </c>
      <c r="G154" s="16">
        <f ca="1">IFERROR(__xludf.DUMMYFUNCTION("""COMPUTED_VALUE"""),88261436)</f>
        <v>88261436</v>
      </c>
      <c r="H154" s="16" t="str">
        <f ca="1">IFERROR(__xludf.DUMMYFUNCTION("""COMPUTED_VALUE""")," En Ejecución ")</f>
        <v xml:space="preserve"> En Ejecución </v>
      </c>
      <c r="I154" s="16">
        <f ca="1">IFERROR(__xludf.DUMMYFUNCTION("""COMPUTED_VALUE"""),5080436)</f>
        <v>5080436</v>
      </c>
      <c r="J154" s="83" t="s">
        <v>48</v>
      </c>
      <c r="K154" s="16"/>
      <c r="L154" s="16"/>
      <c r="M154" s="16"/>
      <c r="N154" s="19"/>
      <c r="O154" s="19"/>
      <c r="P154" s="21">
        <f ca="1">IFERROR(__xludf.DUMMYFUNCTION("""COMPUTED_VALUE"""),5080436)</f>
        <v>5080436</v>
      </c>
      <c r="Q154" s="19"/>
      <c r="R154" s="19"/>
      <c r="S154" s="19"/>
      <c r="T154" s="19"/>
      <c r="U154" s="19"/>
      <c r="V154" s="19"/>
      <c r="W154" s="20">
        <f ca="1">IFERROR(__xludf.DUMMYFUNCTION("""COMPUTED_VALUE"""),5080436)</f>
        <v>5080436</v>
      </c>
      <c r="X154" s="43" t="str">
        <f ca="1">IFERROR(__xludf.DUMMYFUNCTION("""COMPUTED_VALUE"""),"MUNICIPALIDAD DE TRAIGUÉN")</f>
        <v>MUNICIPALIDAD DE TRAIGUÉN</v>
      </c>
    </row>
    <row r="155" spans="1:24" ht="15.75" customHeight="1" x14ac:dyDescent="0.25">
      <c r="A155" s="16" t="str">
        <f ca="1">IFERROR(__xludf.DUMMYFUNCTION("""COMPUTED_VALUE""")," REGIÓN DE LA ARAUCANÍA ")</f>
        <v xml:space="preserve"> REGIÓN DE LA ARAUCANÍA </v>
      </c>
      <c r="B155" s="16" t="str">
        <f t="shared" ca="1" si="0"/>
        <v xml:space="preserve"> LUMACO</v>
      </c>
      <c r="C155" s="16" t="str">
        <f ca="1">IFERROR(__xludf.DUMMYFUNCTION("""COMPUTED_VALUE""")," CONSTRUCCIÓN EXTENSIÓN DE RED AP Y AS CALLE ESMERALDA, ")</f>
        <v xml:space="preserve"> CONSTRUCCIÓN EXTENSIÓN DE RED AP Y AS CALLE ESMERALDA, </v>
      </c>
      <c r="D155" s="40" t="str">
        <f ca="1">IFERROR(__xludf.DUMMYFUNCTION("""COMPUTED_VALUE"""),"9207190705-C")</f>
        <v>9207190705-C</v>
      </c>
      <c r="E155" s="16" t="str">
        <f ca="1">IFERROR(__xludf.DUMMYFUNCTION("""COMPUTED_VALUE""")," En Ejecución ")</f>
        <v xml:space="preserve"> En Ejecución </v>
      </c>
      <c r="F155" s="41">
        <f ca="1">IFERROR(__xludf.DUMMYFUNCTION("""COMPUTED_VALUE"""),44188)</f>
        <v>44188</v>
      </c>
      <c r="G155" s="16">
        <f ca="1">IFERROR(__xludf.DUMMYFUNCTION("""COMPUTED_VALUE"""),41995338)</f>
        <v>41995338</v>
      </c>
      <c r="H155" s="16" t="str">
        <f ca="1">IFERROR(__xludf.DUMMYFUNCTION("""COMPUTED_VALUE""")," En Ejecución ")</f>
        <v xml:space="preserve"> En Ejecución </v>
      </c>
      <c r="I155" s="16">
        <f ca="1">IFERROR(__xludf.DUMMYFUNCTION("""COMPUTED_VALUE"""),36015669)</f>
        <v>36015669</v>
      </c>
      <c r="J155" s="83" t="s">
        <v>48</v>
      </c>
      <c r="K155" s="16"/>
      <c r="L155" s="16"/>
      <c r="M155" s="16"/>
      <c r="N155" s="19"/>
      <c r="O155" s="19"/>
      <c r="P155" s="21">
        <f ca="1">IFERROR(__xludf.DUMMYFUNCTION("""COMPUTED_VALUE"""),36015669)</f>
        <v>36015669</v>
      </c>
      <c r="Q155" s="19"/>
      <c r="R155" s="19"/>
      <c r="S155" s="19"/>
      <c r="T155" s="19"/>
      <c r="U155" s="19"/>
      <c r="V155" s="19"/>
      <c r="W155" s="20">
        <f ca="1">IFERROR(__xludf.DUMMYFUNCTION("""COMPUTED_VALUE"""),36015669)</f>
        <v>36015669</v>
      </c>
      <c r="X155" s="43" t="str">
        <f ca="1">IFERROR(__xludf.DUMMYFUNCTION("""COMPUTED_VALUE"""),"MUNICIPALIDAD DE LUMACO")</f>
        <v>MUNICIPALIDAD DE LUMACO</v>
      </c>
    </row>
    <row r="156" spans="1:24" ht="15.75" customHeight="1" x14ac:dyDescent="0.25">
      <c r="A156" s="16" t="str">
        <f ca="1">IFERROR(__xludf.DUMMYFUNCTION("""COMPUTED_VALUE""")," REGIÓN DEL MAULE ")</f>
        <v xml:space="preserve"> REGIÓN DEL MAULE </v>
      </c>
      <c r="B156" s="16" t="str">
        <f t="shared" ca="1" si="0"/>
        <v xml:space="preserve"> LINARES</v>
      </c>
      <c r="C156" s="16" t="str">
        <f ca="1">IFERROR(__xludf.DUMMYFUNCTION("""COMPUTED_VALUE""")," DISEÑO DE SOLUCIONES DE SANEAMIENTO SANITARIO PARA LOS SECTORES DE VILLA LOS ÁNGELES, VILLA 2000 Y OTROS ")</f>
        <v xml:space="preserve"> DISEÑO DE SOLUCIONES DE SANEAMIENTO SANITARIO PARA LOS SECTORES DE VILLA LOS ÁNGELES, VILLA 2000 Y OTROS </v>
      </c>
      <c r="D156" s="40" t="str">
        <f ca="1">IFERROR(__xludf.DUMMYFUNCTION("""COMPUTED_VALUE"""),"7401221004-C")</f>
        <v>7401221004-C</v>
      </c>
      <c r="E156" s="16" t="str">
        <f ca="1">IFERROR(__xludf.DUMMYFUNCTION("""COMPUTED_VALUE""")," En Ejecución ")</f>
        <v xml:space="preserve"> En Ejecución </v>
      </c>
      <c r="F156" s="41">
        <f ca="1">IFERROR(__xludf.DUMMYFUNCTION("""COMPUTED_VALUE"""),45106)</f>
        <v>45106</v>
      </c>
      <c r="G156" s="16">
        <f ca="1">IFERROR(__xludf.DUMMYFUNCTION("""COMPUTED_VALUE"""),46800000)</f>
        <v>46800000</v>
      </c>
      <c r="H156" s="16" t="str">
        <f ca="1">IFERROR(__xludf.DUMMYFUNCTION("""COMPUTED_VALUE""")," En Ejecución ")</f>
        <v xml:space="preserve"> En Ejecución </v>
      </c>
      <c r="I156" s="16">
        <f ca="1">IFERROR(__xludf.DUMMYFUNCTION("""COMPUTED_VALUE"""),15600000)</f>
        <v>15600000</v>
      </c>
      <c r="J156" s="83" t="s">
        <v>48</v>
      </c>
      <c r="K156" s="16"/>
      <c r="L156" s="16"/>
      <c r="M156" s="16"/>
      <c r="N156" s="19"/>
      <c r="O156" s="19"/>
      <c r="P156" s="21">
        <f ca="1">IFERROR(__xludf.DUMMYFUNCTION("""COMPUTED_VALUE"""),15600000)</f>
        <v>15600000</v>
      </c>
      <c r="Q156" s="19"/>
      <c r="R156" s="19"/>
      <c r="S156" s="19"/>
      <c r="T156" s="19"/>
      <c r="U156" s="19"/>
      <c r="V156" s="19"/>
      <c r="W156" s="20">
        <f ca="1">IFERROR(__xludf.DUMMYFUNCTION("""COMPUTED_VALUE"""),15600000)</f>
        <v>15600000</v>
      </c>
      <c r="X156" s="43" t="str">
        <f ca="1">IFERROR(__xludf.DUMMYFUNCTION("""COMPUTED_VALUE"""),"MUNICIPALIDAD DE LINARES")</f>
        <v>MUNICIPALIDAD DE LINARES</v>
      </c>
    </row>
    <row r="157" spans="1:24" ht="15.75" customHeight="1" x14ac:dyDescent="0.25">
      <c r="A157" s="16" t="str">
        <f ca="1">IFERROR(__xludf.DUMMYFUNCTION("""COMPUTED_VALUE""")," REGIÓN DEL MAULE ")</f>
        <v xml:space="preserve"> REGIÓN DEL MAULE </v>
      </c>
      <c r="B157" s="16" t="str">
        <f t="shared" ca="1" si="0"/>
        <v xml:space="preserve"> YERBAS BUENAS</v>
      </c>
      <c r="C157" s="16" t="str">
        <f ca="1">IFERROR(__xludf.DUMMYFUNCTION("""COMPUTED_VALUE""")," ASISTENCIA TECNICA COMUNA DE YERBAS BUENAS ")</f>
        <v xml:space="preserve"> ASISTENCIA TECNICA COMUNA DE YERBAS BUENAS </v>
      </c>
      <c r="D157" s="40" t="str">
        <f ca="1">IFERROR(__xludf.DUMMYFUNCTION("""COMPUTED_VALUE"""),"7408231001-C")</f>
        <v>7408231001-C</v>
      </c>
      <c r="E157" s="16" t="str">
        <f ca="1">IFERROR(__xludf.DUMMYFUNCTION("""COMPUTED_VALUE""")," En Ejecución ")</f>
        <v xml:space="preserve"> En Ejecución </v>
      </c>
      <c r="F157" s="41">
        <f ca="1">IFERROR(__xludf.DUMMYFUNCTION("""COMPUTED_VALUE"""),45167)</f>
        <v>45167</v>
      </c>
      <c r="G157" s="16">
        <f ca="1">IFERROR(__xludf.DUMMYFUNCTION("""COMPUTED_VALUE"""),97800000)</f>
        <v>97800000</v>
      </c>
      <c r="H157" s="16" t="str">
        <f ca="1">IFERROR(__xludf.DUMMYFUNCTION("""COMPUTED_VALUE""")," En Ejecución ")</f>
        <v xml:space="preserve"> En Ejecución </v>
      </c>
      <c r="I157" s="16">
        <f ca="1">IFERROR(__xludf.DUMMYFUNCTION("""COMPUTED_VALUE"""),24450000)</f>
        <v>24450000</v>
      </c>
      <c r="J157" s="83" t="s">
        <v>48</v>
      </c>
      <c r="K157" s="16"/>
      <c r="L157" s="16"/>
      <c r="M157" s="16"/>
      <c r="N157" s="19"/>
      <c r="O157" s="19"/>
      <c r="P157" s="21">
        <f ca="1">IFERROR(__xludf.DUMMYFUNCTION("""COMPUTED_VALUE"""),24450000)</f>
        <v>24450000</v>
      </c>
      <c r="Q157" s="19"/>
      <c r="R157" s="19"/>
      <c r="S157" s="19"/>
      <c r="T157" s="19"/>
      <c r="U157" s="19"/>
      <c r="V157" s="19"/>
      <c r="W157" s="20">
        <f ca="1">IFERROR(__xludf.DUMMYFUNCTION("""COMPUTED_VALUE"""),24450000)</f>
        <v>24450000</v>
      </c>
      <c r="X157" s="43" t="str">
        <f ca="1">IFERROR(__xludf.DUMMYFUNCTION("""COMPUTED_VALUE"""),"MUNICIPALIDAD DE YERBAS BUENAS")</f>
        <v>MUNICIPALIDAD DE YERBAS BUENAS</v>
      </c>
    </row>
    <row r="158" spans="1:24" ht="15.75" customHeight="1" x14ac:dyDescent="0.25">
      <c r="A158" s="16" t="str">
        <f ca="1">IFERROR(__xludf.DUMMYFUNCTION("""COMPUTED_VALUE""")," REGIÓN DEL MAULE ")</f>
        <v xml:space="preserve"> REGIÓN DEL MAULE </v>
      </c>
      <c r="B158" s="16" t="str">
        <f t="shared" ca="1" si="0"/>
        <v xml:space="preserve"> MAULE</v>
      </c>
      <c r="C158" s="16" t="str">
        <f ca="1">IFERROR(__xludf.DUMMYFUNCTION("""COMPUTED_VALUE""")," ASISTENCIA TÉCNICA EVALUACIÓN Y PROPUESTA DE SOLUCIÓN PLANTAS DE TRATAMIENTOS DE AGUAS SERVIDAS ")</f>
        <v xml:space="preserve"> ASISTENCIA TÉCNICA EVALUACIÓN Y PROPUESTA DE SOLUCIÓN PLANTAS DE TRATAMIENTOS DE AGUAS SERVIDAS </v>
      </c>
      <c r="D158" s="40" t="str">
        <f ca="1">IFERROR(__xludf.DUMMYFUNCTION("""COMPUTED_VALUE"""),"7105221001-C")</f>
        <v>7105221001-C</v>
      </c>
      <c r="E158" s="16" t="str">
        <f ca="1">IFERROR(__xludf.DUMMYFUNCTION("""COMPUTED_VALUE""")," En Ejecución ")</f>
        <v xml:space="preserve"> En Ejecución </v>
      </c>
      <c r="F158" s="41">
        <f ca="1">IFERROR(__xludf.DUMMYFUNCTION("""COMPUTED_VALUE"""),45222)</f>
        <v>45222</v>
      </c>
      <c r="G158" s="16">
        <f ca="1">IFERROR(__xludf.DUMMYFUNCTION("""COMPUTED_VALUE"""),66600000)</f>
        <v>66600000</v>
      </c>
      <c r="H158" s="16" t="str">
        <f ca="1">IFERROR(__xludf.DUMMYFUNCTION("""COMPUTED_VALUE""")," En Ejecución ")</f>
        <v xml:space="preserve"> En Ejecución </v>
      </c>
      <c r="I158" s="16">
        <f ca="1">IFERROR(__xludf.DUMMYFUNCTION("""COMPUTED_VALUE"""),26640000)</f>
        <v>26640000</v>
      </c>
      <c r="J158" s="83" t="s">
        <v>48</v>
      </c>
      <c r="K158" s="16"/>
      <c r="L158" s="16"/>
      <c r="M158" s="16"/>
      <c r="N158" s="19"/>
      <c r="O158" s="19"/>
      <c r="P158" s="21">
        <f ca="1">IFERROR(__xludf.DUMMYFUNCTION("""COMPUTED_VALUE"""),26640000)</f>
        <v>26640000</v>
      </c>
      <c r="Q158" s="19"/>
      <c r="R158" s="19"/>
      <c r="S158" s="19"/>
      <c r="T158" s="19"/>
      <c r="U158" s="19"/>
      <c r="V158" s="19"/>
      <c r="W158" s="20">
        <f ca="1">IFERROR(__xludf.DUMMYFUNCTION("""COMPUTED_VALUE"""),26640000)</f>
        <v>26640000</v>
      </c>
      <c r="X158" s="43" t="str">
        <f ca="1">IFERROR(__xludf.DUMMYFUNCTION("""COMPUTED_VALUE"""),"MUNICIPALIDAD DE MAULE")</f>
        <v>MUNICIPALIDAD DE MAULE</v>
      </c>
    </row>
    <row r="159" spans="1:24" ht="15.75" customHeight="1" x14ac:dyDescent="0.25">
      <c r="A159" s="16" t="str">
        <f ca="1">IFERROR(__xludf.DUMMYFUNCTION("""COMPUTED_VALUE""")," REGIÓN DEL MAULE ")</f>
        <v xml:space="preserve"> REGIÓN DEL MAULE </v>
      </c>
      <c r="B159" s="16" t="str">
        <f t="shared" ca="1" si="0"/>
        <v xml:space="preserve"> SAGRADA FAMILIA</v>
      </c>
      <c r="C159" s="16" t="str">
        <f ca="1">IFERROR(__xludf.DUMMYFUNCTION("""COMPUTED_VALUE""")," ASISTENCIA TÉCNICA PARA PROYECTOS PMB Y PMU EN LA COMUNA DE SAGRADA FAMILIA ")</f>
        <v xml:space="preserve"> ASISTENCIA TÉCNICA PARA PROYECTOS PMB Y PMU EN LA COMUNA DE SAGRADA FAMILIA </v>
      </c>
      <c r="D159" s="40" t="str">
        <f ca="1">IFERROR(__xludf.DUMMYFUNCTION("""COMPUTED_VALUE"""),"7307231001-C")</f>
        <v>7307231001-C</v>
      </c>
      <c r="E159" s="16" t="str">
        <f ca="1">IFERROR(__xludf.DUMMYFUNCTION("""COMPUTED_VALUE""")," En Ejecución ")</f>
        <v xml:space="preserve"> En Ejecución </v>
      </c>
      <c r="F159" s="41">
        <f ca="1">IFERROR(__xludf.DUMMYFUNCTION("""COMPUTED_VALUE"""),45232)</f>
        <v>45232</v>
      </c>
      <c r="G159" s="16">
        <f ca="1">IFERROR(__xludf.DUMMYFUNCTION("""COMPUTED_VALUE"""),63600000)</f>
        <v>63600000</v>
      </c>
      <c r="H159" s="16" t="str">
        <f ca="1">IFERROR(__xludf.DUMMYFUNCTION("""COMPUTED_VALUE""")," En Ejecución ")</f>
        <v xml:space="preserve"> En Ejecución </v>
      </c>
      <c r="I159" s="16">
        <f ca="1">IFERROR(__xludf.DUMMYFUNCTION("""COMPUTED_VALUE"""),15900000)</f>
        <v>15900000</v>
      </c>
      <c r="J159" s="83" t="s">
        <v>48</v>
      </c>
      <c r="K159" s="16"/>
      <c r="L159" s="16"/>
      <c r="M159" s="16"/>
      <c r="N159" s="19"/>
      <c r="O159" s="19"/>
      <c r="P159" s="21">
        <f ca="1">IFERROR(__xludf.DUMMYFUNCTION("""COMPUTED_VALUE"""),15900000)</f>
        <v>15900000</v>
      </c>
      <c r="Q159" s="19"/>
      <c r="R159" s="19"/>
      <c r="S159" s="19"/>
      <c r="T159" s="19"/>
      <c r="U159" s="19"/>
      <c r="V159" s="19"/>
      <c r="W159" s="20">
        <f ca="1">IFERROR(__xludf.DUMMYFUNCTION("""COMPUTED_VALUE"""),15900000)</f>
        <v>15900000</v>
      </c>
      <c r="X159" s="43" t="str">
        <f ca="1">IFERROR(__xludf.DUMMYFUNCTION("""COMPUTED_VALUE"""),"MUNICIPALIDAD DE SAGRADA FAMILIA")</f>
        <v>MUNICIPALIDAD DE SAGRADA FAMILIA</v>
      </c>
    </row>
    <row r="160" spans="1:24" ht="15.75" customHeight="1" x14ac:dyDescent="0.25">
      <c r="A160" s="16" t="str">
        <f ca="1">IFERROR(__xludf.DUMMYFUNCTION("""COMPUTED_VALUE""")," REGIÓN DEL MAULE ")</f>
        <v xml:space="preserve"> REGIÓN DEL MAULE </v>
      </c>
      <c r="B160" s="16" t="str">
        <f t="shared" ca="1" si="0"/>
        <v xml:space="preserve"> VICHUQUÉN</v>
      </c>
      <c r="C160" s="16" t="str">
        <f ca="1">IFERROR(__xludf.DUMMYFUNCTION("""COMPUTED_VALUE""")," ASISTENCIA TECNICA PARA GENERACION DE PROYECTOS DE SANEAMIENTO SANITARIO ")</f>
        <v xml:space="preserve"> ASISTENCIA TECNICA PARA GENERACION DE PROYECTOS DE SANEAMIENTO SANITARIO </v>
      </c>
      <c r="D160" s="40" t="str">
        <f ca="1">IFERROR(__xludf.DUMMYFUNCTION("""COMPUTED_VALUE"""),"7309231002-C")</f>
        <v>7309231002-C</v>
      </c>
      <c r="E160" s="16" t="str">
        <f ca="1">IFERROR(__xludf.DUMMYFUNCTION("""COMPUTED_VALUE""")," En Ejecución ")</f>
        <v xml:space="preserve"> En Ejecución </v>
      </c>
      <c r="F160" s="41">
        <f ca="1">IFERROR(__xludf.DUMMYFUNCTION("""COMPUTED_VALUE"""),45232)</f>
        <v>45232</v>
      </c>
      <c r="G160" s="16">
        <f ca="1">IFERROR(__xludf.DUMMYFUNCTION("""COMPUTED_VALUE"""),64800000)</f>
        <v>64800000</v>
      </c>
      <c r="H160" s="16" t="str">
        <f ca="1">IFERROR(__xludf.DUMMYFUNCTION("""COMPUTED_VALUE""")," En Ejecución ")</f>
        <v xml:space="preserve"> En Ejecución </v>
      </c>
      <c r="I160" s="16">
        <f ca="1">IFERROR(__xludf.DUMMYFUNCTION("""COMPUTED_VALUE"""),22680000)</f>
        <v>22680000</v>
      </c>
      <c r="J160" s="83" t="s">
        <v>48</v>
      </c>
      <c r="K160" s="16"/>
      <c r="L160" s="16"/>
      <c r="M160" s="16"/>
      <c r="N160" s="19"/>
      <c r="O160" s="19"/>
      <c r="P160" s="21">
        <f ca="1">IFERROR(__xludf.DUMMYFUNCTION("""COMPUTED_VALUE"""),22680000)</f>
        <v>22680000</v>
      </c>
      <c r="Q160" s="19"/>
      <c r="R160" s="19"/>
      <c r="S160" s="19"/>
      <c r="T160" s="19"/>
      <c r="U160" s="19"/>
      <c r="V160" s="19"/>
      <c r="W160" s="20">
        <f ca="1">IFERROR(__xludf.DUMMYFUNCTION("""COMPUTED_VALUE"""),22680000)</f>
        <v>22680000</v>
      </c>
      <c r="X160" s="43" t="str">
        <f ca="1">IFERROR(__xludf.DUMMYFUNCTION("""COMPUTED_VALUE"""),"MUNICIPALIDAD DE VICHUQUÉN")</f>
        <v>MUNICIPALIDAD DE VICHUQUÉN</v>
      </c>
    </row>
    <row r="161" spans="1:24" ht="15.75" customHeight="1" x14ac:dyDescent="0.25">
      <c r="A161" s="16" t="str">
        <f ca="1">IFERROR(__xludf.DUMMYFUNCTION("""COMPUTED_VALUE""")," REGIÓN DE LOS LAGOS ")</f>
        <v xml:space="preserve"> REGIÓN DE LOS LAGOS </v>
      </c>
      <c r="B161" s="16" t="str">
        <f t="shared" ca="1" si="0"/>
        <v xml:space="preserve"> FUTALEUFÚ</v>
      </c>
      <c r="C161" s="16" t="str">
        <f ca="1">IFERROR(__xludf.DUMMYFUNCTION("""COMPUTED_VALUE""")," ASISTENCIA TECNICA DE PROYECTOS ENMARCADO EN SANEAMIENTO SANITARIO, COMUNA DE FUTALEUFU ")</f>
        <v xml:space="preserve"> ASISTENCIA TECNICA DE PROYECTOS ENMARCADO EN SANEAMIENTO SANITARIO, COMUNA DE FUTALEUFU </v>
      </c>
      <c r="D161" s="40" t="str">
        <f ca="1">IFERROR(__xludf.DUMMYFUNCTION("""COMPUTED_VALUE"""),"10402231003-C")</f>
        <v>10402231003-C</v>
      </c>
      <c r="E161" s="16" t="str">
        <f ca="1">IFERROR(__xludf.DUMMYFUNCTION("""COMPUTED_VALUE""")," En Ejecución ")</f>
        <v xml:space="preserve"> En Ejecución </v>
      </c>
      <c r="F161" s="41">
        <f ca="1">IFERROR(__xludf.DUMMYFUNCTION("""COMPUTED_VALUE"""),45289)</f>
        <v>45289</v>
      </c>
      <c r="G161" s="16">
        <f ca="1">IFERROR(__xludf.DUMMYFUNCTION("""COMPUTED_VALUE"""),86400000)</f>
        <v>86400000</v>
      </c>
      <c r="H161" s="16" t="str">
        <f ca="1">IFERROR(__xludf.DUMMYFUNCTION("""COMPUTED_VALUE""")," En Ejecución ")</f>
        <v xml:space="preserve"> En Ejecución </v>
      </c>
      <c r="I161" s="16">
        <f ca="1">IFERROR(__xludf.DUMMYFUNCTION("""COMPUTED_VALUE"""),35424000)</f>
        <v>35424000</v>
      </c>
      <c r="J161" s="83" t="s">
        <v>48</v>
      </c>
      <c r="K161" s="16"/>
      <c r="L161" s="16"/>
      <c r="M161" s="16"/>
      <c r="N161" s="19"/>
      <c r="O161" s="19"/>
      <c r="P161" s="21">
        <f ca="1">IFERROR(__xludf.DUMMYFUNCTION("""COMPUTED_VALUE"""),35424000)</f>
        <v>35424000</v>
      </c>
      <c r="Q161" s="19"/>
      <c r="R161" s="19"/>
      <c r="S161" s="19"/>
      <c r="T161" s="19"/>
      <c r="U161" s="19"/>
      <c r="V161" s="19"/>
      <c r="W161" s="20">
        <f ca="1">IFERROR(__xludf.DUMMYFUNCTION("""COMPUTED_VALUE"""),35424000)</f>
        <v>35424000</v>
      </c>
      <c r="X161" s="43" t="str">
        <f ca="1">IFERROR(__xludf.DUMMYFUNCTION("""COMPUTED_VALUE"""),"MUNICIPALIDAD DE FUTALEUFÚ")</f>
        <v>MUNICIPALIDAD DE FUTALEUFÚ</v>
      </c>
    </row>
    <row r="162" spans="1:24" ht="15.75" customHeight="1" x14ac:dyDescent="0.25">
      <c r="A162" s="16" t="str">
        <f ca="1">IFERROR(__xludf.DUMMYFUNCTION("""COMPUTED_VALUE""")," REGIÓN DE LOS LAGOS ")</f>
        <v xml:space="preserve"> REGIÓN DE LOS LAGOS </v>
      </c>
      <c r="B162" s="16" t="str">
        <f t="shared" ca="1" si="0"/>
        <v xml:space="preserve"> PURRANQUE</v>
      </c>
      <c r="C162" s="16" t="str">
        <f ca="1">IFERROR(__xludf.DUMMYFUNCTION("""COMPUTED_VALUE""")," MEJORAMIENTO DE ABASTOS DE AGUA POTABLE, SECTOR RIO DE LA PLATA, POZOS DEL 1 AL 12, COMUNA DE PURRANQUE ")</f>
        <v xml:space="preserve"> MEJORAMIENTO DE ABASTOS DE AGUA POTABLE, SECTOR RIO DE LA PLATA, POZOS DEL 1 AL 12, COMUNA DE PURRANQUE </v>
      </c>
      <c r="D162" s="40" t="str">
        <f ca="1">IFERROR(__xludf.DUMMYFUNCTION("""COMPUTED_VALUE"""),"10303230702-C")</f>
        <v>10303230702-C</v>
      </c>
      <c r="E162" s="16" t="str">
        <f ca="1">IFERROR(__xludf.DUMMYFUNCTION("""COMPUTED_VALUE""")," En Ejecución ")</f>
        <v xml:space="preserve"> En Ejecución </v>
      </c>
      <c r="F162" s="41">
        <f ca="1">IFERROR(__xludf.DUMMYFUNCTION("""COMPUTED_VALUE"""),45497)</f>
        <v>45497</v>
      </c>
      <c r="G162" s="16">
        <f ca="1">IFERROR(__xludf.DUMMYFUNCTION("""COMPUTED_VALUE"""),296913955)</f>
        <v>296913955</v>
      </c>
      <c r="H162" s="16" t="str">
        <f ca="1">IFERROR(__xludf.DUMMYFUNCTION("""COMPUTED_VALUE""")," En Ejecución ")</f>
        <v xml:space="preserve"> En Ejecución </v>
      </c>
      <c r="I162" s="16">
        <f ca="1">IFERROR(__xludf.DUMMYFUNCTION("""COMPUTED_VALUE"""),296913955)</f>
        <v>296913955</v>
      </c>
      <c r="J162" s="83" t="s">
        <v>48</v>
      </c>
      <c r="K162" s="16"/>
      <c r="L162" s="16"/>
      <c r="M162" s="16"/>
      <c r="N162" s="19"/>
      <c r="O162" s="19"/>
      <c r="P162" s="19"/>
      <c r="Q162" s="21">
        <f ca="1">IFERROR(__xludf.DUMMYFUNCTION("""COMPUTED_VALUE"""),296913955)</f>
        <v>296913955</v>
      </c>
      <c r="R162" s="19"/>
      <c r="S162" s="19"/>
      <c r="T162" s="19"/>
      <c r="U162" s="19"/>
      <c r="V162" s="19"/>
      <c r="W162" s="20">
        <f ca="1">IFERROR(__xludf.DUMMYFUNCTION("""COMPUTED_VALUE"""),296913955)</f>
        <v>296913955</v>
      </c>
      <c r="X162" s="43" t="str">
        <f ca="1">IFERROR(__xludf.DUMMYFUNCTION("""COMPUTED_VALUE"""),"MUNICIPALIDAD DE PURRANQUE")</f>
        <v>MUNICIPALIDAD DE PURRANQUE</v>
      </c>
    </row>
    <row r="163" spans="1:24" ht="15.75" customHeight="1" x14ac:dyDescent="0.25">
      <c r="A163" s="16" t="str">
        <f ca="1">IFERROR(__xludf.DUMMYFUNCTION("""COMPUTED_VALUE""")," REGIÓN DE LOS RÍOS ")</f>
        <v xml:space="preserve"> REGIÓN DE LOS RÍOS </v>
      </c>
      <c r="B163" s="16" t="str">
        <f t="shared" ca="1" si="0"/>
        <v xml:space="preserve"> MÁFIL</v>
      </c>
      <c r="C163" s="16" t="str">
        <f ca="1">IFERROR(__xludf.DUMMYFUNCTION("""COMPUTED_VALUE""")," CONSTRUCCIÓN PUNTO LIMPIO COMUNA DE MÁFIL ")</f>
        <v xml:space="preserve"> CONSTRUCCIÓN PUNTO LIMPIO COMUNA DE MÁFIL </v>
      </c>
      <c r="D163" s="40" t="str">
        <f ca="1">IFERROR(__xludf.DUMMYFUNCTION("""COMPUTED_VALUE"""),"14105240701-C")</f>
        <v>14105240701-C</v>
      </c>
      <c r="E163" s="16" t="str">
        <f ca="1">IFERROR(__xludf.DUMMYFUNCTION("""COMPUTED_VALUE""")," En Ejecución ")</f>
        <v xml:space="preserve"> En Ejecución </v>
      </c>
      <c r="F163" s="41">
        <f ca="1">IFERROR(__xludf.DUMMYFUNCTION("""COMPUTED_VALUE"""),45496)</f>
        <v>45496</v>
      </c>
      <c r="G163" s="16">
        <f ca="1">IFERROR(__xludf.DUMMYFUNCTION("""COMPUTED_VALUE"""),234896837)</f>
        <v>234896837</v>
      </c>
      <c r="H163" s="16" t="str">
        <f ca="1">IFERROR(__xludf.DUMMYFUNCTION("""COMPUTED_VALUE""")," En Ejecución ")</f>
        <v xml:space="preserve"> En Ejecución </v>
      </c>
      <c r="I163" s="16">
        <f ca="1">IFERROR(__xludf.DUMMYFUNCTION("""COMPUTED_VALUE"""),234896837)</f>
        <v>234896837</v>
      </c>
      <c r="J163" s="83" t="s">
        <v>48</v>
      </c>
      <c r="K163" s="16"/>
      <c r="L163" s="16"/>
      <c r="M163" s="16"/>
      <c r="N163" s="19"/>
      <c r="O163" s="19"/>
      <c r="P163" s="19"/>
      <c r="Q163" s="21">
        <f ca="1">IFERROR(__xludf.DUMMYFUNCTION("""COMPUTED_VALUE"""),234896837)</f>
        <v>234896837</v>
      </c>
      <c r="R163" s="19"/>
      <c r="S163" s="19"/>
      <c r="T163" s="19"/>
      <c r="U163" s="19"/>
      <c r="V163" s="19"/>
      <c r="W163" s="20">
        <f ca="1">IFERROR(__xludf.DUMMYFUNCTION("""COMPUTED_VALUE"""),234896837)</f>
        <v>234896837</v>
      </c>
      <c r="X163" s="43" t="str">
        <f ca="1">IFERROR(__xludf.DUMMYFUNCTION("""COMPUTED_VALUE"""),"MUNICIPALIDAD DE MÁFIL")</f>
        <v>MUNICIPALIDAD DE MÁFIL</v>
      </c>
    </row>
    <row r="164" spans="1:24" ht="15.75" customHeight="1" x14ac:dyDescent="0.25">
      <c r="A164" s="16" t="str">
        <f ca="1">IFERROR(__xludf.DUMMYFUNCTION("""COMPUTED_VALUE""")," REGIÓN DEL LIBERTADOR GENERAL BERNARDO O’HIGGINS ")</f>
        <v xml:space="preserve"> REGIÓN DEL LIBERTADOR GENERAL BERNARDO O’HIGGINS </v>
      </c>
      <c r="B164" s="16" t="str">
        <f t="shared" ca="1" si="0"/>
        <v xml:space="preserve"> CHÉPICA</v>
      </c>
      <c r="C164" s="16" t="str">
        <f ca="1">IFERROR(__xludf.DUMMYFUNCTION("""COMPUTED_VALUE""")," AMPLIACION DE LA RED DE ALCANTARILLADO DE CHÉPICA A CALLE JAVIERA CARRERA, COMUNA DE CHÉPICA ")</f>
        <v xml:space="preserve"> AMPLIACION DE LA RED DE ALCANTARILLADO DE CHÉPICA A CALLE JAVIERA CARRERA, COMUNA DE CHÉPICA </v>
      </c>
      <c r="D164" s="40" t="str">
        <f ca="1">IFERROR(__xludf.DUMMYFUNCTION("""COMPUTED_VALUE"""),"6302220702-C")</f>
        <v>6302220702-C</v>
      </c>
      <c r="E164" s="16" t="str">
        <f ca="1">IFERROR(__xludf.DUMMYFUNCTION("""COMPUTED_VALUE""")," En Ejecución ")</f>
        <v xml:space="preserve"> En Ejecución </v>
      </c>
      <c r="F164" s="41">
        <f ca="1">IFERROR(__xludf.DUMMYFUNCTION("""COMPUTED_VALUE"""),45464)</f>
        <v>45464</v>
      </c>
      <c r="G164" s="16">
        <f ca="1">IFERROR(__xludf.DUMMYFUNCTION("""COMPUTED_VALUE"""),477037900)</f>
        <v>477037900</v>
      </c>
      <c r="H164" s="16" t="str">
        <f ca="1">IFERROR(__xludf.DUMMYFUNCTION("""COMPUTED_VALUE""")," En Ejecución ")</f>
        <v xml:space="preserve"> En Ejecución </v>
      </c>
      <c r="I164" s="16">
        <f ca="1">IFERROR(__xludf.DUMMYFUNCTION("""COMPUTED_VALUE"""),477037900)</f>
        <v>477037900</v>
      </c>
      <c r="J164" s="83" t="s">
        <v>48</v>
      </c>
      <c r="K164" s="16"/>
      <c r="L164" s="16"/>
      <c r="M164" s="16"/>
      <c r="N164" s="19"/>
      <c r="O164" s="19"/>
      <c r="P164" s="19"/>
      <c r="Q164" s="21">
        <f ca="1">IFERROR(__xludf.DUMMYFUNCTION("""COMPUTED_VALUE"""),477037900)</f>
        <v>477037900</v>
      </c>
      <c r="R164" s="19"/>
      <c r="S164" s="19"/>
      <c r="T164" s="19"/>
      <c r="U164" s="19"/>
      <c r="V164" s="19"/>
      <c r="W164" s="20">
        <f ca="1">IFERROR(__xludf.DUMMYFUNCTION("""COMPUTED_VALUE"""),477037900)</f>
        <v>477037900</v>
      </c>
      <c r="X164" s="43" t="str">
        <f ca="1">IFERROR(__xludf.DUMMYFUNCTION("""COMPUTED_VALUE"""),"MUNICIPALIDAD DE CHÉPICA")</f>
        <v>MUNICIPALIDAD DE CHÉPICA</v>
      </c>
    </row>
    <row r="165" spans="1:24" ht="15.75" customHeight="1" x14ac:dyDescent="0.25">
      <c r="A165" s="16" t="str">
        <f ca="1">IFERROR(__xludf.DUMMYFUNCTION("""COMPUTED_VALUE""")," REGIÓN DE MAGALLANES Y ANTÁRTICA CHILENA ")</f>
        <v xml:space="preserve"> REGIÓN DE MAGALLANES Y ANTÁRTICA CHILENA </v>
      </c>
      <c r="B165" s="16" t="str">
        <f t="shared" ca="1" si="0"/>
        <v xml:space="preserve"> PRIMAVERA</v>
      </c>
      <c r="C165" s="16" t="str">
        <f ca="1">IFERROR(__xludf.DUMMYFUNCTION("""COMPUTED_VALUE""")," AMPLIACIÓN Y NORMALIZACIÓN SANITARIA, COMPLEJO MUNICIPAL BAHÍA AZUL, COMUNA DE PRIMAVERA ")</f>
        <v xml:space="preserve"> AMPLIACIÓN Y NORMALIZACIÓN SANITARIA, COMPLEJO MUNICIPAL BAHÍA AZUL, COMUNA DE PRIMAVERA </v>
      </c>
      <c r="D165" s="40" t="str">
        <f ca="1">IFERROR(__xludf.DUMMYFUNCTION("""COMPUTED_VALUE"""),"12302230701-C")</f>
        <v>12302230701-C</v>
      </c>
      <c r="E165" s="16" t="str">
        <f ca="1">IFERROR(__xludf.DUMMYFUNCTION("""COMPUTED_VALUE""")," En Ejecución ")</f>
        <v xml:space="preserve"> En Ejecución </v>
      </c>
      <c r="F165" s="41">
        <f ca="1">IFERROR(__xludf.DUMMYFUNCTION("""COMPUTED_VALUE"""),45484)</f>
        <v>45484</v>
      </c>
      <c r="G165" s="16">
        <f ca="1">IFERROR(__xludf.DUMMYFUNCTION("""COMPUTED_VALUE"""),243571392)</f>
        <v>243571392</v>
      </c>
      <c r="H165" s="16" t="str">
        <f ca="1">IFERROR(__xludf.DUMMYFUNCTION("""COMPUTED_VALUE""")," En Ejecución ")</f>
        <v xml:space="preserve"> En Ejecución </v>
      </c>
      <c r="I165" s="16">
        <f ca="1">IFERROR(__xludf.DUMMYFUNCTION("""COMPUTED_VALUE"""),243571392)</f>
        <v>243571392</v>
      </c>
      <c r="J165" s="83" t="s">
        <v>48</v>
      </c>
      <c r="K165" s="16"/>
      <c r="L165" s="16"/>
      <c r="M165" s="16"/>
      <c r="N165" s="19"/>
      <c r="O165" s="19"/>
      <c r="P165" s="19"/>
      <c r="Q165" s="21">
        <f ca="1">IFERROR(__xludf.DUMMYFUNCTION("""COMPUTED_VALUE"""),243571392)</f>
        <v>243571392</v>
      </c>
      <c r="R165" s="19"/>
      <c r="S165" s="19"/>
      <c r="T165" s="19"/>
      <c r="U165" s="19"/>
      <c r="V165" s="19"/>
      <c r="W165" s="20">
        <f ca="1">IFERROR(__xludf.DUMMYFUNCTION("""COMPUTED_VALUE"""),243571392)</f>
        <v>243571392</v>
      </c>
      <c r="X165" s="43" t="str">
        <f ca="1">IFERROR(__xludf.DUMMYFUNCTION("""COMPUTED_VALUE"""),"MUNICIPALIDAD DE PRIMAVERA")</f>
        <v>MUNICIPALIDAD DE PRIMAVERA</v>
      </c>
    </row>
    <row r="166" spans="1:24" ht="15.75" customHeight="1" x14ac:dyDescent="0.25">
      <c r="A166" s="16" t="str">
        <f ca="1">IFERROR(__xludf.DUMMYFUNCTION("""COMPUTED_VALUE""")," REGIÓN DEL LIBERTADOR GENERAL BERNARDO O’HIGGINS ")</f>
        <v xml:space="preserve"> REGIÓN DEL LIBERTADOR GENERAL BERNARDO O’HIGGINS </v>
      </c>
      <c r="B166" s="16" t="str">
        <f t="shared" ca="1" si="0"/>
        <v xml:space="preserve"> MARCHIHUE</v>
      </c>
      <c r="C166" s="16" t="str">
        <f ca="1">IFERROR(__xludf.DUMMYFUNCTION("""COMPUTED_VALUE""")," ASISTENCIA TECNICA GENERACION PROYECTOS SANITARIOS R. DE ALCONES Y MARCHIGUE URBANO, MARCHIGUE ")</f>
        <v xml:space="preserve"> ASISTENCIA TECNICA GENERACION PROYECTOS SANITARIOS R. DE ALCONES Y MARCHIGUE URBANO, MARCHIGUE </v>
      </c>
      <c r="D166" s="40" t="str">
        <f ca="1">IFERROR(__xludf.DUMMYFUNCTION("""COMPUTED_VALUE"""),"6204231001-C")</f>
        <v>6204231001-C</v>
      </c>
      <c r="E166" s="16" t="str">
        <f ca="1">IFERROR(__xludf.DUMMYFUNCTION("""COMPUTED_VALUE""")," En Ejecución ")</f>
        <v xml:space="preserve"> En Ejecución </v>
      </c>
      <c r="F166" s="41">
        <f ca="1">IFERROR(__xludf.DUMMYFUNCTION("""COMPUTED_VALUE"""),45478)</f>
        <v>45478</v>
      </c>
      <c r="G166" s="16">
        <f ca="1">IFERROR(__xludf.DUMMYFUNCTION("""COMPUTED_VALUE"""),24000000)</f>
        <v>24000000</v>
      </c>
      <c r="H166" s="16" t="str">
        <f ca="1">IFERROR(__xludf.DUMMYFUNCTION("""COMPUTED_VALUE""")," En Ejecución ")</f>
        <v xml:space="preserve"> En Ejecución </v>
      </c>
      <c r="I166" s="16">
        <f ca="1">IFERROR(__xludf.DUMMYFUNCTION("""COMPUTED_VALUE"""),24000000)</f>
        <v>24000000</v>
      </c>
      <c r="J166" s="83" t="s">
        <v>48</v>
      </c>
      <c r="K166" s="16"/>
      <c r="L166" s="16"/>
      <c r="M166" s="16"/>
      <c r="N166" s="19"/>
      <c r="O166" s="19"/>
      <c r="P166" s="19"/>
      <c r="Q166" s="21">
        <f ca="1">IFERROR(__xludf.DUMMYFUNCTION("""COMPUTED_VALUE"""),24000000)</f>
        <v>24000000</v>
      </c>
      <c r="R166" s="19"/>
      <c r="S166" s="19"/>
      <c r="T166" s="19"/>
      <c r="U166" s="19"/>
      <c r="V166" s="19"/>
      <c r="W166" s="20">
        <f ca="1">IFERROR(__xludf.DUMMYFUNCTION("""COMPUTED_VALUE"""),24000000)</f>
        <v>24000000</v>
      </c>
      <c r="X166" s="43" t="str">
        <f ca="1">IFERROR(__xludf.DUMMYFUNCTION("""COMPUTED_VALUE"""),"MUNICIPALIDAD DE MARCHIHUE")</f>
        <v>MUNICIPALIDAD DE MARCHIHUE</v>
      </c>
    </row>
    <row r="167" spans="1:24" ht="15.75" customHeight="1" x14ac:dyDescent="0.25">
      <c r="A167" s="16" t="str">
        <f ca="1">IFERROR(__xludf.DUMMYFUNCTION("""COMPUTED_VALUE""")," REGIÓN DEL LIBERTADOR GENERAL BERNARDO O’HIGGINS ")</f>
        <v xml:space="preserve"> REGIÓN DEL LIBERTADOR GENERAL BERNARDO O’HIGGINS </v>
      </c>
      <c r="B167" s="16" t="str">
        <f t="shared" ca="1" si="0"/>
        <v xml:space="preserve"> MARCHIHUE</v>
      </c>
      <c r="C167" s="16" t="str">
        <f ca="1">IFERROR(__xludf.DUMMYFUNCTION("""COMPUTED_VALUE""")," ASISTENCIA TECNICA PARA GENERACION DE INICIATIVAS DE INVERSION DEL PMB, MARCHIGUE ")</f>
        <v xml:space="preserve"> ASISTENCIA TECNICA PARA GENERACION DE INICIATIVAS DE INVERSION DEL PMB, MARCHIGUE </v>
      </c>
      <c r="D167" s="40" t="str">
        <f ca="1">IFERROR(__xludf.DUMMYFUNCTION("""COMPUTED_VALUE"""),"6204231002-C")</f>
        <v>6204231002-C</v>
      </c>
      <c r="E167" s="16" t="str">
        <f ca="1">IFERROR(__xludf.DUMMYFUNCTION("""COMPUTED_VALUE""")," En Ejecución ")</f>
        <v xml:space="preserve"> En Ejecución </v>
      </c>
      <c r="F167" s="41">
        <f ca="1">IFERROR(__xludf.DUMMYFUNCTION("""COMPUTED_VALUE"""),45478)</f>
        <v>45478</v>
      </c>
      <c r="G167" s="16">
        <f ca="1">IFERROR(__xludf.DUMMYFUNCTION("""COMPUTED_VALUE"""),15600000)</f>
        <v>15600000</v>
      </c>
      <c r="H167" s="16" t="str">
        <f ca="1">IFERROR(__xludf.DUMMYFUNCTION("""COMPUTED_VALUE""")," En Ejecución ")</f>
        <v xml:space="preserve"> En Ejecución </v>
      </c>
      <c r="I167" s="16">
        <f ca="1">IFERROR(__xludf.DUMMYFUNCTION("""COMPUTED_VALUE"""),15600000)</f>
        <v>15600000</v>
      </c>
      <c r="J167" s="83" t="s">
        <v>48</v>
      </c>
      <c r="K167" s="16"/>
      <c r="L167" s="16"/>
      <c r="M167" s="16"/>
      <c r="N167" s="19"/>
      <c r="O167" s="19"/>
      <c r="P167" s="19"/>
      <c r="Q167" s="21">
        <f ca="1">IFERROR(__xludf.DUMMYFUNCTION("""COMPUTED_VALUE"""),15600000)</f>
        <v>15600000</v>
      </c>
      <c r="R167" s="19"/>
      <c r="S167" s="19"/>
      <c r="T167" s="19"/>
      <c r="U167" s="19"/>
      <c r="V167" s="19"/>
      <c r="W167" s="20">
        <f ca="1">IFERROR(__xludf.DUMMYFUNCTION("""COMPUTED_VALUE"""),15600000)</f>
        <v>15600000</v>
      </c>
      <c r="X167" s="43" t="str">
        <f ca="1">IFERROR(__xludf.DUMMYFUNCTION("""COMPUTED_VALUE"""),"MUNICIPALIDAD DE MARCHIHUE")</f>
        <v>MUNICIPALIDAD DE MARCHIHUE</v>
      </c>
    </row>
    <row r="168" spans="1:24" ht="15.75" customHeight="1" x14ac:dyDescent="0.25">
      <c r="A168" s="16" t="str">
        <f ca="1">IFERROR(__xludf.DUMMYFUNCTION("""COMPUTED_VALUE""")," REGIÓN DE MAGALLANES Y ANTÁRTICA CHILENA ")</f>
        <v xml:space="preserve"> REGIÓN DE MAGALLANES Y ANTÁRTICA CHILENA </v>
      </c>
      <c r="B168" s="16" t="str">
        <f t="shared" ca="1" si="0"/>
        <v xml:space="preserve"> TIMAUKEL</v>
      </c>
      <c r="C168" s="16" t="str">
        <f ca="1">IFERROR(__xludf.DUMMYFUNCTION("""COMPUTED_VALUE""")," PROGRAMA DE MINIMIZACION DE RESIDUOS ORGANICOS Y GESTION DE RESIDUOS SOLIDOS DOMICILIARIOS COMUNA DE TIMAUKEL ")</f>
        <v xml:space="preserve"> PROGRAMA DE MINIMIZACION DE RESIDUOS ORGANICOS Y GESTION DE RESIDUOS SOLIDOS DOMICILIARIOS COMUNA DE TIMAUKEL </v>
      </c>
      <c r="D168" s="40" t="str">
        <f ca="1">IFERROR(__xludf.DUMMYFUNCTION("""COMPUTED_VALUE"""),"12303231501-C")</f>
        <v>12303231501-C</v>
      </c>
      <c r="E168" s="16" t="str">
        <f ca="1">IFERROR(__xludf.DUMMYFUNCTION("""COMPUTED_VALUE""")," En Ejecución ")</f>
        <v xml:space="preserve"> En Ejecución </v>
      </c>
      <c r="F168" s="41">
        <f ca="1">IFERROR(__xludf.DUMMYFUNCTION("""COMPUTED_VALUE"""),45484)</f>
        <v>45484</v>
      </c>
      <c r="G168" s="16">
        <f ca="1">IFERROR(__xludf.DUMMYFUNCTION("""COMPUTED_VALUE"""),141000000)</f>
        <v>141000000</v>
      </c>
      <c r="H168" s="16" t="str">
        <f ca="1">IFERROR(__xludf.DUMMYFUNCTION("""COMPUTED_VALUE""")," En Ejecución ")</f>
        <v xml:space="preserve"> En Ejecución </v>
      </c>
      <c r="I168" s="16">
        <f ca="1">IFERROR(__xludf.DUMMYFUNCTION("""COMPUTED_VALUE"""),141000000)</f>
        <v>141000000</v>
      </c>
      <c r="J168" s="83" t="s">
        <v>48</v>
      </c>
      <c r="K168" s="16"/>
      <c r="L168" s="16"/>
      <c r="M168" s="16"/>
      <c r="N168" s="19"/>
      <c r="O168" s="19"/>
      <c r="P168" s="19"/>
      <c r="Q168" s="21">
        <f ca="1">IFERROR(__xludf.DUMMYFUNCTION("""COMPUTED_VALUE"""),141000000)</f>
        <v>141000000</v>
      </c>
      <c r="R168" s="19"/>
      <c r="S168" s="19"/>
      <c r="T168" s="19"/>
      <c r="U168" s="19"/>
      <c r="V168" s="19"/>
      <c r="W168" s="20">
        <f ca="1">IFERROR(__xludf.DUMMYFUNCTION("""COMPUTED_VALUE"""),141000000)</f>
        <v>141000000</v>
      </c>
      <c r="X168" s="43" t="str">
        <f ca="1">IFERROR(__xludf.DUMMYFUNCTION("""COMPUTED_VALUE"""),"MUNICIPALIDAD DE TIMAUKEL")</f>
        <v>MUNICIPALIDAD DE TIMAUKEL</v>
      </c>
    </row>
    <row r="169" spans="1:24" ht="15.75" customHeight="1" x14ac:dyDescent="0.25">
      <c r="A169" s="16" t="str">
        <f ca="1">IFERROR(__xludf.DUMMYFUNCTION("""COMPUTED_VALUE""")," REGIÓN DE LOS LAGOS ")</f>
        <v xml:space="preserve"> REGIÓN DE LOS LAGOS </v>
      </c>
      <c r="B169" s="16" t="str">
        <f t="shared" ca="1" si="0"/>
        <v xml:space="preserve"> PUERTO VARAS</v>
      </c>
      <c r="C169" s="16" t="str">
        <f ca="1">IFERROR(__xludf.DUMMYFUNCTION("""COMPUTED_VALUE""")," PROGRAMA PILOTO DE COMPOSTAJE Y VERMICOMPOSTAJE COMUNA DE PUERTO VARAS ")</f>
        <v xml:space="preserve"> PROGRAMA PILOTO DE COMPOSTAJE Y VERMICOMPOSTAJE COMUNA DE PUERTO VARAS </v>
      </c>
      <c r="D169" s="40" t="str">
        <f ca="1">IFERROR(__xludf.DUMMYFUNCTION("""COMPUTED_VALUE"""),"10109241501-C")</f>
        <v>10109241501-C</v>
      </c>
      <c r="E169" s="16" t="str">
        <f ca="1">IFERROR(__xludf.DUMMYFUNCTION("""COMPUTED_VALUE""")," En Ejecución ")</f>
        <v xml:space="preserve"> En Ejecución </v>
      </c>
      <c r="F169" s="41">
        <f ca="1">IFERROR(__xludf.DUMMYFUNCTION("""COMPUTED_VALUE"""),45484)</f>
        <v>45484</v>
      </c>
      <c r="G169" s="16">
        <f ca="1">IFERROR(__xludf.DUMMYFUNCTION("""COMPUTED_VALUE"""),228703125)</f>
        <v>228703125</v>
      </c>
      <c r="H169" s="16" t="str">
        <f ca="1">IFERROR(__xludf.DUMMYFUNCTION("""COMPUTED_VALUE""")," En Ejecución ")</f>
        <v xml:space="preserve"> En Ejecución </v>
      </c>
      <c r="I169" s="16">
        <f ca="1">IFERROR(__xludf.DUMMYFUNCTION("""COMPUTED_VALUE"""),228703125)</f>
        <v>228703125</v>
      </c>
      <c r="J169" s="83" t="s">
        <v>48</v>
      </c>
      <c r="K169" s="16"/>
      <c r="L169" s="16"/>
      <c r="M169" s="16"/>
      <c r="N169" s="19"/>
      <c r="O169" s="19"/>
      <c r="P169" s="19"/>
      <c r="Q169" s="21">
        <f ca="1">IFERROR(__xludf.DUMMYFUNCTION("""COMPUTED_VALUE"""),228703125)</f>
        <v>228703125</v>
      </c>
      <c r="R169" s="19"/>
      <c r="S169" s="19"/>
      <c r="T169" s="19"/>
      <c r="U169" s="19"/>
      <c r="V169" s="19"/>
      <c r="W169" s="20">
        <f ca="1">IFERROR(__xludf.DUMMYFUNCTION("""COMPUTED_VALUE"""),228703125)</f>
        <v>228703125</v>
      </c>
      <c r="X169" s="43" t="str">
        <f ca="1">IFERROR(__xludf.DUMMYFUNCTION("""COMPUTED_VALUE"""),"MUNICIPALIDAD DE PUERTO VARAS")</f>
        <v>MUNICIPALIDAD DE PUERTO VARAS</v>
      </c>
    </row>
    <row r="170" spans="1:24" ht="15.75" customHeight="1" x14ac:dyDescent="0.25">
      <c r="A170" s="16" t="str">
        <f ca="1">IFERROR(__xludf.DUMMYFUNCTION("""COMPUTED_VALUE""")," REGIÓN DE TARAPACÁ ")</f>
        <v xml:space="preserve"> REGIÓN DE TARAPACÁ </v>
      </c>
      <c r="B170" s="16" t="str">
        <f t="shared" ca="1" si="0"/>
        <v xml:space="preserve"> HUARA</v>
      </c>
      <c r="C170" s="16" t="str">
        <f ca="1">IFERROR(__xludf.DUMMYFUNCTION("""COMPUTED_VALUE""")," IMPLEMENTACION DE SISTEMAS FOTOVOLTAICOS INDIVIDUALES PARA LA QUEBRADA DE SOGA Y BAJO SOGA ")</f>
        <v xml:space="preserve"> IMPLEMENTACION DE SISTEMAS FOTOVOLTAICOS INDIVIDUALES PARA LA QUEBRADA DE SOGA Y BAJO SOGA </v>
      </c>
      <c r="D170" s="40" t="str">
        <f ca="1">IFERROR(__xludf.DUMMYFUNCTION("""COMPUTED_VALUE"""),"1404240701-C")</f>
        <v>1404240701-C</v>
      </c>
      <c r="E170" s="16" t="str">
        <f ca="1">IFERROR(__xludf.DUMMYFUNCTION("""COMPUTED_VALUE""")," En Ejecución ")</f>
        <v xml:space="preserve"> En Ejecución </v>
      </c>
      <c r="F170" s="41">
        <f ca="1">IFERROR(__xludf.DUMMYFUNCTION("""COMPUTED_VALUE"""),45484)</f>
        <v>45484</v>
      </c>
      <c r="G170" s="16">
        <f ca="1">IFERROR(__xludf.DUMMYFUNCTION("""COMPUTED_VALUE"""),323237100)</f>
        <v>323237100</v>
      </c>
      <c r="H170" s="16" t="str">
        <f ca="1">IFERROR(__xludf.DUMMYFUNCTION("""COMPUTED_VALUE""")," En Ejecución ")</f>
        <v xml:space="preserve"> En Ejecución </v>
      </c>
      <c r="I170" s="16">
        <f ca="1">IFERROR(__xludf.DUMMYFUNCTION("""COMPUTED_VALUE"""),323237100)</f>
        <v>323237100</v>
      </c>
      <c r="J170" s="83" t="s">
        <v>48</v>
      </c>
      <c r="K170" s="16"/>
      <c r="L170" s="16"/>
      <c r="M170" s="16"/>
      <c r="N170" s="19"/>
      <c r="O170" s="19"/>
      <c r="P170" s="19"/>
      <c r="Q170" s="21">
        <f ca="1">IFERROR(__xludf.DUMMYFUNCTION("""COMPUTED_VALUE"""),323237100)</f>
        <v>323237100</v>
      </c>
      <c r="R170" s="19"/>
      <c r="S170" s="19"/>
      <c r="T170" s="19"/>
      <c r="U170" s="19"/>
      <c r="V170" s="19"/>
      <c r="W170" s="20">
        <f ca="1">IFERROR(__xludf.DUMMYFUNCTION("""COMPUTED_VALUE"""),323237100)</f>
        <v>323237100</v>
      </c>
      <c r="X170" s="43" t="str">
        <f ca="1">IFERROR(__xludf.DUMMYFUNCTION("""COMPUTED_VALUE"""),"MUNICIPALIDAD DE HUARA")</f>
        <v>MUNICIPALIDAD DE HUARA</v>
      </c>
    </row>
    <row r="171" spans="1:24" ht="15.75" customHeight="1" x14ac:dyDescent="0.25">
      <c r="A171" s="16" t="str">
        <f ca="1">IFERROR(__xludf.DUMMYFUNCTION("""COMPUTED_VALUE""")," REGIÓN DE COQUIMBO ")</f>
        <v xml:space="preserve"> REGIÓN DE COQUIMBO </v>
      </c>
      <c r="B171" s="16" t="str">
        <f t="shared" ca="1" si="0"/>
        <v xml:space="preserve"> OVALLE</v>
      </c>
      <c r="C171" s="16" t="str">
        <f ca="1">IFERROR(__xludf.DUMMYFUNCTION("""COMPUTED_VALUE""")," MEJORAMIENTO SISTEMA DE TRATAMIENTO DE AGUAS SERVIDAS LOCALIDAD EL GUINDO, COMUNA DE OVALLE ")</f>
        <v xml:space="preserve"> MEJORAMIENTO SISTEMA DE TRATAMIENTO DE AGUAS SERVIDAS LOCALIDAD EL GUINDO, COMUNA DE OVALLE </v>
      </c>
      <c r="D171" s="40" t="str">
        <f ca="1">IFERROR(__xludf.DUMMYFUNCTION("""COMPUTED_VALUE"""),"4301210703-C")</f>
        <v>4301210703-C</v>
      </c>
      <c r="E171" s="16" t="str">
        <f ca="1">IFERROR(__xludf.DUMMYFUNCTION("""COMPUTED_VALUE""")," En Ejecución ")</f>
        <v xml:space="preserve"> En Ejecución </v>
      </c>
      <c r="F171" s="41">
        <f ca="1">IFERROR(__xludf.DUMMYFUNCTION("""COMPUTED_VALUE"""),45464)</f>
        <v>45464</v>
      </c>
      <c r="G171" s="16">
        <f ca="1">IFERROR(__xludf.DUMMYFUNCTION("""COMPUTED_VALUE"""),282714802)</f>
        <v>282714802</v>
      </c>
      <c r="H171" s="16" t="str">
        <f ca="1">IFERROR(__xludf.DUMMYFUNCTION("""COMPUTED_VALUE""")," En Ejecución ")</f>
        <v xml:space="preserve"> En Ejecución </v>
      </c>
      <c r="I171" s="16">
        <f ca="1">IFERROR(__xludf.DUMMYFUNCTION("""COMPUTED_VALUE"""),282714802)</f>
        <v>282714802</v>
      </c>
      <c r="J171" s="83" t="s">
        <v>48</v>
      </c>
      <c r="K171" s="16"/>
      <c r="L171" s="16"/>
      <c r="M171" s="16"/>
      <c r="N171" s="19"/>
      <c r="O171" s="19"/>
      <c r="P171" s="19"/>
      <c r="Q171" s="21">
        <f ca="1">IFERROR(__xludf.DUMMYFUNCTION("""COMPUTED_VALUE"""),282714802)</f>
        <v>282714802</v>
      </c>
      <c r="R171" s="19"/>
      <c r="S171" s="19"/>
      <c r="T171" s="19"/>
      <c r="U171" s="19"/>
      <c r="V171" s="19"/>
      <c r="W171" s="20">
        <f ca="1">IFERROR(__xludf.DUMMYFUNCTION("""COMPUTED_VALUE"""),282714802)</f>
        <v>282714802</v>
      </c>
      <c r="X171" s="43" t="str">
        <f ca="1">IFERROR(__xludf.DUMMYFUNCTION("""COMPUTED_VALUE"""),"MUNICIPALIDAD DE OVALLE")</f>
        <v>MUNICIPALIDAD DE OVALLE</v>
      </c>
    </row>
    <row r="172" spans="1:24" ht="15.75" customHeight="1" x14ac:dyDescent="0.25">
      <c r="A172" s="16" t="str">
        <f ca="1">IFERROR(__xludf.DUMMYFUNCTION("""COMPUTED_VALUE""")," REGIÓN DEL MAULE ")</f>
        <v xml:space="preserve"> REGIÓN DEL MAULE </v>
      </c>
      <c r="B172" s="16" t="str">
        <f t="shared" ca="1" si="0"/>
        <v xml:space="preserve"> VILLA ALEGRE</v>
      </c>
      <c r="C172" s="16" t="str">
        <f ca="1">IFERROR(__xludf.DUMMYFUNCTION("""COMPUTED_VALUE""")," CONSTRUCCIÓN APR CALLEJÓN MONTONERA, COMUNA DE VILLA ALEGRE ")</f>
        <v xml:space="preserve"> CONSTRUCCIÓN APR CALLEJÓN MONTONERA, COMUNA DE VILLA ALEGRE </v>
      </c>
      <c r="D172" s="40" t="str">
        <f ca="1">IFERROR(__xludf.DUMMYFUNCTION("""COMPUTED_VALUE"""),"7407240701-B")</f>
        <v>7407240701-B</v>
      </c>
      <c r="E172" s="16" t="str">
        <f ca="1">IFERROR(__xludf.DUMMYFUNCTION("""COMPUTED_VALUE""")," En Ejecución ")</f>
        <v xml:space="preserve"> En Ejecución </v>
      </c>
      <c r="F172" s="41">
        <f ca="1">IFERROR(__xludf.DUMMYFUNCTION("""COMPUTED_VALUE"""),45464)</f>
        <v>45464</v>
      </c>
      <c r="G172" s="16">
        <f ca="1">IFERROR(__xludf.DUMMYFUNCTION("""COMPUTED_VALUE"""),295393109)</f>
        <v>295393109</v>
      </c>
      <c r="H172" s="16" t="str">
        <f ca="1">IFERROR(__xludf.DUMMYFUNCTION("""COMPUTED_VALUE""")," En Ejecución ")</f>
        <v xml:space="preserve"> En Ejecución </v>
      </c>
      <c r="I172" s="16">
        <f ca="1">IFERROR(__xludf.DUMMYFUNCTION("""COMPUTED_VALUE"""),295393109)</f>
        <v>295393109</v>
      </c>
      <c r="J172" s="83" t="s">
        <v>48</v>
      </c>
      <c r="K172" s="16"/>
      <c r="L172" s="16"/>
      <c r="M172" s="16"/>
      <c r="N172" s="19"/>
      <c r="O172" s="19"/>
      <c r="P172" s="19"/>
      <c r="Q172" s="21">
        <f ca="1">IFERROR(__xludf.DUMMYFUNCTION("""COMPUTED_VALUE"""),295393109)</f>
        <v>295393109</v>
      </c>
      <c r="R172" s="19"/>
      <c r="S172" s="19"/>
      <c r="T172" s="19"/>
      <c r="U172" s="19"/>
      <c r="V172" s="19"/>
      <c r="W172" s="20">
        <f ca="1">IFERROR(__xludf.DUMMYFUNCTION("""COMPUTED_VALUE"""),295393109)</f>
        <v>295393109</v>
      </c>
      <c r="X172" s="43" t="str">
        <f ca="1">IFERROR(__xludf.DUMMYFUNCTION("""COMPUTED_VALUE"""),"MUNICIPALIDAD DE VILLA ALEGRE")</f>
        <v>MUNICIPALIDAD DE VILLA ALEGRE</v>
      </c>
    </row>
    <row r="173" spans="1:24" ht="15.75" customHeight="1" x14ac:dyDescent="0.25">
      <c r="A173" s="16" t="str">
        <f ca="1">IFERROR(__xludf.DUMMYFUNCTION("""COMPUTED_VALUE""")," REGIÓN DE LOS LAGOS ")</f>
        <v xml:space="preserve"> REGIÓN DE LOS LAGOS </v>
      </c>
      <c r="B173" s="16" t="str">
        <f t="shared" ca="1" si="0"/>
        <v xml:space="preserve"> FRUTILLAR</v>
      </c>
      <c r="C173" s="16" t="str">
        <f ca="1">IFERROR(__xludf.DUMMYFUNCTION("""COMPUTED_VALUE""")," ASISTENCIA Y APOYO TECNICO EN NUEVOS PROYECTOS DE SANEAMIENTO SANITARIO, MEJORAMIENTO URBANO Y EQUIPAMIENTO COMUNAL, COMUNA DE FRUTILLAR ")</f>
        <v xml:space="preserve"> ASISTENCIA Y APOYO TECNICO EN NUEVOS PROYECTOS DE SANEAMIENTO SANITARIO, MEJORAMIENTO URBANO Y EQUIPAMIENTO COMUNAL, COMUNA DE FRUTILLAR </v>
      </c>
      <c r="D173" s="40" t="str">
        <f ca="1">IFERROR(__xludf.DUMMYFUNCTION("""COMPUTED_VALUE"""),"10105231001-C")</f>
        <v>10105231001-C</v>
      </c>
      <c r="E173" s="16" t="str">
        <f ca="1">IFERROR(__xludf.DUMMYFUNCTION("""COMPUTED_VALUE""")," En Ejecución ")</f>
        <v xml:space="preserve"> En Ejecución </v>
      </c>
      <c r="F173" s="41">
        <f ca="1">IFERROR(__xludf.DUMMYFUNCTION("""COMPUTED_VALUE"""),45478)</f>
        <v>45478</v>
      </c>
      <c r="G173" s="16">
        <f ca="1">IFERROR(__xludf.DUMMYFUNCTION("""COMPUTED_VALUE"""),70200000)</f>
        <v>70200000</v>
      </c>
      <c r="H173" s="16" t="str">
        <f ca="1">IFERROR(__xludf.DUMMYFUNCTION("""COMPUTED_VALUE""")," En Ejecución ")</f>
        <v xml:space="preserve"> En Ejecución </v>
      </c>
      <c r="I173" s="16">
        <f ca="1">IFERROR(__xludf.DUMMYFUNCTION("""COMPUTED_VALUE"""),70200000)</f>
        <v>70200000</v>
      </c>
      <c r="J173" s="83" t="s">
        <v>48</v>
      </c>
      <c r="K173" s="16"/>
      <c r="L173" s="16"/>
      <c r="M173" s="16"/>
      <c r="N173" s="19"/>
      <c r="O173" s="19"/>
      <c r="P173" s="19"/>
      <c r="Q173" s="21">
        <f ca="1">IFERROR(__xludf.DUMMYFUNCTION("""COMPUTED_VALUE"""),70200000)</f>
        <v>70200000</v>
      </c>
      <c r="R173" s="19"/>
      <c r="S173" s="19"/>
      <c r="T173" s="19"/>
      <c r="U173" s="19"/>
      <c r="V173" s="19"/>
      <c r="W173" s="20">
        <f ca="1">IFERROR(__xludf.DUMMYFUNCTION("""COMPUTED_VALUE"""),70200000)</f>
        <v>70200000</v>
      </c>
      <c r="X173" s="43" t="str">
        <f ca="1">IFERROR(__xludf.DUMMYFUNCTION("""COMPUTED_VALUE"""),"MUNICIPALIDAD DE FRUTILLAR")</f>
        <v>MUNICIPALIDAD DE FRUTILLAR</v>
      </c>
    </row>
    <row r="174" spans="1:24" ht="15.75" customHeight="1" x14ac:dyDescent="0.25">
      <c r="A174" s="16" t="str">
        <f ca="1">IFERROR(__xludf.DUMMYFUNCTION("""COMPUTED_VALUE""")," REGIÓN DE LA ARAUCANÍA ")</f>
        <v xml:space="preserve"> REGIÓN DE LA ARAUCANÍA </v>
      </c>
      <c r="B174" s="16" t="str">
        <f t="shared" ca="1" si="0"/>
        <v xml:space="preserve"> LOS SAUCES</v>
      </c>
      <c r="C174" s="16" t="str">
        <f ca="1">IFERROR(__xludf.DUMMYFUNCTION("""COMPUTED_VALUE""")," ASISTENCIA TÉCNICA PARA CONTRATACIÓN DE PROFESIONALES PARA GENERACIÓN DE PROYECTOS SUBDERE, LOS SAUCES ")</f>
        <v xml:space="preserve"> ASISTENCIA TÉCNICA PARA CONTRATACIÓN DE PROFESIONALES PARA GENERACIÓN DE PROYECTOS SUBDERE, LOS SAUCES </v>
      </c>
      <c r="D174" s="40" t="str">
        <f ca="1">IFERROR(__xludf.DUMMYFUNCTION("""COMPUTED_VALUE"""),"9206231001-C")</f>
        <v>9206231001-C</v>
      </c>
      <c r="E174" s="16" t="str">
        <f ca="1">IFERROR(__xludf.DUMMYFUNCTION("""COMPUTED_VALUE""")," En Ejecución ")</f>
        <v xml:space="preserve"> En Ejecución </v>
      </c>
      <c r="F174" s="41">
        <f ca="1">IFERROR(__xludf.DUMMYFUNCTION("""COMPUTED_VALUE"""),45478)</f>
        <v>45478</v>
      </c>
      <c r="G174" s="16">
        <f ca="1">IFERROR(__xludf.DUMMYFUNCTION("""COMPUTED_VALUE"""),86400000)</f>
        <v>86400000</v>
      </c>
      <c r="H174" s="16" t="str">
        <f ca="1">IFERROR(__xludf.DUMMYFUNCTION("""COMPUTED_VALUE""")," En Ejecución ")</f>
        <v xml:space="preserve"> En Ejecución </v>
      </c>
      <c r="I174" s="16">
        <f ca="1">IFERROR(__xludf.DUMMYFUNCTION("""COMPUTED_VALUE"""),86400000)</f>
        <v>86400000</v>
      </c>
      <c r="J174" s="83" t="s">
        <v>48</v>
      </c>
      <c r="K174" s="16"/>
      <c r="L174" s="16"/>
      <c r="M174" s="16"/>
      <c r="N174" s="19"/>
      <c r="O174" s="19"/>
      <c r="P174" s="19"/>
      <c r="Q174" s="21">
        <f ca="1">IFERROR(__xludf.DUMMYFUNCTION("""COMPUTED_VALUE"""),86400000)</f>
        <v>86400000</v>
      </c>
      <c r="R174" s="19"/>
      <c r="S174" s="19"/>
      <c r="T174" s="19"/>
      <c r="U174" s="19"/>
      <c r="V174" s="19"/>
      <c r="W174" s="20">
        <f ca="1">IFERROR(__xludf.DUMMYFUNCTION("""COMPUTED_VALUE"""),86400000)</f>
        <v>86400000</v>
      </c>
      <c r="X174" s="43" t="str">
        <f ca="1">IFERROR(__xludf.DUMMYFUNCTION("""COMPUTED_VALUE"""),"MUNICIPALIDAD DE LOS SAUCES")</f>
        <v>MUNICIPALIDAD DE LOS SAUCES</v>
      </c>
    </row>
    <row r="175" spans="1:24" ht="15.75" customHeight="1" x14ac:dyDescent="0.25">
      <c r="A175" s="16" t="str">
        <f ca="1">IFERROR(__xludf.DUMMYFUNCTION("""COMPUTED_VALUE""")," REGIÓN DE LOS LAGOS ")</f>
        <v xml:space="preserve"> REGIÓN DE LOS LAGOS </v>
      </c>
      <c r="B175" s="16" t="str">
        <f t="shared" ca="1" si="0"/>
        <v xml:space="preserve"> QUINCHAO</v>
      </c>
      <c r="C175" s="16" t="str">
        <f ca="1">IFERROR(__xludf.DUMMYFUNCTION("""COMPUTED_VALUE""")," ASISTENCIA TÉCNICA DIVERSOS PROYECTOS PMU COMUNA DE QUINCHAO ")</f>
        <v xml:space="preserve"> ASISTENCIA TÉCNICA DIVERSOS PROYECTOS PMU COMUNA DE QUINCHAO </v>
      </c>
      <c r="D175" s="40" t="str">
        <f ca="1">IFERROR(__xludf.DUMMYFUNCTION("""COMPUTED_VALUE"""),"10210241001-C")</f>
        <v>10210241001-C</v>
      </c>
      <c r="E175" s="16" t="str">
        <f ca="1">IFERROR(__xludf.DUMMYFUNCTION("""COMPUTED_VALUE""")," En Ejecución ")</f>
        <v xml:space="preserve"> En Ejecución </v>
      </c>
      <c r="F175" s="41">
        <f ca="1">IFERROR(__xludf.DUMMYFUNCTION("""COMPUTED_VALUE"""),45484)</f>
        <v>45484</v>
      </c>
      <c r="G175" s="16">
        <f ca="1">IFERROR(__xludf.DUMMYFUNCTION("""COMPUTED_VALUE"""),64800000)</f>
        <v>64800000</v>
      </c>
      <c r="H175" s="16" t="str">
        <f ca="1">IFERROR(__xludf.DUMMYFUNCTION("""COMPUTED_VALUE""")," En Ejecución ")</f>
        <v xml:space="preserve"> En Ejecución </v>
      </c>
      <c r="I175" s="16">
        <f ca="1">IFERROR(__xludf.DUMMYFUNCTION("""COMPUTED_VALUE"""),64800000)</f>
        <v>64800000</v>
      </c>
      <c r="J175" s="83" t="s">
        <v>48</v>
      </c>
      <c r="K175" s="16"/>
      <c r="L175" s="16"/>
      <c r="M175" s="16"/>
      <c r="N175" s="19"/>
      <c r="O175" s="19"/>
      <c r="P175" s="19"/>
      <c r="Q175" s="21">
        <f ca="1">IFERROR(__xludf.DUMMYFUNCTION("""COMPUTED_VALUE"""),64800000)</f>
        <v>64800000</v>
      </c>
      <c r="R175" s="19"/>
      <c r="S175" s="19"/>
      <c r="T175" s="19"/>
      <c r="U175" s="19"/>
      <c r="V175" s="19"/>
      <c r="W175" s="20">
        <f ca="1">IFERROR(__xludf.DUMMYFUNCTION("""COMPUTED_VALUE"""),64800000)</f>
        <v>64800000</v>
      </c>
      <c r="X175" s="43" t="str">
        <f ca="1">IFERROR(__xludf.DUMMYFUNCTION("""COMPUTED_VALUE"""),"MUNICIPALIDAD DE QUINCHAO")</f>
        <v>MUNICIPALIDAD DE QUINCHAO</v>
      </c>
    </row>
    <row r="176" spans="1:24" ht="15.75" customHeight="1" x14ac:dyDescent="0.25">
      <c r="A176" s="16" t="str">
        <f ca="1">IFERROR(__xludf.DUMMYFUNCTION("""COMPUTED_VALUE""")," REGIÓN METROPOLITANA ")</f>
        <v xml:space="preserve"> REGIÓN METROPOLITANA </v>
      </c>
      <c r="B176" s="16" t="str">
        <f t="shared" ca="1" si="0"/>
        <v xml:space="preserve"> ISLA DE MAIPO</v>
      </c>
      <c r="C176" s="16" t="str">
        <f ca="1">IFERROR(__xludf.DUMMYFUNCTION("""COMPUTED_VALUE""")," AMPLIACIÓN LUMINARIAS CICLOVIA BALMACEDA, ENTRE LA ISLITA E ISLA CENTRO, COMUNA ISLA DE MAIPO ")</f>
        <v xml:space="preserve"> AMPLIACIÓN LUMINARIAS CICLOVIA BALMACEDA, ENTRE LA ISLITA E ISLA CENTRO, COMUNA ISLA DE MAIPO </v>
      </c>
      <c r="D176" s="40" t="str">
        <f ca="1">IFERROR(__xludf.DUMMYFUNCTION("""COMPUTED_VALUE"""),"13603210701-C")</f>
        <v>13603210701-C</v>
      </c>
      <c r="E176" s="16" t="str">
        <f ca="1">IFERROR(__xludf.DUMMYFUNCTION("""COMPUTED_VALUE""")," En Ejecución ")</f>
        <v xml:space="preserve"> En Ejecución </v>
      </c>
      <c r="F176" s="41">
        <f ca="1">IFERROR(__xludf.DUMMYFUNCTION("""COMPUTED_VALUE"""),44482)</f>
        <v>44482</v>
      </c>
      <c r="G176" s="16">
        <f ca="1">IFERROR(__xludf.DUMMYFUNCTION("""COMPUTED_VALUE"""),163032890)</f>
        <v>163032890</v>
      </c>
      <c r="H176" s="16" t="str">
        <f ca="1">IFERROR(__xludf.DUMMYFUNCTION("""COMPUTED_VALUE""")," En Ejecución ")</f>
        <v xml:space="preserve"> En Ejecución </v>
      </c>
      <c r="I176" s="16">
        <f ca="1">IFERROR(__xludf.DUMMYFUNCTION("""COMPUTED_VALUE"""),36902648)</f>
        <v>36902648</v>
      </c>
      <c r="J176" s="83" t="s">
        <v>48</v>
      </c>
      <c r="K176" s="16"/>
      <c r="L176" s="16"/>
      <c r="M176" s="16"/>
      <c r="N176" s="19"/>
      <c r="O176" s="19"/>
      <c r="P176" s="19"/>
      <c r="Q176" s="21">
        <f ca="1">IFERROR(__xludf.DUMMYFUNCTION("""COMPUTED_VALUE"""),36902648)</f>
        <v>36902648</v>
      </c>
      <c r="R176" s="19"/>
      <c r="S176" s="19"/>
      <c r="T176" s="19"/>
      <c r="U176" s="19"/>
      <c r="V176" s="19"/>
      <c r="W176" s="20">
        <f ca="1">IFERROR(__xludf.DUMMYFUNCTION("""COMPUTED_VALUE"""),36902648)</f>
        <v>36902648</v>
      </c>
      <c r="X176" s="43" t="str">
        <f ca="1">IFERROR(__xludf.DUMMYFUNCTION("""COMPUTED_VALUE"""),"MUNICIPALIDAD DE ISLA DE MAIPO")</f>
        <v>MUNICIPALIDAD DE ISLA DE MAIPO</v>
      </c>
    </row>
    <row r="177" spans="1:24" ht="15.75" customHeight="1" x14ac:dyDescent="0.25">
      <c r="A177" s="16" t="str">
        <f ca="1">IFERROR(__xludf.DUMMYFUNCTION("""COMPUTED_VALUE""")," REGIÓN DE VALPARAÍSO ")</f>
        <v xml:space="preserve"> REGIÓN DE VALPARAÍSO </v>
      </c>
      <c r="B177" s="16" t="str">
        <f t="shared" ca="1" si="0"/>
        <v xml:space="preserve"> OLMUÉ</v>
      </c>
      <c r="C177" s="16" t="str">
        <f ca="1">IFERROR(__xludf.DUMMYFUNCTION("""COMPUTED_VALUE""")," EXTENSION SISTEMA DE AGUA POTABLE RURAL CALLE LA CRUZ, COMUNA DE OLMUE ")</f>
        <v xml:space="preserve"> EXTENSION SISTEMA DE AGUA POTABLE RURAL CALLE LA CRUZ, COMUNA DE OLMUE </v>
      </c>
      <c r="D177" s="40" t="str">
        <f ca="1">IFERROR(__xludf.DUMMYFUNCTION("""COMPUTED_VALUE"""),"5803190701-C")</f>
        <v>5803190701-C</v>
      </c>
      <c r="E177" s="16" t="str">
        <f ca="1">IFERROR(__xludf.DUMMYFUNCTION("""COMPUTED_VALUE""")," En Ejecución ")</f>
        <v xml:space="preserve"> En Ejecución </v>
      </c>
      <c r="F177" s="41">
        <f ca="1">IFERROR(__xludf.DUMMYFUNCTION("""COMPUTED_VALUE"""),43917)</f>
        <v>43917</v>
      </c>
      <c r="G177" s="16">
        <f ca="1">IFERROR(__xludf.DUMMYFUNCTION("""COMPUTED_VALUE"""),31548654)</f>
        <v>31548654</v>
      </c>
      <c r="H177" s="16" t="str">
        <f ca="1">IFERROR(__xludf.DUMMYFUNCTION("""COMPUTED_VALUE""")," En Ejecución ")</f>
        <v xml:space="preserve"> En Ejecución </v>
      </c>
      <c r="I177" s="16">
        <f ca="1">IFERROR(__xludf.DUMMYFUNCTION("""COMPUTED_VALUE"""),31548654)</f>
        <v>31548654</v>
      </c>
      <c r="J177" s="83" t="s">
        <v>48</v>
      </c>
      <c r="K177" s="16"/>
      <c r="L177" s="16"/>
      <c r="M177" s="16"/>
      <c r="N177" s="19"/>
      <c r="O177" s="19"/>
      <c r="P177" s="19"/>
      <c r="Q177" s="21">
        <f ca="1">IFERROR(__xludf.DUMMYFUNCTION("""COMPUTED_VALUE"""),31548654)</f>
        <v>31548654</v>
      </c>
      <c r="R177" s="19"/>
      <c r="S177" s="19"/>
      <c r="T177" s="19"/>
      <c r="U177" s="19"/>
      <c r="V177" s="19"/>
      <c r="W177" s="20">
        <f ca="1">IFERROR(__xludf.DUMMYFUNCTION("""COMPUTED_VALUE"""),31548654)</f>
        <v>31548654</v>
      </c>
      <c r="X177" s="43" t="str">
        <f ca="1">IFERROR(__xludf.DUMMYFUNCTION("""COMPUTED_VALUE"""),"MUNICIPALIDAD DE OLMUÉ")</f>
        <v>MUNICIPALIDAD DE OLMUÉ</v>
      </c>
    </row>
    <row r="178" spans="1:24" ht="15.75" customHeight="1" x14ac:dyDescent="0.25">
      <c r="A178" s="16" t="str">
        <f ca="1">IFERROR(__xludf.DUMMYFUNCTION("""COMPUTED_VALUE""")," REGIÓN DEL MAULE ")</f>
        <v xml:space="preserve"> REGIÓN DEL MAULE </v>
      </c>
      <c r="B178" s="16" t="str">
        <f t="shared" ca="1" si="0"/>
        <v xml:space="preserve"> CUREPTO</v>
      </c>
      <c r="C178" s="16" t="str">
        <f ca="1">IFERROR(__xludf.DUMMYFUNCTION("""COMPUTED_VALUE""")," ASISTENCIA TECNICA, COMUNA DE CUREPTO ")</f>
        <v xml:space="preserve"> ASISTENCIA TECNICA, COMUNA DE CUREPTO </v>
      </c>
      <c r="D178" s="40" t="str">
        <f ca="1">IFERROR(__xludf.DUMMYFUNCTION("""COMPUTED_VALUE"""),"7103231001-C")</f>
        <v>7103231001-C</v>
      </c>
      <c r="E178" s="16" t="str">
        <f ca="1">IFERROR(__xludf.DUMMYFUNCTION("""COMPUTED_VALUE""")," En Ejecución ")</f>
        <v xml:space="preserve"> En Ejecución </v>
      </c>
      <c r="F178" s="41">
        <f ca="1">IFERROR(__xludf.DUMMYFUNCTION("""COMPUTED_VALUE"""),45239)</f>
        <v>45239</v>
      </c>
      <c r="G178" s="16">
        <f ca="1">IFERROR(__xludf.DUMMYFUNCTION("""COMPUTED_VALUE"""),40515444)</f>
        <v>40515444</v>
      </c>
      <c r="H178" s="16" t="str">
        <f ca="1">IFERROR(__xludf.DUMMYFUNCTION("""COMPUTED_VALUE""")," En Ejecución ")</f>
        <v xml:space="preserve"> En Ejecución </v>
      </c>
      <c r="I178" s="16">
        <f ca="1">IFERROR(__xludf.DUMMYFUNCTION("""COMPUTED_VALUE"""),10128861)</f>
        <v>10128861</v>
      </c>
      <c r="J178" s="83" t="s">
        <v>48</v>
      </c>
      <c r="K178" s="16"/>
      <c r="L178" s="16"/>
      <c r="M178" s="16"/>
      <c r="N178" s="19"/>
      <c r="O178" s="19"/>
      <c r="P178" s="19"/>
      <c r="Q178" s="21">
        <f ca="1">IFERROR(__xludf.DUMMYFUNCTION("""COMPUTED_VALUE"""),10128861)</f>
        <v>10128861</v>
      </c>
      <c r="R178" s="19"/>
      <c r="S178" s="19"/>
      <c r="T178" s="19"/>
      <c r="U178" s="19"/>
      <c r="V178" s="19"/>
      <c r="W178" s="20">
        <f ca="1">IFERROR(__xludf.DUMMYFUNCTION("""COMPUTED_VALUE"""),10128861)</f>
        <v>10128861</v>
      </c>
      <c r="X178" s="43" t="str">
        <f ca="1">IFERROR(__xludf.DUMMYFUNCTION("""COMPUTED_VALUE"""),"MUNICIPALIDAD DE CUREPTO")</f>
        <v>MUNICIPALIDAD DE CUREPTO</v>
      </c>
    </row>
    <row r="179" spans="1:24" ht="15.75" customHeight="1" x14ac:dyDescent="0.25">
      <c r="A179" s="16" t="str">
        <f ca="1">IFERROR(__xludf.DUMMYFUNCTION("""COMPUTED_VALUE""")," REGIÓN DE LOS LAGOS ")</f>
        <v xml:space="preserve"> REGIÓN DE LOS LAGOS </v>
      </c>
      <c r="B179" s="16" t="str">
        <f t="shared" ca="1" si="0"/>
        <v xml:space="preserve"> QUELLÓN</v>
      </c>
      <c r="C179" s="16" t="str">
        <f ca="1">IFERROR(__xludf.DUMMYFUNCTION("""COMPUTED_VALUE""")," HABILITACIÓN SUMINISTRO E.E. SISTEMAS FOTOVOLTAICOS INDIVIDUALES SECTOR PUERTO CARMEN, COMUNA DE QUELLÓN ")</f>
        <v xml:space="preserve"> HABILITACIÓN SUMINISTRO E.E. SISTEMAS FOTOVOLTAICOS INDIVIDUALES SECTOR PUERTO CARMEN, COMUNA DE QUELLÓN </v>
      </c>
      <c r="D179" s="40" t="str">
        <f ca="1">IFERROR(__xludf.DUMMYFUNCTION("""COMPUTED_VALUE"""),"10208240701-C")</f>
        <v>10208240701-C</v>
      </c>
      <c r="E179" s="16" t="str">
        <f ca="1">IFERROR(__xludf.DUMMYFUNCTION("""COMPUTED_VALUE""")," En Ejecución ")</f>
        <v xml:space="preserve"> En Ejecución </v>
      </c>
      <c r="F179" s="41">
        <f ca="1">IFERROR(__xludf.DUMMYFUNCTION("""COMPUTED_VALUE"""),45511)</f>
        <v>45511</v>
      </c>
      <c r="G179" s="16">
        <f ca="1">IFERROR(__xludf.DUMMYFUNCTION("""COMPUTED_VALUE"""),229332052)</f>
        <v>229332052</v>
      </c>
      <c r="H179" s="16" t="str">
        <f ca="1">IFERROR(__xludf.DUMMYFUNCTION("""COMPUTED_VALUE""")," En Ejecución ")</f>
        <v xml:space="preserve"> En Ejecución </v>
      </c>
      <c r="I179" s="16">
        <f ca="1">IFERROR(__xludf.DUMMYFUNCTION("""COMPUTED_VALUE"""),229332052)</f>
        <v>229332052</v>
      </c>
      <c r="J179" s="83" t="s">
        <v>48</v>
      </c>
      <c r="K179" s="16"/>
      <c r="L179" s="16"/>
      <c r="M179" s="16"/>
      <c r="N179" s="19"/>
      <c r="O179" s="19"/>
      <c r="P179" s="19"/>
      <c r="Q179" s="19"/>
      <c r="R179" s="21">
        <f ca="1">IFERROR(__xludf.DUMMYFUNCTION("""COMPUTED_VALUE"""),229332052)</f>
        <v>229332052</v>
      </c>
      <c r="S179" s="19"/>
      <c r="T179" s="19"/>
      <c r="U179" s="19"/>
      <c r="V179" s="19"/>
      <c r="W179" s="20">
        <f ca="1">IFERROR(__xludf.DUMMYFUNCTION("""COMPUTED_VALUE"""),229332052)</f>
        <v>229332052</v>
      </c>
      <c r="X179" s="43" t="str">
        <f ca="1">IFERROR(__xludf.DUMMYFUNCTION("""COMPUTED_VALUE"""),"MUNICIPALIDAD DE QUELLÓN")</f>
        <v>MUNICIPALIDAD DE QUELLÓN</v>
      </c>
    </row>
    <row r="180" spans="1:24" ht="15.75" customHeight="1" x14ac:dyDescent="0.25">
      <c r="A180" s="16" t="str">
        <f ca="1">IFERROR(__xludf.DUMMYFUNCTION("""COMPUTED_VALUE""")," REGIÓN METROPOLITANA ")</f>
        <v xml:space="preserve"> REGIÓN METROPOLITANA </v>
      </c>
      <c r="B180" s="16" t="str">
        <f t="shared" ca="1" si="0"/>
        <v xml:space="preserve"> SAN MIGUEL</v>
      </c>
      <c r="C180" s="16" t="str">
        <f ca="1">IFERROR(__xludf.DUMMYFUNCTION("""COMPUTED_VALUE""")," CONSTRUCCIÓN DE ALUMBRADO PEATONAL UNIDAD VECINAL N°46 , SAN MIGUEL ")</f>
        <v xml:space="preserve"> CONSTRUCCIÓN DE ALUMBRADO PEATONAL UNIDAD VECINAL N°46 , SAN MIGUEL </v>
      </c>
      <c r="D180" s="40" t="str">
        <f ca="1">IFERROR(__xludf.DUMMYFUNCTION("""COMPUTED_VALUE"""),"13130230703-C")</f>
        <v>13130230703-C</v>
      </c>
      <c r="E180" s="16" t="str">
        <f ca="1">IFERROR(__xludf.DUMMYFUNCTION("""COMPUTED_VALUE""")," En Ejecución ")</f>
        <v xml:space="preserve"> En Ejecución </v>
      </c>
      <c r="F180" s="41">
        <f ca="1">IFERROR(__xludf.DUMMYFUNCTION("""COMPUTED_VALUE"""),45525)</f>
        <v>45525</v>
      </c>
      <c r="G180" s="16">
        <f ca="1">IFERROR(__xludf.DUMMYFUNCTION("""COMPUTED_VALUE"""),286991152)</f>
        <v>286991152</v>
      </c>
      <c r="H180" s="16" t="str">
        <f ca="1">IFERROR(__xludf.DUMMYFUNCTION("""COMPUTED_VALUE""")," En Ejecución ")</f>
        <v xml:space="preserve"> En Ejecución </v>
      </c>
      <c r="I180" s="16">
        <f ca="1">IFERROR(__xludf.DUMMYFUNCTION("""COMPUTED_VALUE"""),286991152)</f>
        <v>286991152</v>
      </c>
      <c r="J180" s="83" t="s">
        <v>48</v>
      </c>
      <c r="K180" s="16"/>
      <c r="L180" s="16"/>
      <c r="M180" s="16"/>
      <c r="N180" s="19"/>
      <c r="O180" s="19"/>
      <c r="P180" s="19"/>
      <c r="Q180" s="19"/>
      <c r="R180" s="21">
        <f ca="1">IFERROR(__xludf.DUMMYFUNCTION("""COMPUTED_VALUE"""),286991152)</f>
        <v>286991152</v>
      </c>
      <c r="S180" s="19"/>
      <c r="T180" s="19"/>
      <c r="U180" s="19"/>
      <c r="V180" s="19"/>
      <c r="W180" s="20">
        <f ca="1">IFERROR(__xludf.DUMMYFUNCTION("""COMPUTED_VALUE"""),286991152)</f>
        <v>286991152</v>
      </c>
      <c r="X180" s="43" t="str">
        <f ca="1">IFERROR(__xludf.DUMMYFUNCTION("""COMPUTED_VALUE"""),"MUNICIPALIDAD DE SAN MIGUEL")</f>
        <v>MUNICIPALIDAD DE SAN MIGUEL</v>
      </c>
    </row>
    <row r="181" spans="1:24" ht="15.75" customHeight="1" x14ac:dyDescent="0.25">
      <c r="A181" s="16" t="str">
        <f ca="1">IFERROR(__xludf.DUMMYFUNCTION("""COMPUTED_VALUE""")," REGIÓN DE LOS LAGOS ")</f>
        <v xml:space="preserve"> REGIÓN DE LOS LAGOS </v>
      </c>
      <c r="B181" s="16" t="str">
        <f t="shared" ca="1" si="0"/>
        <v xml:space="preserve"> QUINCHAO</v>
      </c>
      <c r="C181" s="16" t="str">
        <f ca="1">IFERROR(__xludf.DUMMYFUNCTION("""COMPUTED_VALUE""")," PROGRAMA DE COMPOSTAJE DOMICILIARIO DE LAS ISLAS COMUNA DE QUINCHAO ")</f>
        <v xml:space="preserve"> PROGRAMA DE COMPOSTAJE DOMICILIARIO DE LAS ISLAS COMUNA DE QUINCHAO </v>
      </c>
      <c r="D181" s="40" t="str">
        <f ca="1">IFERROR(__xludf.DUMMYFUNCTION("""COMPUTED_VALUE"""),"10210241502-C")</f>
        <v>10210241502-C</v>
      </c>
      <c r="E181" s="16" t="str">
        <f ca="1">IFERROR(__xludf.DUMMYFUNCTION("""COMPUTED_VALUE""")," En Ejecución ")</f>
        <v xml:space="preserve"> En Ejecución </v>
      </c>
      <c r="F181" s="41">
        <f ca="1">IFERROR(__xludf.DUMMYFUNCTION("""COMPUTED_VALUE"""),45512)</f>
        <v>45512</v>
      </c>
      <c r="G181" s="16">
        <f ca="1">IFERROR(__xludf.DUMMYFUNCTION("""COMPUTED_VALUE"""),323144500)</f>
        <v>323144500</v>
      </c>
      <c r="H181" s="16" t="str">
        <f ca="1">IFERROR(__xludf.DUMMYFUNCTION("""COMPUTED_VALUE""")," En Ejecución ")</f>
        <v xml:space="preserve"> En Ejecución </v>
      </c>
      <c r="I181" s="16">
        <f ca="1">IFERROR(__xludf.DUMMYFUNCTION("""COMPUTED_VALUE"""),323144500)</f>
        <v>323144500</v>
      </c>
      <c r="J181" s="83" t="s">
        <v>48</v>
      </c>
      <c r="K181" s="16"/>
      <c r="L181" s="16"/>
      <c r="M181" s="16"/>
      <c r="N181" s="19"/>
      <c r="O181" s="19"/>
      <c r="P181" s="19"/>
      <c r="Q181" s="19"/>
      <c r="R181" s="21">
        <f ca="1">IFERROR(__xludf.DUMMYFUNCTION("""COMPUTED_VALUE"""),323144500)</f>
        <v>323144500</v>
      </c>
      <c r="S181" s="19"/>
      <c r="T181" s="19"/>
      <c r="U181" s="19"/>
      <c r="V181" s="19"/>
      <c r="W181" s="20">
        <f ca="1">IFERROR(__xludf.DUMMYFUNCTION("""COMPUTED_VALUE"""),323144500)</f>
        <v>323144500</v>
      </c>
      <c r="X181" s="43" t="str">
        <f ca="1">IFERROR(__xludf.DUMMYFUNCTION("""COMPUTED_VALUE"""),"MUNICIPALIDAD DE QUINCHAO")</f>
        <v>MUNICIPALIDAD DE QUINCHAO</v>
      </c>
    </row>
    <row r="182" spans="1:24" ht="15.75" customHeight="1" x14ac:dyDescent="0.25">
      <c r="A182" s="16" t="str">
        <f ca="1">IFERROR(__xludf.DUMMYFUNCTION("""COMPUTED_VALUE""")," REGIÓN DE LA ARAUCANÍA ")</f>
        <v xml:space="preserve"> REGIÓN DE LA ARAUCANÍA </v>
      </c>
      <c r="B182" s="16" t="str">
        <f t="shared" ca="1" si="0"/>
        <v xml:space="preserve"> TRAIGUÉN</v>
      </c>
      <c r="C182" s="16" t="str">
        <f ca="1">IFERROR(__xludf.DUMMYFUNCTION("""COMPUTED_VALUE""")," MEJORAMIENTO ESTERO CHUMAY DIVERSOS SECTORES URBANOS, TRAIGUÉN ")</f>
        <v xml:space="preserve"> MEJORAMIENTO ESTERO CHUMAY DIVERSOS SECTORES URBANOS, TRAIGUÉN </v>
      </c>
      <c r="D182" s="40" t="str">
        <f ca="1">IFERROR(__xludf.DUMMYFUNCTION("""COMPUTED_VALUE"""),"9210230711-C")</f>
        <v>9210230711-C</v>
      </c>
      <c r="E182" s="16" t="str">
        <f ca="1">IFERROR(__xludf.DUMMYFUNCTION("""COMPUTED_VALUE""")," En Ejecución ")</f>
        <v xml:space="preserve"> En Ejecución </v>
      </c>
      <c r="F182" s="41">
        <f ca="1">IFERROR(__xludf.DUMMYFUNCTION("""COMPUTED_VALUE"""),45511)</f>
        <v>45511</v>
      </c>
      <c r="G182" s="16">
        <f ca="1">IFERROR(__xludf.DUMMYFUNCTION("""COMPUTED_VALUE"""),287786876)</f>
        <v>287786876</v>
      </c>
      <c r="H182" s="16" t="str">
        <f ca="1">IFERROR(__xludf.DUMMYFUNCTION("""COMPUTED_VALUE""")," En Ejecución ")</f>
        <v xml:space="preserve"> En Ejecución </v>
      </c>
      <c r="I182" s="16">
        <f ca="1">IFERROR(__xludf.DUMMYFUNCTION("""COMPUTED_VALUE"""),287786876)</f>
        <v>287786876</v>
      </c>
      <c r="J182" s="83" t="s">
        <v>48</v>
      </c>
      <c r="K182" s="16"/>
      <c r="L182" s="16"/>
      <c r="M182" s="16"/>
      <c r="N182" s="19"/>
      <c r="O182" s="19"/>
      <c r="P182" s="19"/>
      <c r="Q182" s="19"/>
      <c r="R182" s="21">
        <f ca="1">IFERROR(__xludf.DUMMYFUNCTION("""COMPUTED_VALUE"""),287786876)</f>
        <v>287786876</v>
      </c>
      <c r="S182" s="19"/>
      <c r="T182" s="19"/>
      <c r="U182" s="19"/>
      <c r="V182" s="19"/>
      <c r="W182" s="20">
        <f ca="1">IFERROR(__xludf.DUMMYFUNCTION("""COMPUTED_VALUE"""),287786876)</f>
        <v>287786876</v>
      </c>
      <c r="X182" s="43" t="str">
        <f ca="1">IFERROR(__xludf.DUMMYFUNCTION("""COMPUTED_VALUE"""),"MUNICIPALIDAD DE TRAIGUÉN")</f>
        <v>MUNICIPALIDAD DE TRAIGUÉN</v>
      </c>
    </row>
    <row r="183" spans="1:24" ht="15.75" customHeight="1" x14ac:dyDescent="0.25">
      <c r="A183" s="16" t="str">
        <f ca="1">IFERROR(__xludf.DUMMYFUNCTION("""COMPUTED_VALUE""")," REGIÓN DE LOS LAGOS ")</f>
        <v xml:space="preserve"> REGIÓN DE LOS LAGOS </v>
      </c>
      <c r="B183" s="16" t="str">
        <f t="shared" ca="1" si="0"/>
        <v xml:space="preserve"> CHONCHI</v>
      </c>
      <c r="C183" s="16" t="str">
        <f ca="1">IFERROR(__xludf.DUMMYFUNCTION("""COMPUTED_VALUE""")," NORMALIZACIÓN SISTEMA ELÉCTRICO SECTOR SERVITECA COMUNA DE CHONCHI ")</f>
        <v xml:space="preserve"> NORMALIZACIÓN SISTEMA ELÉCTRICO SECTOR SERVITECA COMUNA DE CHONCHI </v>
      </c>
      <c r="D183" s="40" t="str">
        <f ca="1">IFERROR(__xludf.DUMMYFUNCTION("""COMPUTED_VALUE"""),"10203230705-C")</f>
        <v>10203230705-C</v>
      </c>
      <c r="E183" s="16" t="str">
        <f ca="1">IFERROR(__xludf.DUMMYFUNCTION("""COMPUTED_VALUE""")," En Ejecución ")</f>
        <v xml:space="preserve"> En Ejecución </v>
      </c>
      <c r="F183" s="41">
        <f ca="1">IFERROR(__xludf.DUMMYFUNCTION("""COMPUTED_VALUE"""),45532)</f>
        <v>45532</v>
      </c>
      <c r="G183" s="16">
        <f ca="1">IFERROR(__xludf.DUMMYFUNCTION("""COMPUTED_VALUE"""),52443300)</f>
        <v>52443300</v>
      </c>
      <c r="H183" s="16" t="str">
        <f ca="1">IFERROR(__xludf.DUMMYFUNCTION("""COMPUTED_VALUE""")," En Ejecución ")</f>
        <v xml:space="preserve"> En Ejecución </v>
      </c>
      <c r="I183" s="16">
        <f ca="1">IFERROR(__xludf.DUMMYFUNCTION("""COMPUTED_VALUE"""),52443300)</f>
        <v>52443300</v>
      </c>
      <c r="J183" s="83" t="s">
        <v>48</v>
      </c>
      <c r="K183" s="16"/>
      <c r="L183" s="16"/>
      <c r="M183" s="16"/>
      <c r="N183" s="19"/>
      <c r="O183" s="19"/>
      <c r="P183" s="19"/>
      <c r="Q183" s="19"/>
      <c r="R183" s="21">
        <f ca="1">IFERROR(__xludf.DUMMYFUNCTION("""COMPUTED_VALUE"""),52443300)</f>
        <v>52443300</v>
      </c>
      <c r="S183" s="19"/>
      <c r="T183" s="19"/>
      <c r="U183" s="19"/>
      <c r="V183" s="19"/>
      <c r="W183" s="20">
        <f ca="1">IFERROR(__xludf.DUMMYFUNCTION("""COMPUTED_VALUE"""),52443300)</f>
        <v>52443300</v>
      </c>
      <c r="X183" s="43" t="str">
        <f ca="1">IFERROR(__xludf.DUMMYFUNCTION("""COMPUTED_VALUE"""),"MUNICIPALIDAD DE CHONCHI")</f>
        <v>MUNICIPALIDAD DE CHONCHI</v>
      </c>
    </row>
    <row r="184" spans="1:24" ht="15.75" customHeight="1" x14ac:dyDescent="0.25">
      <c r="A184" s="16" t="str">
        <f ca="1">IFERROR(__xludf.DUMMYFUNCTION("""COMPUTED_VALUE""")," REGIÓN DE LOS LAGOS ")</f>
        <v xml:space="preserve"> REGIÓN DE LOS LAGOS </v>
      </c>
      <c r="B184" s="16" t="str">
        <f t="shared" ca="1" si="0"/>
        <v xml:space="preserve"> PALENA</v>
      </c>
      <c r="C184" s="16" t="str">
        <f ca="1">IFERROR(__xludf.DUMMYFUNCTION("""COMPUTED_VALUE""")," CONSTRUCCIÓN SOLUCIONES INDIVIDUALES AGUA POTABLE, SECTORES RURALES PALENA ")</f>
        <v xml:space="preserve"> CONSTRUCCIÓN SOLUCIONES INDIVIDUALES AGUA POTABLE, SECTORES RURALES PALENA </v>
      </c>
      <c r="D184" s="40" t="str">
        <f ca="1">IFERROR(__xludf.DUMMYFUNCTION("""COMPUTED_VALUE"""),"10404230703-C")</f>
        <v>10404230703-C</v>
      </c>
      <c r="E184" s="16" t="str">
        <f ca="1">IFERROR(__xludf.DUMMYFUNCTION("""COMPUTED_VALUE""")," En Ejecución ")</f>
        <v xml:space="preserve"> En Ejecución </v>
      </c>
      <c r="F184" s="41">
        <f ca="1">IFERROR(__xludf.DUMMYFUNCTION("""COMPUTED_VALUE"""),45512)</f>
        <v>45512</v>
      </c>
      <c r="G184" s="16">
        <f ca="1">IFERROR(__xludf.DUMMYFUNCTION("""COMPUTED_VALUE"""),135473800)</f>
        <v>135473800</v>
      </c>
      <c r="H184" s="16" t="str">
        <f ca="1">IFERROR(__xludf.DUMMYFUNCTION("""COMPUTED_VALUE""")," En Ejecución ")</f>
        <v xml:space="preserve"> En Ejecución </v>
      </c>
      <c r="I184" s="16">
        <f ca="1">IFERROR(__xludf.DUMMYFUNCTION("""COMPUTED_VALUE"""),135473800)</f>
        <v>135473800</v>
      </c>
      <c r="J184" s="83" t="s">
        <v>48</v>
      </c>
      <c r="K184" s="16"/>
      <c r="L184" s="16"/>
      <c r="M184" s="16"/>
      <c r="N184" s="19"/>
      <c r="O184" s="19"/>
      <c r="P184" s="19"/>
      <c r="Q184" s="19"/>
      <c r="R184" s="21">
        <f ca="1">IFERROR(__xludf.DUMMYFUNCTION("""COMPUTED_VALUE"""),135473800)</f>
        <v>135473800</v>
      </c>
      <c r="S184" s="19"/>
      <c r="T184" s="19"/>
      <c r="U184" s="19"/>
      <c r="V184" s="19"/>
      <c r="W184" s="20">
        <f ca="1">IFERROR(__xludf.DUMMYFUNCTION("""COMPUTED_VALUE"""),135473800)</f>
        <v>135473800</v>
      </c>
      <c r="X184" s="43" t="str">
        <f ca="1">IFERROR(__xludf.DUMMYFUNCTION("""COMPUTED_VALUE"""),"MUNICIPALIDAD DE PALENA")</f>
        <v>MUNICIPALIDAD DE PALENA</v>
      </c>
    </row>
    <row r="185" spans="1:24" ht="15.75" customHeight="1" x14ac:dyDescent="0.25">
      <c r="A185" s="16" t="str">
        <f ca="1">IFERROR(__xludf.DUMMYFUNCTION("""COMPUTED_VALUE""")," REGIÓN DE VALPARAÍSO ")</f>
        <v xml:space="preserve"> REGIÓN DE VALPARAÍSO </v>
      </c>
      <c r="B185" s="16" t="str">
        <f t="shared" ca="1" si="0"/>
        <v xml:space="preserve"> CALERA</v>
      </c>
      <c r="C185" s="16" t="str">
        <f ca="1">IFERROR(__xludf.DUMMYFUNCTION("""COMPUTED_VALUE""")," ILUMINACION PEATONAL ACCESO NORTE DE LA COMUNA Y CALLE CAUPOLICAN COMUNA DE LA CALERA ")</f>
        <v xml:space="preserve"> ILUMINACION PEATONAL ACCESO NORTE DE LA COMUNA Y CALLE CAUPOLICAN COMUNA DE LA CALERA </v>
      </c>
      <c r="D185" s="40" t="str">
        <f ca="1">IFERROR(__xludf.DUMMYFUNCTION("""COMPUTED_VALUE"""),"5502230704-C")</f>
        <v>5502230704-C</v>
      </c>
      <c r="E185" s="16" t="str">
        <f ca="1">IFERROR(__xludf.DUMMYFUNCTION("""COMPUTED_VALUE""")," En Ejecución ")</f>
        <v xml:space="preserve"> En Ejecución </v>
      </c>
      <c r="F185" s="41">
        <f ca="1">IFERROR(__xludf.DUMMYFUNCTION("""COMPUTED_VALUE"""),45512)</f>
        <v>45512</v>
      </c>
      <c r="G185" s="16">
        <f ca="1">IFERROR(__xludf.DUMMYFUNCTION("""COMPUTED_VALUE"""),253764525)</f>
        <v>253764525</v>
      </c>
      <c r="H185" s="16" t="str">
        <f ca="1">IFERROR(__xludf.DUMMYFUNCTION("""COMPUTED_VALUE""")," En Ejecución ")</f>
        <v xml:space="preserve"> En Ejecución </v>
      </c>
      <c r="I185" s="16">
        <f ca="1">IFERROR(__xludf.DUMMYFUNCTION("""COMPUTED_VALUE"""),253764525)</f>
        <v>253764525</v>
      </c>
      <c r="J185" s="83" t="s">
        <v>48</v>
      </c>
      <c r="K185" s="16"/>
      <c r="L185" s="16"/>
      <c r="M185" s="16"/>
      <c r="N185" s="19"/>
      <c r="O185" s="19"/>
      <c r="P185" s="19"/>
      <c r="Q185" s="19"/>
      <c r="R185" s="21">
        <f ca="1">IFERROR(__xludf.DUMMYFUNCTION("""COMPUTED_VALUE"""),253764525)</f>
        <v>253764525</v>
      </c>
      <c r="S185" s="19"/>
      <c r="T185" s="19"/>
      <c r="U185" s="19"/>
      <c r="V185" s="19"/>
      <c r="W185" s="20">
        <f ca="1">IFERROR(__xludf.DUMMYFUNCTION("""COMPUTED_VALUE"""),253764525)</f>
        <v>253764525</v>
      </c>
      <c r="X185" s="43" t="str">
        <f ca="1">IFERROR(__xludf.DUMMYFUNCTION("""COMPUTED_VALUE"""),"MUNICIPALIDAD DE CALERA")</f>
        <v>MUNICIPALIDAD DE CALERA</v>
      </c>
    </row>
    <row r="186" spans="1:24" ht="15.75" customHeight="1" x14ac:dyDescent="0.25">
      <c r="A186" s="16" t="str">
        <f ca="1">IFERROR(__xludf.DUMMYFUNCTION("""COMPUTED_VALUE""")," REGIÓN DE VALPARAÍSO ")</f>
        <v xml:space="preserve"> REGIÓN DE VALPARAÍSO </v>
      </c>
      <c r="B186" s="16" t="str">
        <f t="shared" ca="1" si="0"/>
        <v xml:space="preserve"> JUAN FERNÁNDEZ</v>
      </c>
      <c r="C186" s="16" t="str">
        <f ca="1">IFERROR(__xludf.DUMMYFUNCTION("""COMPUTED_VALUE""")," MEJORAMIENTO DE REDES DE DISTRIBUCIÓN DE AGUA COMUNAL, COMUNA DE JUAN FERNÁNDEZ ")</f>
        <v xml:space="preserve"> MEJORAMIENTO DE REDES DE DISTRIBUCIÓN DE AGUA COMUNAL, COMUNA DE JUAN FERNÁNDEZ </v>
      </c>
      <c r="D186" s="40" t="str">
        <f ca="1">IFERROR(__xludf.DUMMYFUNCTION("""COMPUTED_VALUE"""),"5104230702-C")</f>
        <v>5104230702-C</v>
      </c>
      <c r="E186" s="16" t="str">
        <f ca="1">IFERROR(__xludf.DUMMYFUNCTION("""COMPUTED_VALUE""")," En Ejecución ")</f>
        <v xml:space="preserve"> En Ejecución </v>
      </c>
      <c r="F186" s="41">
        <f ca="1">IFERROR(__xludf.DUMMYFUNCTION("""COMPUTED_VALUE"""),45526)</f>
        <v>45526</v>
      </c>
      <c r="G186" s="16">
        <f ca="1">IFERROR(__xludf.DUMMYFUNCTION("""COMPUTED_VALUE"""),190346608)</f>
        <v>190346608</v>
      </c>
      <c r="H186" s="16" t="str">
        <f ca="1">IFERROR(__xludf.DUMMYFUNCTION("""COMPUTED_VALUE""")," En Ejecución ")</f>
        <v xml:space="preserve"> En Ejecución </v>
      </c>
      <c r="I186" s="16">
        <f ca="1">IFERROR(__xludf.DUMMYFUNCTION("""COMPUTED_VALUE"""),190346608)</f>
        <v>190346608</v>
      </c>
      <c r="J186" s="83" t="s">
        <v>48</v>
      </c>
      <c r="K186" s="16"/>
      <c r="L186" s="16"/>
      <c r="M186" s="16"/>
      <c r="N186" s="19"/>
      <c r="O186" s="19"/>
      <c r="P186" s="19"/>
      <c r="Q186" s="19"/>
      <c r="R186" s="21">
        <f ca="1">IFERROR(__xludf.DUMMYFUNCTION("""COMPUTED_VALUE"""),190346608)</f>
        <v>190346608</v>
      </c>
      <c r="S186" s="19"/>
      <c r="T186" s="19"/>
      <c r="U186" s="19"/>
      <c r="V186" s="19"/>
      <c r="W186" s="20">
        <f ca="1">IFERROR(__xludf.DUMMYFUNCTION("""COMPUTED_VALUE"""),190346608)</f>
        <v>190346608</v>
      </c>
      <c r="X186" s="43" t="str">
        <f ca="1">IFERROR(__xludf.DUMMYFUNCTION("""COMPUTED_VALUE"""),"MUNICIPALIDAD DE JUAN FERNÁNDEZ")</f>
        <v>MUNICIPALIDAD DE JUAN FERNÁNDEZ</v>
      </c>
    </row>
    <row r="187" spans="1:24" ht="15.75" customHeight="1" x14ac:dyDescent="0.25">
      <c r="A187" s="16" t="str">
        <f ca="1">IFERROR(__xludf.DUMMYFUNCTION("""COMPUTED_VALUE""")," REGIÓN DE VALPARAÍSO ")</f>
        <v xml:space="preserve"> REGIÓN DE VALPARAÍSO </v>
      </c>
      <c r="B187" s="16" t="str">
        <f t="shared" ca="1" si="0"/>
        <v xml:space="preserve"> SAN ESTEBAN</v>
      </c>
      <c r="C187" s="16" t="str">
        <f ca="1">IFERROR(__xludf.DUMMYFUNCTION("""COMPUTED_VALUE""")," ALUMBRADO PÚBLICO RUTA E-755, COMUNA DE SAN ESTEBAN ")</f>
        <v xml:space="preserve"> ALUMBRADO PÚBLICO RUTA E-755, COMUNA DE SAN ESTEBAN </v>
      </c>
      <c r="D187" s="40" t="str">
        <f ca="1">IFERROR(__xludf.DUMMYFUNCTION("""COMPUTED_VALUE"""),"5304230705-C")</f>
        <v>5304230705-C</v>
      </c>
      <c r="E187" s="16" t="str">
        <f ca="1">IFERROR(__xludf.DUMMYFUNCTION("""COMPUTED_VALUE""")," En Ejecución ")</f>
        <v xml:space="preserve"> En Ejecución </v>
      </c>
      <c r="F187" s="41">
        <f ca="1">IFERROR(__xludf.DUMMYFUNCTION("""COMPUTED_VALUE"""),45512)</f>
        <v>45512</v>
      </c>
      <c r="G187" s="16">
        <f ca="1">IFERROR(__xludf.DUMMYFUNCTION("""COMPUTED_VALUE"""),222602114)</f>
        <v>222602114</v>
      </c>
      <c r="H187" s="16" t="str">
        <f ca="1">IFERROR(__xludf.DUMMYFUNCTION("""COMPUTED_VALUE""")," En Ejecución ")</f>
        <v xml:space="preserve"> En Ejecución </v>
      </c>
      <c r="I187" s="16">
        <f ca="1">IFERROR(__xludf.DUMMYFUNCTION("""COMPUTED_VALUE"""),222602114)</f>
        <v>222602114</v>
      </c>
      <c r="J187" s="83" t="s">
        <v>48</v>
      </c>
      <c r="K187" s="16"/>
      <c r="L187" s="16"/>
      <c r="M187" s="16"/>
      <c r="N187" s="19"/>
      <c r="O187" s="19"/>
      <c r="P187" s="19"/>
      <c r="Q187" s="19"/>
      <c r="R187" s="21">
        <f ca="1">IFERROR(__xludf.DUMMYFUNCTION("""COMPUTED_VALUE"""),222602114)</f>
        <v>222602114</v>
      </c>
      <c r="S187" s="19"/>
      <c r="T187" s="19"/>
      <c r="U187" s="19"/>
      <c r="V187" s="19"/>
      <c r="W187" s="20">
        <f ca="1">IFERROR(__xludf.DUMMYFUNCTION("""COMPUTED_VALUE"""),222602114)</f>
        <v>222602114</v>
      </c>
      <c r="X187" s="43" t="str">
        <f ca="1">IFERROR(__xludf.DUMMYFUNCTION("""COMPUTED_VALUE"""),"MUNICIPALIDAD DE SAN ESTEBAN")</f>
        <v>MUNICIPALIDAD DE SAN ESTEBAN</v>
      </c>
    </row>
    <row r="188" spans="1:24" ht="15.75" customHeight="1" x14ac:dyDescent="0.25">
      <c r="A188" s="16" t="str">
        <f ca="1">IFERROR(__xludf.DUMMYFUNCTION("""COMPUTED_VALUE""")," REGIÓN DEL LIBERTADOR GENERAL BERNARDO O’HIGGINS ")</f>
        <v xml:space="preserve"> REGIÓN DEL LIBERTADOR GENERAL BERNARDO O’HIGGINS </v>
      </c>
      <c r="B188" s="16" t="str">
        <f t="shared" ca="1" si="0"/>
        <v xml:space="preserve"> PEUMO</v>
      </c>
      <c r="C188" s="16" t="str">
        <f ca="1">IFERROR(__xludf.DUMMYFUNCTION("""COMPUTED_VALUE""")," IMPLEMENTACIÓN DE SISTEMA DE TELEMETRÍA Y CONTROL PARA SSR LA ESPERANZA Y SSR ROSARIO CODAO, COMUNA DE PEUMO, REGIÓN DE O’HIGGINS ")</f>
        <v xml:space="preserve"> IMPLEMENTACIÓN DE SISTEMA DE TELEMETRÍA Y CONTROL PARA SSR LA ESPERANZA Y SSR ROSARIO CODAO, COMUNA DE PEUMO, REGIÓN DE O’HIGGINS </v>
      </c>
      <c r="D188" s="40" t="str">
        <f ca="1">IFERROR(__xludf.DUMMYFUNCTION("""COMPUTED_VALUE"""),"6112230701-C")</f>
        <v>6112230701-C</v>
      </c>
      <c r="E188" s="16" t="str">
        <f ca="1">IFERROR(__xludf.DUMMYFUNCTION("""COMPUTED_VALUE""")," En Ejecución ")</f>
        <v xml:space="preserve"> En Ejecución </v>
      </c>
      <c r="F188" s="41">
        <f ca="1">IFERROR(__xludf.DUMMYFUNCTION("""COMPUTED_VALUE"""),45497)</f>
        <v>45497</v>
      </c>
      <c r="G188" s="16">
        <f ca="1">IFERROR(__xludf.DUMMYFUNCTION("""COMPUTED_VALUE"""),166070093)</f>
        <v>166070093</v>
      </c>
      <c r="H188" s="16" t="str">
        <f ca="1">IFERROR(__xludf.DUMMYFUNCTION("""COMPUTED_VALUE""")," En Ejecución ")</f>
        <v xml:space="preserve"> En Ejecución </v>
      </c>
      <c r="I188" s="16">
        <f ca="1">IFERROR(__xludf.DUMMYFUNCTION("""COMPUTED_VALUE"""),166070093)</f>
        <v>166070093</v>
      </c>
      <c r="J188" s="83" t="s">
        <v>48</v>
      </c>
      <c r="K188" s="16"/>
      <c r="L188" s="16"/>
      <c r="M188" s="16"/>
      <c r="N188" s="19"/>
      <c r="O188" s="19"/>
      <c r="P188" s="19"/>
      <c r="Q188" s="19"/>
      <c r="R188" s="21">
        <f ca="1">IFERROR(__xludf.DUMMYFUNCTION("""COMPUTED_VALUE"""),166070093)</f>
        <v>166070093</v>
      </c>
      <c r="S188" s="19"/>
      <c r="T188" s="19"/>
      <c r="U188" s="19"/>
      <c r="V188" s="19"/>
      <c r="W188" s="20">
        <f ca="1">IFERROR(__xludf.DUMMYFUNCTION("""COMPUTED_VALUE"""),166070093)</f>
        <v>166070093</v>
      </c>
      <c r="X188" s="43" t="str">
        <f ca="1">IFERROR(__xludf.DUMMYFUNCTION("""COMPUTED_VALUE"""),"MUNICIPALIDAD DE PEUMO")</f>
        <v>MUNICIPALIDAD DE PEUMO</v>
      </c>
    </row>
    <row r="189" spans="1:24" ht="15.75" customHeight="1" x14ac:dyDescent="0.25">
      <c r="A189" s="16" t="str">
        <f ca="1">IFERROR(__xludf.DUMMYFUNCTION("""COMPUTED_VALUE""")," REGIÓN DE LOS LAGOS ")</f>
        <v xml:space="preserve"> REGIÓN DE LOS LAGOS </v>
      </c>
      <c r="B189" s="16" t="str">
        <f t="shared" ca="1" si="0"/>
        <v xml:space="preserve"> QUELLÓN</v>
      </c>
      <c r="C189" s="16" t="str">
        <f ca="1">IFERROR(__xludf.DUMMYFUNCTION("""COMPUTED_VALUE""")," ASISTENCIA TECNICA PARA LA GESTION DE RESIDUOS SOLIDOS COMUNA DE QUELLÓN ")</f>
        <v xml:space="preserve"> ASISTENCIA TECNICA PARA LA GESTION DE RESIDUOS SOLIDOS COMUNA DE QUELLÓN </v>
      </c>
      <c r="D189" s="40" t="str">
        <f ca="1">IFERROR(__xludf.DUMMYFUNCTION("""COMPUTED_VALUE"""),"10208221003-C")</f>
        <v>10208221003-C</v>
      </c>
      <c r="E189" s="16" t="str">
        <f ca="1">IFERROR(__xludf.DUMMYFUNCTION("""COMPUTED_VALUE""")," En Ejecución ")</f>
        <v xml:space="preserve"> En Ejecución </v>
      </c>
      <c r="F189" s="41">
        <f ca="1">IFERROR(__xludf.DUMMYFUNCTION("""COMPUTED_VALUE"""),45525)</f>
        <v>45525</v>
      </c>
      <c r="G189" s="16">
        <f ca="1">IFERROR(__xludf.DUMMYFUNCTION("""COMPUTED_VALUE"""),30000000)</f>
        <v>30000000</v>
      </c>
      <c r="H189" s="16" t="str">
        <f ca="1">IFERROR(__xludf.DUMMYFUNCTION("""COMPUTED_VALUE""")," En Ejecución ")</f>
        <v xml:space="preserve"> En Ejecución </v>
      </c>
      <c r="I189" s="16">
        <f ca="1">IFERROR(__xludf.DUMMYFUNCTION("""COMPUTED_VALUE"""),30000000)</f>
        <v>30000000</v>
      </c>
      <c r="J189" s="83" t="s">
        <v>48</v>
      </c>
      <c r="K189" s="16"/>
      <c r="L189" s="16"/>
      <c r="M189" s="16"/>
      <c r="N189" s="19"/>
      <c r="O189" s="19"/>
      <c r="P189" s="19"/>
      <c r="Q189" s="19"/>
      <c r="R189" s="21">
        <f ca="1">IFERROR(__xludf.DUMMYFUNCTION("""COMPUTED_VALUE"""),30000000)</f>
        <v>30000000</v>
      </c>
      <c r="S189" s="19"/>
      <c r="T189" s="19"/>
      <c r="U189" s="19"/>
      <c r="V189" s="19"/>
      <c r="W189" s="20">
        <f ca="1">IFERROR(__xludf.DUMMYFUNCTION("""COMPUTED_VALUE"""),30000000)</f>
        <v>30000000</v>
      </c>
      <c r="X189" s="43" t="str">
        <f ca="1">IFERROR(__xludf.DUMMYFUNCTION("""COMPUTED_VALUE"""),"MUNICIPALIDAD DE QUELLÓN")</f>
        <v>MUNICIPALIDAD DE QUELLÓN</v>
      </c>
    </row>
    <row r="190" spans="1:24" ht="15.75" customHeight="1" x14ac:dyDescent="0.25">
      <c r="A190" s="16" t="str">
        <f ca="1">IFERROR(__xludf.DUMMYFUNCTION("""COMPUTED_VALUE""")," REGIÓN DE LOS RÍOS ")</f>
        <v xml:space="preserve"> REGIÓN DE LOS RÍOS </v>
      </c>
      <c r="B190" s="16" t="str">
        <f t="shared" ca="1" si="0"/>
        <v xml:space="preserve"> LA UNIÓN</v>
      </c>
      <c r="C190" s="16" t="str">
        <f ca="1">IFERROR(__xludf.DUMMYFUNCTION("""COMPUTED_VALUE""")," CONSTRUCCION ABASTOS DE AGUA SECTOR ALTO QUILACO ")</f>
        <v xml:space="preserve"> CONSTRUCCION ABASTOS DE AGUA SECTOR ALTO QUILACO </v>
      </c>
      <c r="D190" s="40" t="str">
        <f ca="1">IFERROR(__xludf.DUMMYFUNCTION("""COMPUTED_VALUE"""),"14201230701-C")</f>
        <v>14201230701-C</v>
      </c>
      <c r="E190" s="16" t="str">
        <f ca="1">IFERROR(__xludf.DUMMYFUNCTION("""COMPUTED_VALUE""")," En Ejecución ")</f>
        <v xml:space="preserve"> En Ejecución </v>
      </c>
      <c r="F190" s="41">
        <f ca="1">IFERROR(__xludf.DUMMYFUNCTION("""COMPUTED_VALUE"""),45511)</f>
        <v>45511</v>
      </c>
      <c r="G190" s="16">
        <f ca="1">IFERROR(__xludf.DUMMYFUNCTION("""COMPUTED_VALUE"""),287709281)</f>
        <v>287709281</v>
      </c>
      <c r="H190" s="16" t="str">
        <f ca="1">IFERROR(__xludf.DUMMYFUNCTION("""COMPUTED_VALUE""")," En Ejecución ")</f>
        <v xml:space="preserve"> En Ejecución </v>
      </c>
      <c r="I190" s="16">
        <f ca="1">IFERROR(__xludf.DUMMYFUNCTION("""COMPUTED_VALUE"""),287709281)</f>
        <v>287709281</v>
      </c>
      <c r="J190" s="83" t="s">
        <v>48</v>
      </c>
      <c r="K190" s="16"/>
      <c r="L190" s="16"/>
      <c r="M190" s="16"/>
      <c r="N190" s="19"/>
      <c r="O190" s="19"/>
      <c r="P190" s="19"/>
      <c r="Q190" s="19"/>
      <c r="R190" s="21">
        <f ca="1">IFERROR(__xludf.DUMMYFUNCTION("""COMPUTED_VALUE"""),287709281)</f>
        <v>287709281</v>
      </c>
      <c r="S190" s="19"/>
      <c r="T190" s="19"/>
      <c r="U190" s="19"/>
      <c r="V190" s="19"/>
      <c r="W190" s="20">
        <f ca="1">IFERROR(__xludf.DUMMYFUNCTION("""COMPUTED_VALUE"""),287709281)</f>
        <v>287709281</v>
      </c>
      <c r="X190" s="43" t="str">
        <f ca="1">IFERROR(__xludf.DUMMYFUNCTION("""COMPUTED_VALUE"""),"MUNICIPALIDAD DE LA UNIÓN")</f>
        <v>MUNICIPALIDAD DE LA UNIÓN</v>
      </c>
    </row>
    <row r="191" spans="1:24" ht="15.75" customHeight="1" x14ac:dyDescent="0.25">
      <c r="A191" s="16" t="str">
        <f ca="1">IFERROR(__xludf.DUMMYFUNCTION("""COMPUTED_VALUE""")," REGIÓN DE LOS LAGOS ")</f>
        <v xml:space="preserve"> REGIÓN DE LOS LAGOS </v>
      </c>
      <c r="B191" s="16" t="str">
        <f t="shared" ca="1" si="0"/>
        <v xml:space="preserve"> SAN JUAN DE LA COSTA</v>
      </c>
      <c r="C191" s="16" t="str">
        <f ca="1">IFERROR(__xludf.DUMMYFUNCTION("""COMPUTED_VALUE""")," ABASTECIMIENTO DE AGUA INDIVIDUAL CUINCO - HUACAMAPU, COMUNA DE SAN JUAN DE LA COSTA ")</f>
        <v xml:space="preserve"> ABASTECIMIENTO DE AGUA INDIVIDUAL CUINCO - HUACAMAPU, COMUNA DE SAN JUAN DE LA COSTA </v>
      </c>
      <c r="D191" s="40" t="str">
        <f ca="1">IFERROR(__xludf.DUMMYFUNCTION("""COMPUTED_VALUE"""),"10306230701-C")</f>
        <v>10306230701-C</v>
      </c>
      <c r="E191" s="16" t="str">
        <f ca="1">IFERROR(__xludf.DUMMYFUNCTION("""COMPUTED_VALUE""")," En Ejecución ")</f>
        <v xml:space="preserve"> En Ejecución </v>
      </c>
      <c r="F191" s="41">
        <f ca="1">IFERROR(__xludf.DUMMYFUNCTION("""COMPUTED_VALUE"""),45512)</f>
        <v>45512</v>
      </c>
      <c r="G191" s="16">
        <f ca="1">IFERROR(__xludf.DUMMYFUNCTION("""COMPUTED_VALUE"""),148565269)</f>
        <v>148565269</v>
      </c>
      <c r="H191" s="16" t="str">
        <f ca="1">IFERROR(__xludf.DUMMYFUNCTION("""COMPUTED_VALUE""")," En Ejecución ")</f>
        <v xml:space="preserve"> En Ejecución </v>
      </c>
      <c r="I191" s="16">
        <f ca="1">IFERROR(__xludf.DUMMYFUNCTION("""COMPUTED_VALUE"""),148565269)</f>
        <v>148565269</v>
      </c>
      <c r="J191" s="83" t="s">
        <v>48</v>
      </c>
      <c r="K191" s="16"/>
      <c r="L191" s="16"/>
      <c r="M191" s="16"/>
      <c r="N191" s="19"/>
      <c r="O191" s="19"/>
      <c r="P191" s="19"/>
      <c r="Q191" s="19"/>
      <c r="R191" s="21">
        <f ca="1">IFERROR(__xludf.DUMMYFUNCTION("""COMPUTED_VALUE"""),148565269)</f>
        <v>148565269</v>
      </c>
      <c r="S191" s="19"/>
      <c r="T191" s="19"/>
      <c r="U191" s="19"/>
      <c r="V191" s="19"/>
      <c r="W191" s="20">
        <f ca="1">IFERROR(__xludf.DUMMYFUNCTION("""COMPUTED_VALUE"""),148565269)</f>
        <v>148565269</v>
      </c>
      <c r="X191" s="43" t="str">
        <f ca="1">IFERROR(__xludf.DUMMYFUNCTION("""COMPUTED_VALUE"""),"MUNICIPALIDAD DE SAN JUAN DE LA COSTA")</f>
        <v>MUNICIPALIDAD DE SAN JUAN DE LA COSTA</v>
      </c>
    </row>
    <row r="192" spans="1:24" ht="15.75" customHeight="1" x14ac:dyDescent="0.25">
      <c r="A192" s="16" t="str">
        <f ca="1">IFERROR(__xludf.DUMMYFUNCTION("""COMPUTED_VALUE""")," REGIÓN DE LOS LAGOS ")</f>
        <v xml:space="preserve"> REGIÓN DE LOS LAGOS </v>
      </c>
      <c r="B192" s="16" t="str">
        <f t="shared" ca="1" si="0"/>
        <v xml:space="preserve"> SAN JUAN DE LA COSTA</v>
      </c>
      <c r="C192" s="16" t="str">
        <f ca="1">IFERROR(__xludf.DUMMYFUNCTION("""COMPUTED_VALUE""")," ABASTECIMIENTO DE AGUA INDIVIDUAL PURREHUIN BAJO-COMUIMO, COMUNA DE SAN JUAN DE LA COSTA ")</f>
        <v xml:space="preserve"> ABASTECIMIENTO DE AGUA INDIVIDUAL PURREHUIN BAJO-COMUIMO, COMUNA DE SAN JUAN DE LA COSTA </v>
      </c>
      <c r="D192" s="40" t="str">
        <f ca="1">IFERROR(__xludf.DUMMYFUNCTION("""COMPUTED_VALUE"""),"10306230702-C")</f>
        <v>10306230702-C</v>
      </c>
      <c r="E192" s="16" t="str">
        <f ca="1">IFERROR(__xludf.DUMMYFUNCTION("""COMPUTED_VALUE""")," En Ejecución ")</f>
        <v xml:space="preserve"> En Ejecución </v>
      </c>
      <c r="F192" s="41">
        <f ca="1">IFERROR(__xludf.DUMMYFUNCTION("""COMPUTED_VALUE"""),45512)</f>
        <v>45512</v>
      </c>
      <c r="G192" s="16">
        <f ca="1">IFERROR(__xludf.DUMMYFUNCTION("""COMPUTED_VALUE"""),213260211)</f>
        <v>213260211</v>
      </c>
      <c r="H192" s="16" t="str">
        <f ca="1">IFERROR(__xludf.DUMMYFUNCTION("""COMPUTED_VALUE""")," En Ejecución ")</f>
        <v xml:space="preserve"> En Ejecución </v>
      </c>
      <c r="I192" s="16">
        <f ca="1">IFERROR(__xludf.DUMMYFUNCTION("""COMPUTED_VALUE"""),213260211)</f>
        <v>213260211</v>
      </c>
      <c r="J192" s="83" t="s">
        <v>48</v>
      </c>
      <c r="K192" s="16"/>
      <c r="L192" s="16"/>
      <c r="M192" s="16"/>
      <c r="N192" s="19"/>
      <c r="O192" s="19"/>
      <c r="P192" s="19"/>
      <c r="Q192" s="19"/>
      <c r="R192" s="21">
        <f ca="1">IFERROR(__xludf.DUMMYFUNCTION("""COMPUTED_VALUE"""),213260211)</f>
        <v>213260211</v>
      </c>
      <c r="S192" s="19"/>
      <c r="T192" s="19"/>
      <c r="U192" s="19"/>
      <c r="V192" s="19"/>
      <c r="W192" s="20">
        <f ca="1">IFERROR(__xludf.DUMMYFUNCTION("""COMPUTED_VALUE"""),213260211)</f>
        <v>213260211</v>
      </c>
      <c r="X192" s="43" t="str">
        <f ca="1">IFERROR(__xludf.DUMMYFUNCTION("""COMPUTED_VALUE"""),"MUNICIPALIDAD DE SAN JUAN DE LA COSTA")</f>
        <v>MUNICIPALIDAD DE SAN JUAN DE LA COSTA</v>
      </c>
    </row>
    <row r="193" spans="1:24" ht="15.75" customHeight="1" x14ac:dyDescent="0.25">
      <c r="A193" s="16" t="str">
        <f ca="1">IFERROR(__xludf.DUMMYFUNCTION("""COMPUTED_VALUE""")," REGIÓN DE VALPARAÍSO ")</f>
        <v xml:space="preserve"> REGIÓN DE VALPARAÍSO </v>
      </c>
      <c r="B193" s="16" t="str">
        <f t="shared" ca="1" si="0"/>
        <v xml:space="preserve"> JUAN FERNÁNDEZ</v>
      </c>
      <c r="C193" s="16" t="str">
        <f ca="1">IFERROR(__xludf.DUMMYFUNCTION("""COMPUTED_VALUE""")," ESTUDIO HIDROGEOLOGICO Y DE MECANICA DE SUELOS, COMUNA DE JUAN FERNANDEZ ")</f>
        <v xml:space="preserve"> ESTUDIO HIDROGEOLOGICO Y DE MECANICA DE SUELOS, COMUNA DE JUAN FERNANDEZ </v>
      </c>
      <c r="D193" s="40" t="str">
        <f ca="1">IFERROR(__xludf.DUMMYFUNCTION("""COMPUTED_VALUE"""),"5104230402-C")</f>
        <v>5104230402-C</v>
      </c>
      <c r="E193" s="16" t="str">
        <f ca="1">IFERROR(__xludf.DUMMYFUNCTION("""COMPUTED_VALUE""")," En Ejecución ")</f>
        <v xml:space="preserve"> En Ejecución </v>
      </c>
      <c r="F193" s="41">
        <f ca="1">IFERROR(__xludf.DUMMYFUNCTION("""COMPUTED_VALUE"""),45533)</f>
        <v>45533</v>
      </c>
      <c r="G193" s="16">
        <f ca="1">IFERROR(__xludf.DUMMYFUNCTION("""COMPUTED_VALUE"""),47900000)</f>
        <v>47900000</v>
      </c>
      <c r="H193" s="16" t="str">
        <f ca="1">IFERROR(__xludf.DUMMYFUNCTION("""COMPUTED_VALUE""")," En Ejecución ")</f>
        <v xml:space="preserve"> En Ejecución </v>
      </c>
      <c r="I193" s="16">
        <f ca="1">IFERROR(__xludf.DUMMYFUNCTION("""COMPUTED_VALUE"""),47900000)</f>
        <v>47900000</v>
      </c>
      <c r="J193" s="83" t="s">
        <v>48</v>
      </c>
      <c r="K193" s="16"/>
      <c r="L193" s="16"/>
      <c r="M193" s="16"/>
      <c r="N193" s="19"/>
      <c r="O193" s="19"/>
      <c r="P193" s="19"/>
      <c r="Q193" s="19"/>
      <c r="R193" s="21">
        <f ca="1">IFERROR(__xludf.DUMMYFUNCTION("""COMPUTED_VALUE"""),47900000)</f>
        <v>47900000</v>
      </c>
      <c r="S193" s="19"/>
      <c r="T193" s="19"/>
      <c r="U193" s="19"/>
      <c r="V193" s="19"/>
      <c r="W193" s="20">
        <f ca="1">IFERROR(__xludf.DUMMYFUNCTION("""COMPUTED_VALUE"""),47900000)</f>
        <v>47900000</v>
      </c>
      <c r="X193" s="43" t="str">
        <f ca="1">IFERROR(__xludf.DUMMYFUNCTION("""COMPUTED_VALUE"""),"MUNICIPALIDAD DE JUAN FERNÁNDEZ")</f>
        <v>MUNICIPALIDAD DE JUAN FERNÁNDEZ</v>
      </c>
    </row>
    <row r="194" spans="1:24" ht="15.75" customHeight="1" x14ac:dyDescent="0.25">
      <c r="A194" s="16" t="str">
        <f ca="1">IFERROR(__xludf.DUMMYFUNCTION("""COMPUTED_VALUE""")," REGIÓN DE LOS LAGOS ")</f>
        <v xml:space="preserve"> REGIÓN DE LOS LAGOS </v>
      </c>
      <c r="B194" s="16" t="str">
        <f t="shared" ca="1" si="0"/>
        <v xml:space="preserve"> QUEILÉN</v>
      </c>
      <c r="C194" s="16" t="str">
        <f ca="1">IFERROR(__xludf.DUMMYFUNCTION("""COMPUTED_VALUE""")," SATE - PROGRAMA PILOTO COMPOSTAJE DOMICILIARIO COMUNA DE QUEILEN ")</f>
        <v xml:space="preserve"> SATE - PROGRAMA PILOTO COMPOSTAJE DOMICILIARIO COMUNA DE QUEILEN </v>
      </c>
      <c r="D194" s="40" t="str">
        <f ca="1">IFERROR(__xludf.DUMMYFUNCTION("""COMPUTED_VALUE"""),"10207231501-C")</f>
        <v>10207231501-C</v>
      </c>
      <c r="E194" s="16" t="str">
        <f ca="1">IFERROR(__xludf.DUMMYFUNCTION("""COMPUTED_VALUE""")," En Ejecución ")</f>
        <v xml:space="preserve"> En Ejecución </v>
      </c>
      <c r="F194" s="41">
        <f ca="1">IFERROR(__xludf.DUMMYFUNCTION("""COMPUTED_VALUE"""),45525)</f>
        <v>45525</v>
      </c>
      <c r="G194" s="16">
        <f ca="1">IFERROR(__xludf.DUMMYFUNCTION("""COMPUTED_VALUE"""),191292500)</f>
        <v>191292500</v>
      </c>
      <c r="H194" s="16" t="str">
        <f ca="1">IFERROR(__xludf.DUMMYFUNCTION("""COMPUTED_VALUE""")," En Ejecución ")</f>
        <v xml:space="preserve"> En Ejecución </v>
      </c>
      <c r="I194" s="16">
        <f ca="1">IFERROR(__xludf.DUMMYFUNCTION("""COMPUTED_VALUE"""),191292500)</f>
        <v>191292500</v>
      </c>
      <c r="J194" s="83" t="s">
        <v>48</v>
      </c>
      <c r="K194" s="16"/>
      <c r="L194" s="16"/>
      <c r="M194" s="16"/>
      <c r="N194" s="19"/>
      <c r="O194" s="19"/>
      <c r="P194" s="19"/>
      <c r="Q194" s="19"/>
      <c r="R194" s="21">
        <f ca="1">IFERROR(__xludf.DUMMYFUNCTION("""COMPUTED_VALUE"""),191292500)</f>
        <v>191292500</v>
      </c>
      <c r="S194" s="19"/>
      <c r="T194" s="19"/>
      <c r="U194" s="19"/>
      <c r="V194" s="19"/>
      <c r="W194" s="20">
        <f ca="1">IFERROR(__xludf.DUMMYFUNCTION("""COMPUTED_VALUE"""),191292500)</f>
        <v>191292500</v>
      </c>
      <c r="X194" s="43" t="str">
        <f ca="1">IFERROR(__xludf.DUMMYFUNCTION("""COMPUTED_VALUE"""),"MUNICIPALIDAD DE QUEILÉN")</f>
        <v>MUNICIPALIDAD DE QUEILÉN</v>
      </c>
    </row>
    <row r="195" spans="1:24" ht="15.75" customHeight="1" x14ac:dyDescent="0.25">
      <c r="A195" s="16" t="str">
        <f ca="1">IFERROR(__xludf.DUMMYFUNCTION("""COMPUTED_VALUE""")," REGIÓN DE LOS LAGOS ")</f>
        <v xml:space="preserve"> REGIÓN DE LOS LAGOS </v>
      </c>
      <c r="B195" s="16" t="str">
        <f t="shared" ca="1" si="0"/>
        <v xml:space="preserve"> CHONCHI</v>
      </c>
      <c r="C195" s="16" t="str">
        <f ca="1">IFERROR(__xludf.DUMMYFUNCTION("""COMPUTED_VALUE""")," MEJORAMIENTO SISTEMA DE IMPULSION ALCANTARILLADO LOTEO 98 VIVIENDAS SOCIALES ")</f>
        <v xml:space="preserve"> MEJORAMIENTO SISTEMA DE IMPULSION ALCANTARILLADO LOTEO 98 VIVIENDAS SOCIALES </v>
      </c>
      <c r="D195" s="40" t="str">
        <f ca="1">IFERROR(__xludf.DUMMYFUNCTION("""COMPUTED_VALUE"""),"10203240701-C")</f>
        <v>10203240701-C</v>
      </c>
      <c r="E195" s="16" t="str">
        <f ca="1">IFERROR(__xludf.DUMMYFUNCTION("""COMPUTED_VALUE""")," En Ejecución ")</f>
        <v xml:space="preserve"> En Ejecución </v>
      </c>
      <c r="F195" s="41">
        <f ca="1">IFERROR(__xludf.DUMMYFUNCTION("""COMPUTED_VALUE"""),45532)</f>
        <v>45532</v>
      </c>
      <c r="G195" s="16">
        <f ca="1">IFERROR(__xludf.DUMMYFUNCTION("""COMPUTED_VALUE"""),54550147)</f>
        <v>54550147</v>
      </c>
      <c r="H195" s="16" t="str">
        <f ca="1">IFERROR(__xludf.DUMMYFUNCTION("""COMPUTED_VALUE""")," En Ejecución ")</f>
        <v xml:space="preserve"> En Ejecución </v>
      </c>
      <c r="I195" s="16">
        <f ca="1">IFERROR(__xludf.DUMMYFUNCTION("""COMPUTED_VALUE"""),54550147)</f>
        <v>54550147</v>
      </c>
      <c r="J195" s="83" t="s">
        <v>48</v>
      </c>
      <c r="K195" s="16"/>
      <c r="L195" s="16"/>
      <c r="M195" s="16"/>
      <c r="N195" s="19"/>
      <c r="O195" s="19"/>
      <c r="P195" s="19"/>
      <c r="Q195" s="19"/>
      <c r="R195" s="21">
        <f ca="1">IFERROR(__xludf.DUMMYFUNCTION("""COMPUTED_VALUE"""),54550147)</f>
        <v>54550147</v>
      </c>
      <c r="S195" s="19"/>
      <c r="T195" s="19"/>
      <c r="U195" s="19"/>
      <c r="V195" s="19"/>
      <c r="W195" s="20">
        <f ca="1">IFERROR(__xludf.DUMMYFUNCTION("""COMPUTED_VALUE"""),54550147)</f>
        <v>54550147</v>
      </c>
      <c r="X195" s="43" t="str">
        <f ca="1">IFERROR(__xludf.DUMMYFUNCTION("""COMPUTED_VALUE"""),"MUNICIPALIDAD DE CHONCHI")</f>
        <v>MUNICIPALIDAD DE CHONCHI</v>
      </c>
    </row>
    <row r="196" spans="1:24" ht="15.75" customHeight="1" x14ac:dyDescent="0.25">
      <c r="A196" s="16" t="str">
        <f ca="1">IFERROR(__xludf.DUMMYFUNCTION("""COMPUTED_VALUE""")," REGIÓN METROPOLITANA ")</f>
        <v xml:space="preserve"> REGIÓN METROPOLITANA </v>
      </c>
      <c r="B196" s="16" t="str">
        <f t="shared" ca="1" si="0"/>
        <v xml:space="preserve"> QUINTA NORMAL</v>
      </c>
      <c r="C196" s="16" t="str">
        <f ca="1">IFERROR(__xludf.DUMMYFUNCTION("""COMPUTED_VALUE""")," CONSTRUCCION DE LA ILUMINACION PEATONAL COSTANERA SUR ")</f>
        <v xml:space="preserve"> CONSTRUCCION DE LA ILUMINACION PEATONAL COSTANERA SUR </v>
      </c>
      <c r="D196" s="40" t="str">
        <f ca="1">IFERROR(__xludf.DUMMYFUNCTION("""COMPUTED_VALUE"""),"13126240702-C")</f>
        <v>13126240702-C</v>
      </c>
      <c r="E196" s="16" t="str">
        <f ca="1">IFERROR(__xludf.DUMMYFUNCTION("""COMPUTED_VALUE""")," En Ejecución ")</f>
        <v xml:space="preserve"> En Ejecución </v>
      </c>
      <c r="F196" s="41">
        <f ca="1">IFERROR(__xludf.DUMMYFUNCTION("""COMPUTED_VALUE"""),45526)</f>
        <v>45526</v>
      </c>
      <c r="G196" s="16">
        <f ca="1">IFERROR(__xludf.DUMMYFUNCTION("""COMPUTED_VALUE"""),316989714)</f>
        <v>316989714</v>
      </c>
      <c r="H196" s="16" t="str">
        <f ca="1">IFERROR(__xludf.DUMMYFUNCTION("""COMPUTED_VALUE""")," En Ejecución ")</f>
        <v xml:space="preserve"> En Ejecución </v>
      </c>
      <c r="I196" s="16">
        <f ca="1">IFERROR(__xludf.DUMMYFUNCTION("""COMPUTED_VALUE"""),316989714)</f>
        <v>316989714</v>
      </c>
      <c r="J196" s="83" t="s">
        <v>48</v>
      </c>
      <c r="K196" s="16"/>
      <c r="L196" s="16"/>
      <c r="M196" s="16"/>
      <c r="N196" s="19"/>
      <c r="O196" s="19"/>
      <c r="P196" s="19"/>
      <c r="Q196" s="19"/>
      <c r="R196" s="21">
        <f ca="1">IFERROR(__xludf.DUMMYFUNCTION("""COMPUTED_VALUE"""),316989714)</f>
        <v>316989714</v>
      </c>
      <c r="S196" s="19"/>
      <c r="T196" s="19"/>
      <c r="U196" s="19"/>
      <c r="V196" s="19"/>
      <c r="W196" s="20">
        <f ca="1">IFERROR(__xludf.DUMMYFUNCTION("""COMPUTED_VALUE"""),316989714)</f>
        <v>316989714</v>
      </c>
      <c r="X196" s="43" t="str">
        <f ca="1">IFERROR(__xludf.DUMMYFUNCTION("""COMPUTED_VALUE"""),"MUNICIPALIDAD DE QUINTA NORMAL")</f>
        <v>MUNICIPALIDAD DE QUINTA NORMAL</v>
      </c>
    </row>
    <row r="197" spans="1:24" ht="15.75" customHeight="1" x14ac:dyDescent="0.25">
      <c r="A197" s="16" t="str">
        <f ca="1">IFERROR(__xludf.DUMMYFUNCTION("""COMPUTED_VALUE""")," REGIÓN DE LOS LAGOS ")</f>
        <v xml:space="preserve"> REGIÓN DE LOS LAGOS </v>
      </c>
      <c r="B197" s="16" t="str">
        <f t="shared" ca="1" si="0"/>
        <v xml:space="preserve"> PUERTO OCTAY</v>
      </c>
      <c r="C197" s="16" t="str">
        <f ca="1">IFERROR(__xludf.DUMMYFUNCTION("""COMPUTED_VALUE""")," INSPECCIÓN TÉCNICA PARA PROYECTO DE SANEAMIENTO SANITARIO EN EL SECTOR URBANO DE LA COMUNA DE PUERTO OCTAY ")</f>
        <v xml:space="preserve"> INSPECCIÓN TÉCNICA PARA PROYECTO DE SANEAMIENTO SANITARIO EN EL SECTOR URBANO DE LA COMUNA DE PUERTO OCTAY </v>
      </c>
      <c r="D197" s="40" t="str">
        <f ca="1">IFERROR(__xludf.DUMMYFUNCTION("""COMPUTED_VALUE"""),"10302230501-C")</f>
        <v>10302230501-C</v>
      </c>
      <c r="E197" s="16" t="str">
        <f ca="1">IFERROR(__xludf.DUMMYFUNCTION("""COMPUTED_VALUE""")," En Ejecución ")</f>
        <v xml:space="preserve"> En Ejecución </v>
      </c>
      <c r="F197" s="41">
        <f ca="1">IFERROR(__xludf.DUMMYFUNCTION("""COMPUTED_VALUE"""),45512)</f>
        <v>45512</v>
      </c>
      <c r="G197" s="16">
        <f ca="1">IFERROR(__xludf.DUMMYFUNCTION("""COMPUTED_VALUE"""),15750000)</f>
        <v>15750000</v>
      </c>
      <c r="H197" s="16" t="str">
        <f ca="1">IFERROR(__xludf.DUMMYFUNCTION("""COMPUTED_VALUE""")," En Ejecución ")</f>
        <v xml:space="preserve"> En Ejecución </v>
      </c>
      <c r="I197" s="16">
        <f ca="1">IFERROR(__xludf.DUMMYFUNCTION("""COMPUTED_VALUE"""),15750000)</f>
        <v>15750000</v>
      </c>
      <c r="J197" s="83" t="s">
        <v>48</v>
      </c>
      <c r="K197" s="16"/>
      <c r="L197" s="16"/>
      <c r="M197" s="16"/>
      <c r="N197" s="19"/>
      <c r="O197" s="19"/>
      <c r="P197" s="19"/>
      <c r="Q197" s="19"/>
      <c r="R197" s="21">
        <f ca="1">IFERROR(__xludf.DUMMYFUNCTION("""COMPUTED_VALUE"""),15750000)</f>
        <v>15750000</v>
      </c>
      <c r="S197" s="19"/>
      <c r="T197" s="19"/>
      <c r="U197" s="19"/>
      <c r="V197" s="19"/>
      <c r="W197" s="20">
        <f ca="1">IFERROR(__xludf.DUMMYFUNCTION("""COMPUTED_VALUE"""),15750000)</f>
        <v>15750000</v>
      </c>
      <c r="X197" s="43" t="str">
        <f ca="1">IFERROR(__xludf.DUMMYFUNCTION("""COMPUTED_VALUE"""),"MUNICIPALIDAD DE PUERTO OCTAY")</f>
        <v>MUNICIPALIDAD DE PUERTO OCTAY</v>
      </c>
    </row>
    <row r="198" spans="1:24" ht="15.75" customHeight="1" x14ac:dyDescent="0.25">
      <c r="A198" s="16" t="str">
        <f ca="1">IFERROR(__xludf.DUMMYFUNCTION("""COMPUTED_VALUE""")," REGIÓN DE LOS LAGOS ")</f>
        <v xml:space="preserve"> REGIÓN DE LOS LAGOS </v>
      </c>
      <c r="B198" s="16" t="str">
        <f t="shared" ca="1" si="0"/>
        <v xml:space="preserve"> PUERTO OCTAY</v>
      </c>
      <c r="C198" s="16" t="str">
        <f ca="1">IFERROR(__xludf.DUMMYFUNCTION("""COMPUTED_VALUE""")," MEJORAMIENTO Y REPOSICIÓN DE COLECTORES DE AS Y UD, CALLE GERMÁN WULF, ENTRE CALLE AMUNÁTEGUI E INDEPENDENCIA ")</f>
        <v xml:space="preserve"> MEJORAMIENTO Y REPOSICIÓN DE COLECTORES DE AS Y UD, CALLE GERMÁN WULF, ENTRE CALLE AMUNÁTEGUI E INDEPENDENCIA </v>
      </c>
      <c r="D198" s="40" t="str">
        <f ca="1">IFERROR(__xludf.DUMMYFUNCTION("""COMPUTED_VALUE"""),"10302240701-C")</f>
        <v>10302240701-C</v>
      </c>
      <c r="E198" s="16" t="str">
        <f ca="1">IFERROR(__xludf.DUMMYFUNCTION("""COMPUTED_VALUE""")," En Ejecución ")</f>
        <v xml:space="preserve"> En Ejecución </v>
      </c>
      <c r="F198" s="41">
        <f ca="1">IFERROR(__xludf.DUMMYFUNCTION("""COMPUTED_VALUE"""),45512)</f>
        <v>45512</v>
      </c>
      <c r="G198" s="16">
        <f ca="1">IFERROR(__xludf.DUMMYFUNCTION("""COMPUTED_VALUE"""),323206050)</f>
        <v>323206050</v>
      </c>
      <c r="H198" s="16" t="str">
        <f ca="1">IFERROR(__xludf.DUMMYFUNCTION("""COMPUTED_VALUE""")," En Ejecución ")</f>
        <v xml:space="preserve"> En Ejecución </v>
      </c>
      <c r="I198" s="16">
        <f ca="1">IFERROR(__xludf.DUMMYFUNCTION("""COMPUTED_VALUE"""),323206050)</f>
        <v>323206050</v>
      </c>
      <c r="J198" s="83" t="s">
        <v>48</v>
      </c>
      <c r="K198" s="16"/>
      <c r="L198" s="16"/>
      <c r="M198" s="16"/>
      <c r="N198" s="19"/>
      <c r="O198" s="19"/>
      <c r="P198" s="19"/>
      <c r="Q198" s="19"/>
      <c r="R198" s="21">
        <f ca="1">IFERROR(__xludf.DUMMYFUNCTION("""COMPUTED_VALUE"""),323206050)</f>
        <v>323206050</v>
      </c>
      <c r="S198" s="19"/>
      <c r="T198" s="19"/>
      <c r="U198" s="19"/>
      <c r="V198" s="19"/>
      <c r="W198" s="20">
        <f ca="1">IFERROR(__xludf.DUMMYFUNCTION("""COMPUTED_VALUE"""),323206050)</f>
        <v>323206050</v>
      </c>
      <c r="X198" s="43" t="str">
        <f ca="1">IFERROR(__xludf.DUMMYFUNCTION("""COMPUTED_VALUE"""),"MUNICIPALIDAD DE PUERTO OCTAY")</f>
        <v>MUNICIPALIDAD DE PUERTO OCTAY</v>
      </c>
    </row>
    <row r="199" spans="1:24" ht="15.75" customHeight="1" x14ac:dyDescent="0.25">
      <c r="A199" s="16" t="str">
        <f ca="1">IFERROR(__xludf.DUMMYFUNCTION("""COMPUTED_VALUE""")," REGIÓN DE ARICA Y PARINACOTA ")</f>
        <v xml:space="preserve"> REGIÓN DE ARICA Y PARINACOTA </v>
      </c>
      <c r="B199" s="16" t="str">
        <f t="shared" ca="1" si="0"/>
        <v xml:space="preserve"> ARICA</v>
      </c>
      <c r="C199" s="16" t="str">
        <f ca="1">IFERROR(__xludf.DUMMYFUNCTION("""COMPUTED_VALUE""")," ESTUDIO PARA LA OBTENCIÓN DE RCA CONFORME A ICSARA N° 2 DEL EIA DEL PROYECTO CTIR DE LA COMUNA DE ARICA ")</f>
        <v xml:space="preserve"> ESTUDIO PARA LA OBTENCIÓN DE RCA CONFORME A ICSARA N° 2 DEL EIA DEL PROYECTO CTIR DE LA COMUNA DE ARICA </v>
      </c>
      <c r="D199" s="40" t="str">
        <f ca="1">IFERROR(__xludf.DUMMYFUNCTION("""COMPUTED_VALUE"""),"15101240401-C")</f>
        <v>15101240401-C</v>
      </c>
      <c r="E199" s="16" t="str">
        <f ca="1">IFERROR(__xludf.DUMMYFUNCTION("""COMPUTED_VALUE""")," En Ejecución ")</f>
        <v xml:space="preserve"> En Ejecución </v>
      </c>
      <c r="F199" s="41">
        <f ca="1">IFERROR(__xludf.DUMMYFUNCTION("""COMPUTED_VALUE"""),45503)</f>
        <v>45503</v>
      </c>
      <c r="G199" s="16">
        <f ca="1">IFERROR(__xludf.DUMMYFUNCTION("""COMPUTED_VALUE"""),323300000)</f>
        <v>323300000</v>
      </c>
      <c r="H199" s="16" t="str">
        <f ca="1">IFERROR(__xludf.DUMMYFUNCTION("""COMPUTED_VALUE""")," En Ejecución ")</f>
        <v xml:space="preserve"> En Ejecución </v>
      </c>
      <c r="I199" s="16">
        <f ca="1">IFERROR(__xludf.DUMMYFUNCTION("""COMPUTED_VALUE"""),323300000)</f>
        <v>323300000</v>
      </c>
      <c r="J199" s="83" t="s">
        <v>48</v>
      </c>
      <c r="K199" s="16"/>
      <c r="L199" s="16"/>
      <c r="M199" s="16"/>
      <c r="N199" s="19"/>
      <c r="O199" s="19"/>
      <c r="P199" s="19"/>
      <c r="Q199" s="19"/>
      <c r="R199" s="21">
        <f ca="1">IFERROR(__xludf.DUMMYFUNCTION("""COMPUTED_VALUE"""),323300000)</f>
        <v>323300000</v>
      </c>
      <c r="S199" s="19"/>
      <c r="T199" s="19"/>
      <c r="U199" s="19"/>
      <c r="V199" s="19"/>
      <c r="W199" s="20">
        <f ca="1">IFERROR(__xludf.DUMMYFUNCTION("""COMPUTED_VALUE"""),323300000)</f>
        <v>323300000</v>
      </c>
      <c r="X199" s="43" t="str">
        <f ca="1">IFERROR(__xludf.DUMMYFUNCTION("""COMPUTED_VALUE"""),"MUNICIPALIDAD DE ARICA")</f>
        <v>MUNICIPALIDAD DE ARICA</v>
      </c>
    </row>
    <row r="200" spans="1:24" ht="15.75" customHeight="1" x14ac:dyDescent="0.25">
      <c r="A200" s="16" t="str">
        <f ca="1">IFERROR(__xludf.DUMMYFUNCTION("""COMPUTED_VALUE""")," REGIÓN DE LA ARAUCANÍA ")</f>
        <v xml:space="preserve"> REGIÓN DE LA ARAUCANÍA </v>
      </c>
      <c r="B200" s="16" t="str">
        <f t="shared" ca="1" si="0"/>
        <v xml:space="preserve"> TEODORO SCHMIDT</v>
      </c>
      <c r="C200" s="16" t="str">
        <f ca="1">IFERROR(__xludf.DUMMYFUNCTION("""COMPUTED_VALUE""")," ESTUDIO HIDROGEOLOGICO BELLAVISTA - QUILMER - ALTO CHELLE - EL PAJAL- LLOLLINCO - HUILIO- MOLCO- MOTROLHUE ")</f>
        <v xml:space="preserve"> ESTUDIO HIDROGEOLOGICO BELLAVISTA - QUILMER - ALTO CHELLE - EL PAJAL- LLOLLINCO - HUILIO- MOLCO- MOTROLHUE </v>
      </c>
      <c r="D200" s="40" t="str">
        <f ca="1">IFERROR(__xludf.DUMMYFUNCTION("""COMPUTED_VALUE"""),"9117230401-C")</f>
        <v>9117230401-C</v>
      </c>
      <c r="E200" s="16" t="str">
        <f ca="1">IFERROR(__xludf.DUMMYFUNCTION("""COMPUTED_VALUE""")," En Ejecución ")</f>
        <v xml:space="preserve"> En Ejecución </v>
      </c>
      <c r="F200" s="41">
        <f ca="1">IFERROR(__xludf.DUMMYFUNCTION("""COMPUTED_VALUE"""),45512)</f>
        <v>45512</v>
      </c>
      <c r="G200" s="16">
        <f ca="1">IFERROR(__xludf.DUMMYFUNCTION("""COMPUTED_VALUE"""),63434125)</f>
        <v>63434125</v>
      </c>
      <c r="H200" s="16" t="str">
        <f ca="1">IFERROR(__xludf.DUMMYFUNCTION("""COMPUTED_VALUE""")," En Ejecución ")</f>
        <v xml:space="preserve"> En Ejecución </v>
      </c>
      <c r="I200" s="16">
        <f ca="1">IFERROR(__xludf.DUMMYFUNCTION("""COMPUTED_VALUE"""),63434125)</f>
        <v>63434125</v>
      </c>
      <c r="J200" s="83" t="s">
        <v>48</v>
      </c>
      <c r="K200" s="16"/>
      <c r="L200" s="16"/>
      <c r="M200" s="16"/>
      <c r="N200" s="19"/>
      <c r="O200" s="19"/>
      <c r="P200" s="19"/>
      <c r="Q200" s="19"/>
      <c r="R200" s="21">
        <f ca="1">IFERROR(__xludf.DUMMYFUNCTION("""COMPUTED_VALUE"""),63434125)</f>
        <v>63434125</v>
      </c>
      <c r="S200" s="19"/>
      <c r="T200" s="19"/>
      <c r="U200" s="19"/>
      <c r="V200" s="19"/>
      <c r="W200" s="20">
        <f ca="1">IFERROR(__xludf.DUMMYFUNCTION("""COMPUTED_VALUE"""),63434125)</f>
        <v>63434125</v>
      </c>
      <c r="X200" s="43" t="str">
        <f ca="1">IFERROR(__xludf.DUMMYFUNCTION("""COMPUTED_VALUE"""),"MUNICIPALIDAD DE TEODORO SCHMIDT")</f>
        <v>MUNICIPALIDAD DE TEODORO SCHMIDT</v>
      </c>
    </row>
    <row r="201" spans="1:24" ht="15.75" customHeight="1" x14ac:dyDescent="0.25">
      <c r="A201" s="16" t="str">
        <f ca="1">IFERROR(__xludf.DUMMYFUNCTION("""COMPUTED_VALUE""")," REGIÓN DE MAGALLANES Y ANTÁRTICA CHILENA ")</f>
        <v xml:space="preserve"> REGIÓN DE MAGALLANES Y ANTÁRTICA CHILENA </v>
      </c>
      <c r="B201" s="16" t="str">
        <f t="shared" ca="1" si="0"/>
        <v xml:space="preserve"> NATALES</v>
      </c>
      <c r="C201" s="16" t="str">
        <f ca="1">IFERROR(__xludf.DUMMYFUNCTION("""COMPUTED_VALUE""")," CONSTRUCCIÓN CASETAS SANITARIAS SECTOR SUR URBANO, NATALES ")</f>
        <v xml:space="preserve"> CONSTRUCCIÓN CASETAS SANITARIAS SECTOR SUR URBANO, NATALES </v>
      </c>
      <c r="D201" s="40" t="str">
        <f ca="1">IFERROR(__xludf.DUMMYFUNCTION("""COMPUTED_VALUE"""),"12401230701-C")</f>
        <v>12401230701-C</v>
      </c>
      <c r="E201" s="16" t="str">
        <f ca="1">IFERROR(__xludf.DUMMYFUNCTION("""COMPUTED_VALUE""")," En Ejecución ")</f>
        <v xml:space="preserve"> En Ejecución </v>
      </c>
      <c r="F201" s="41">
        <f ca="1">IFERROR(__xludf.DUMMYFUNCTION("""COMPUTED_VALUE"""),45533)</f>
        <v>45533</v>
      </c>
      <c r="G201" s="16">
        <f ca="1">IFERROR(__xludf.DUMMYFUNCTION("""COMPUTED_VALUE"""),89310179)</f>
        <v>89310179</v>
      </c>
      <c r="H201" s="16" t="str">
        <f ca="1">IFERROR(__xludf.DUMMYFUNCTION("""COMPUTED_VALUE""")," En Ejecución ")</f>
        <v xml:space="preserve"> En Ejecución </v>
      </c>
      <c r="I201" s="16">
        <f ca="1">IFERROR(__xludf.DUMMYFUNCTION("""COMPUTED_VALUE"""),89310179)</f>
        <v>89310179</v>
      </c>
      <c r="J201" s="83" t="s">
        <v>48</v>
      </c>
      <c r="K201" s="16"/>
      <c r="L201" s="16"/>
      <c r="M201" s="16"/>
      <c r="N201" s="19"/>
      <c r="O201" s="19"/>
      <c r="P201" s="19"/>
      <c r="Q201" s="19"/>
      <c r="R201" s="21">
        <f ca="1">IFERROR(__xludf.DUMMYFUNCTION("""COMPUTED_VALUE"""),89310179)</f>
        <v>89310179</v>
      </c>
      <c r="S201" s="19"/>
      <c r="T201" s="19"/>
      <c r="U201" s="19"/>
      <c r="V201" s="19"/>
      <c r="W201" s="20">
        <f ca="1">IFERROR(__xludf.DUMMYFUNCTION("""COMPUTED_VALUE"""),89310179)</f>
        <v>89310179</v>
      </c>
      <c r="X201" s="43" t="str">
        <f ca="1">IFERROR(__xludf.DUMMYFUNCTION("""COMPUTED_VALUE"""),"MUNICIPALIDAD DE NATALES")</f>
        <v>MUNICIPALIDAD DE NATALES</v>
      </c>
    </row>
    <row r="202" spans="1:24" ht="15.75" customHeight="1" x14ac:dyDescent="0.25">
      <c r="A202" s="16" t="str">
        <f ca="1">IFERROR(__xludf.DUMMYFUNCTION("""COMPUTED_VALUE""")," REGIÓN METROPOLITANA ")</f>
        <v xml:space="preserve"> REGIÓN METROPOLITANA </v>
      </c>
      <c r="B202" s="16" t="str">
        <f t="shared" ca="1" si="0"/>
        <v xml:space="preserve"> ÑUÑOA</v>
      </c>
      <c r="C202" s="16" t="str">
        <f ca="1">IFERROR(__xludf.DUMMYFUNCTION("""COMPUTED_VALUE""")," MEJORAMIENTO DE ILUMINACIÓN CICLOVÍA DUBLE ALMEYDA ENTRE FERNÁNDEZ CONCHA Y LAS GARDENIAS COMUNA DE ÑUÑOA ")</f>
        <v xml:space="preserve"> MEJORAMIENTO DE ILUMINACIÓN CICLOVÍA DUBLE ALMEYDA ENTRE FERNÁNDEZ CONCHA Y LAS GARDENIAS COMUNA DE ÑUÑOA </v>
      </c>
      <c r="D202" s="40" t="str">
        <f ca="1">IFERROR(__xludf.DUMMYFUNCTION("""COMPUTED_VALUE"""),"13120230701-C")</f>
        <v>13120230701-C</v>
      </c>
      <c r="E202" s="16" t="str">
        <f ca="1">IFERROR(__xludf.DUMMYFUNCTION("""COMPUTED_VALUE""")," En Ejecución ")</f>
        <v xml:space="preserve"> En Ejecución </v>
      </c>
      <c r="F202" s="41">
        <f ca="1">IFERROR(__xludf.DUMMYFUNCTION("""COMPUTED_VALUE"""),45504)</f>
        <v>45504</v>
      </c>
      <c r="G202" s="16">
        <f ca="1">IFERROR(__xludf.DUMMYFUNCTION("""COMPUTED_VALUE"""),195786740)</f>
        <v>195786740</v>
      </c>
      <c r="H202" s="16" t="str">
        <f ca="1">IFERROR(__xludf.DUMMYFUNCTION("""COMPUTED_VALUE""")," En Ejecución ")</f>
        <v xml:space="preserve"> En Ejecución </v>
      </c>
      <c r="I202" s="16">
        <f ca="1">IFERROR(__xludf.DUMMYFUNCTION("""COMPUTED_VALUE"""),195786740)</f>
        <v>195786740</v>
      </c>
      <c r="J202" s="83" t="s">
        <v>48</v>
      </c>
      <c r="K202" s="16"/>
      <c r="L202" s="16"/>
      <c r="M202" s="16"/>
      <c r="N202" s="19"/>
      <c r="O202" s="19"/>
      <c r="P202" s="19"/>
      <c r="Q202" s="19"/>
      <c r="R202" s="21">
        <f ca="1">IFERROR(__xludf.DUMMYFUNCTION("""COMPUTED_VALUE"""),195786740)</f>
        <v>195786740</v>
      </c>
      <c r="S202" s="19"/>
      <c r="T202" s="19"/>
      <c r="U202" s="19"/>
      <c r="V202" s="19"/>
      <c r="W202" s="20">
        <f ca="1">IFERROR(__xludf.DUMMYFUNCTION("""COMPUTED_VALUE"""),195786740)</f>
        <v>195786740</v>
      </c>
      <c r="X202" s="43" t="str">
        <f ca="1">IFERROR(__xludf.DUMMYFUNCTION("""COMPUTED_VALUE"""),"MUNICIPALIDAD DE ÑUÑOA")</f>
        <v>MUNICIPALIDAD DE ÑUÑOA</v>
      </c>
    </row>
    <row r="203" spans="1:24" ht="15.75" customHeight="1" x14ac:dyDescent="0.25">
      <c r="A203" s="16" t="str">
        <f ca="1">IFERROR(__xludf.DUMMYFUNCTION("""COMPUTED_VALUE""")," REGIÓN DE LOS LAGOS ")</f>
        <v xml:space="preserve"> REGIÓN DE LOS LAGOS </v>
      </c>
      <c r="B203" s="16" t="str">
        <f t="shared" ca="1" si="0"/>
        <v xml:space="preserve"> FRUTILLAR</v>
      </c>
      <c r="C203" s="16" t="str">
        <f ca="1">IFERROR(__xludf.DUMMYFUNCTION("""COMPUTED_VALUE""")," CONSTRUCCIÓN EXTENSIÓN DE REDES DE AGUA POTABLE Y AGUAS SERVIDAS PASAJE VEGA, SECTOR PANTANOSA, COMUNA DE FRUTILLAR ")</f>
        <v xml:space="preserve"> CONSTRUCCIÓN EXTENSIÓN DE REDES DE AGUA POTABLE Y AGUAS SERVIDAS PASAJE VEGA, SECTOR PANTANOSA, COMUNA DE FRUTILLAR </v>
      </c>
      <c r="D203" s="40" t="str">
        <f ca="1">IFERROR(__xludf.DUMMYFUNCTION("""COMPUTED_VALUE"""),"10105240701-B")</f>
        <v>10105240701-B</v>
      </c>
      <c r="E203" s="16" t="str">
        <f ca="1">IFERROR(__xludf.DUMMYFUNCTION("""COMPUTED_VALUE""")," En Ejecución ")</f>
        <v xml:space="preserve"> En Ejecución </v>
      </c>
      <c r="F203" s="41">
        <f ca="1">IFERROR(__xludf.DUMMYFUNCTION("""COMPUTED_VALUE"""),45526)</f>
        <v>45526</v>
      </c>
      <c r="G203" s="16">
        <f ca="1">IFERROR(__xludf.DUMMYFUNCTION("""COMPUTED_VALUE"""),87033113)</f>
        <v>87033113</v>
      </c>
      <c r="H203" s="16" t="str">
        <f ca="1">IFERROR(__xludf.DUMMYFUNCTION("""COMPUTED_VALUE""")," En Ejecución ")</f>
        <v xml:space="preserve"> En Ejecución </v>
      </c>
      <c r="I203" s="16">
        <f ca="1">IFERROR(__xludf.DUMMYFUNCTION("""COMPUTED_VALUE"""),87033113)</f>
        <v>87033113</v>
      </c>
      <c r="J203" s="83" t="s">
        <v>48</v>
      </c>
      <c r="K203" s="16"/>
      <c r="L203" s="16"/>
      <c r="M203" s="16"/>
      <c r="N203" s="19"/>
      <c r="O203" s="19"/>
      <c r="P203" s="19"/>
      <c r="Q203" s="19"/>
      <c r="R203" s="21">
        <f ca="1">IFERROR(__xludf.DUMMYFUNCTION("""COMPUTED_VALUE"""),87033113)</f>
        <v>87033113</v>
      </c>
      <c r="S203" s="19"/>
      <c r="T203" s="19"/>
      <c r="U203" s="19"/>
      <c r="V203" s="19"/>
      <c r="W203" s="20">
        <f ca="1">IFERROR(__xludf.DUMMYFUNCTION("""COMPUTED_VALUE"""),87033113)</f>
        <v>87033113</v>
      </c>
      <c r="X203" s="43" t="str">
        <f ca="1">IFERROR(__xludf.DUMMYFUNCTION("""COMPUTED_VALUE"""),"MUNICIPALIDAD DE FRUTILLAR")</f>
        <v>MUNICIPALIDAD DE FRUTILLAR</v>
      </c>
    </row>
    <row r="204" spans="1:24" ht="15.75" customHeight="1" x14ac:dyDescent="0.25">
      <c r="A204" s="16" t="str">
        <f ca="1">IFERROR(__xludf.DUMMYFUNCTION("""COMPUTED_VALUE""")," REGIÓN DE LOS LAGOS ")</f>
        <v xml:space="preserve"> REGIÓN DE LOS LAGOS </v>
      </c>
      <c r="B204" s="16" t="str">
        <f t="shared" ca="1" si="0"/>
        <v xml:space="preserve"> PUERTO VARAS</v>
      </c>
      <c r="C204" s="16" t="str">
        <f ca="1">IFERROR(__xludf.DUMMYFUNCTION("""COMPUTED_VALUE""")," REPOSICIÓN SISTEMA FLOCULACIÓN Y LODOS PLANTA DE TRATAMIENTO NUEVA BRAUNAU, COMUNA DE PUERTO VARAS ")</f>
        <v xml:space="preserve"> REPOSICIÓN SISTEMA FLOCULACIÓN Y LODOS PLANTA DE TRATAMIENTO NUEVA BRAUNAU, COMUNA DE PUERTO VARAS </v>
      </c>
      <c r="D204" s="40" t="str">
        <f ca="1">IFERROR(__xludf.DUMMYFUNCTION("""COMPUTED_VALUE"""),"10109240701-B")</f>
        <v>10109240701-B</v>
      </c>
      <c r="E204" s="16" t="str">
        <f ca="1">IFERROR(__xludf.DUMMYFUNCTION("""COMPUTED_VALUE""")," En Ejecución ")</f>
        <v xml:space="preserve"> En Ejecución </v>
      </c>
      <c r="F204" s="41">
        <f ca="1">IFERROR(__xludf.DUMMYFUNCTION("""COMPUTED_VALUE"""),45526)</f>
        <v>45526</v>
      </c>
      <c r="G204" s="16">
        <f ca="1">IFERROR(__xludf.DUMMYFUNCTION("""COMPUTED_VALUE"""),87033113)</f>
        <v>87033113</v>
      </c>
      <c r="H204" s="16" t="str">
        <f ca="1">IFERROR(__xludf.DUMMYFUNCTION("""COMPUTED_VALUE""")," En Ejecución ")</f>
        <v xml:space="preserve"> En Ejecución </v>
      </c>
      <c r="I204" s="16">
        <f ca="1">IFERROR(__xludf.DUMMYFUNCTION("""COMPUTED_VALUE"""),87033113)</f>
        <v>87033113</v>
      </c>
      <c r="J204" s="83" t="s">
        <v>48</v>
      </c>
      <c r="K204" s="16"/>
      <c r="L204" s="16"/>
      <c r="M204" s="16"/>
      <c r="N204" s="19"/>
      <c r="O204" s="19"/>
      <c r="P204" s="19"/>
      <c r="Q204" s="19"/>
      <c r="R204" s="21">
        <f ca="1">IFERROR(__xludf.DUMMYFUNCTION("""COMPUTED_VALUE"""),87033113)</f>
        <v>87033113</v>
      </c>
      <c r="S204" s="19"/>
      <c r="T204" s="19"/>
      <c r="U204" s="19"/>
      <c r="V204" s="19"/>
      <c r="W204" s="20">
        <f ca="1">IFERROR(__xludf.DUMMYFUNCTION("""COMPUTED_VALUE"""),87033113)</f>
        <v>87033113</v>
      </c>
      <c r="X204" s="43" t="str">
        <f ca="1">IFERROR(__xludf.DUMMYFUNCTION("""COMPUTED_VALUE"""),"MUNICIPALIDAD DE PUERTO VARAS")</f>
        <v>MUNICIPALIDAD DE PUERTO VARAS</v>
      </c>
    </row>
    <row r="205" spans="1:24" ht="15.75" customHeight="1" x14ac:dyDescent="0.25">
      <c r="A205" s="16" t="str">
        <f ca="1">IFERROR(__xludf.DUMMYFUNCTION("""COMPUTED_VALUE""")," REGIÓN DE LOS LAGOS ")</f>
        <v xml:space="preserve"> REGIÓN DE LOS LAGOS </v>
      </c>
      <c r="B205" s="16" t="str">
        <f t="shared" ca="1" si="0"/>
        <v xml:space="preserve"> ANCUD</v>
      </c>
      <c r="C205" s="16" t="str">
        <f ca="1">IFERROR(__xludf.DUMMYFUNCTION("""COMPUTED_VALUE""")," CONSERVACION INSTALACIONES SANITARIAS POSTA COIPOMO Y POSTA LINAO ")</f>
        <v xml:space="preserve"> CONSERVACION INSTALACIONES SANITARIAS POSTA COIPOMO Y POSTA LINAO </v>
      </c>
      <c r="D205" s="40" t="str">
        <f ca="1">IFERROR(__xludf.DUMMYFUNCTION("""COMPUTED_VALUE"""),"10202240701-B")</f>
        <v>10202240701-B</v>
      </c>
      <c r="E205" s="16" t="str">
        <f ca="1">IFERROR(__xludf.DUMMYFUNCTION("""COMPUTED_VALUE""")," En Ejecución ")</f>
        <v xml:space="preserve"> En Ejecución </v>
      </c>
      <c r="F205" s="41">
        <f ca="1">IFERROR(__xludf.DUMMYFUNCTION("""COMPUTED_VALUE"""),45532)</f>
        <v>45532</v>
      </c>
      <c r="G205" s="16">
        <f ca="1">IFERROR(__xludf.DUMMYFUNCTION("""COMPUTED_VALUE"""),87033113)</f>
        <v>87033113</v>
      </c>
      <c r="H205" s="16" t="str">
        <f ca="1">IFERROR(__xludf.DUMMYFUNCTION("""COMPUTED_VALUE""")," En Ejecución ")</f>
        <v xml:space="preserve"> En Ejecución </v>
      </c>
      <c r="I205" s="16">
        <f ca="1">IFERROR(__xludf.DUMMYFUNCTION("""COMPUTED_VALUE"""),87033113)</f>
        <v>87033113</v>
      </c>
      <c r="J205" s="83" t="s">
        <v>48</v>
      </c>
      <c r="K205" s="16"/>
      <c r="L205" s="16"/>
      <c r="M205" s="16"/>
      <c r="N205" s="19"/>
      <c r="O205" s="19"/>
      <c r="P205" s="19"/>
      <c r="Q205" s="19"/>
      <c r="R205" s="21">
        <f ca="1">IFERROR(__xludf.DUMMYFUNCTION("""COMPUTED_VALUE"""),87033113)</f>
        <v>87033113</v>
      </c>
      <c r="S205" s="19"/>
      <c r="T205" s="19"/>
      <c r="U205" s="19"/>
      <c r="V205" s="19"/>
      <c r="W205" s="20">
        <f ca="1">IFERROR(__xludf.DUMMYFUNCTION("""COMPUTED_VALUE"""),87033113)</f>
        <v>87033113</v>
      </c>
      <c r="X205" s="43" t="str">
        <f ca="1">IFERROR(__xludf.DUMMYFUNCTION("""COMPUTED_VALUE"""),"MUNICIPALIDAD DE ANCUD")</f>
        <v>MUNICIPALIDAD DE ANCUD</v>
      </c>
    </row>
    <row r="206" spans="1:24" ht="15.75" customHeight="1" x14ac:dyDescent="0.25">
      <c r="A206" s="16" t="str">
        <f ca="1">IFERROR(__xludf.DUMMYFUNCTION("""COMPUTED_VALUE""")," REGIÓN DE LOS LAGOS ")</f>
        <v xml:space="preserve"> REGIÓN DE LOS LAGOS </v>
      </c>
      <c r="B206" s="16" t="str">
        <f t="shared" ca="1" si="0"/>
        <v xml:space="preserve"> CHONCHI</v>
      </c>
      <c r="C206" s="16" t="str">
        <f ca="1">IFERROR(__xludf.DUMMYFUNCTION("""COMPUTED_VALUE""")," MEJORAMIENTO SISTEMA DE SSR HUILLINCO Y SSR TARA, COMUNA DE CHONCHI ")</f>
        <v xml:space="preserve"> MEJORAMIENTO SISTEMA DE SSR HUILLINCO Y SSR TARA, COMUNA DE CHONCHI </v>
      </c>
      <c r="D206" s="40" t="str">
        <f ca="1">IFERROR(__xludf.DUMMYFUNCTION("""COMPUTED_VALUE"""),"10203240701-B")</f>
        <v>10203240701-B</v>
      </c>
      <c r="E206" s="16" t="str">
        <f ca="1">IFERROR(__xludf.DUMMYFUNCTION("""COMPUTED_VALUE""")," En Ejecución ")</f>
        <v xml:space="preserve"> En Ejecución </v>
      </c>
      <c r="F206" s="41">
        <f ca="1">IFERROR(__xludf.DUMMYFUNCTION("""COMPUTED_VALUE"""),45532)</f>
        <v>45532</v>
      </c>
      <c r="G206" s="16">
        <f ca="1">IFERROR(__xludf.DUMMYFUNCTION("""COMPUTED_VALUE"""),90000000)</f>
        <v>90000000</v>
      </c>
      <c r="H206" s="16" t="str">
        <f ca="1">IFERROR(__xludf.DUMMYFUNCTION("""COMPUTED_VALUE""")," En Ejecución ")</f>
        <v xml:space="preserve"> En Ejecución </v>
      </c>
      <c r="I206" s="16">
        <f ca="1">IFERROR(__xludf.DUMMYFUNCTION("""COMPUTED_VALUE"""),90000000)</f>
        <v>90000000</v>
      </c>
      <c r="J206" s="83" t="s">
        <v>48</v>
      </c>
      <c r="K206" s="16"/>
      <c r="L206" s="16"/>
      <c r="M206" s="16"/>
      <c r="N206" s="19"/>
      <c r="O206" s="19"/>
      <c r="P206" s="19"/>
      <c r="Q206" s="19"/>
      <c r="R206" s="21">
        <f ca="1">IFERROR(__xludf.DUMMYFUNCTION("""COMPUTED_VALUE"""),90000000)</f>
        <v>90000000</v>
      </c>
      <c r="S206" s="19"/>
      <c r="T206" s="19"/>
      <c r="U206" s="19"/>
      <c r="V206" s="19"/>
      <c r="W206" s="20">
        <f ca="1">IFERROR(__xludf.DUMMYFUNCTION("""COMPUTED_VALUE"""),90000000)</f>
        <v>90000000</v>
      </c>
      <c r="X206" s="43" t="str">
        <f ca="1">IFERROR(__xludf.DUMMYFUNCTION("""COMPUTED_VALUE"""),"MUNICIPALIDAD DE CHONCHI")</f>
        <v>MUNICIPALIDAD DE CHONCHI</v>
      </c>
    </row>
    <row r="207" spans="1:24" ht="15.75" customHeight="1" x14ac:dyDescent="0.25">
      <c r="A207" s="16" t="str">
        <f ca="1">IFERROR(__xludf.DUMMYFUNCTION("""COMPUTED_VALUE""")," REGIÓN DE LOS LAGOS ")</f>
        <v xml:space="preserve"> REGIÓN DE LOS LAGOS </v>
      </c>
      <c r="B207" s="16" t="str">
        <f t="shared" ca="1" si="0"/>
        <v xml:space="preserve"> PUQUELDÓN</v>
      </c>
      <c r="C207" s="16" t="str">
        <f ca="1">IFERROR(__xludf.DUMMYFUNCTION("""COMPUTED_VALUE""")," MEJORAMIENTO PLANTA DE TRATAMIENTO DE AGUAS SERVIDAS, SECTOR HUEÑOCO - COMUNA DE PUQUELDON ")</f>
        <v xml:space="preserve"> MEJORAMIENTO PLANTA DE TRATAMIENTO DE AGUAS SERVIDAS, SECTOR HUEÑOCO - COMUNA DE PUQUELDON </v>
      </c>
      <c r="D207" s="40" t="str">
        <f ca="1">IFERROR(__xludf.DUMMYFUNCTION("""COMPUTED_VALUE"""),"10206240701-B")</f>
        <v>10206240701-B</v>
      </c>
      <c r="E207" s="16" t="str">
        <f ca="1">IFERROR(__xludf.DUMMYFUNCTION("""COMPUTED_VALUE""")," En Ejecución ")</f>
        <v xml:space="preserve"> En Ejecución </v>
      </c>
      <c r="F207" s="41">
        <f ca="1">IFERROR(__xludf.DUMMYFUNCTION("""COMPUTED_VALUE"""),45533)</f>
        <v>45533</v>
      </c>
      <c r="G207" s="16">
        <f ca="1">IFERROR(__xludf.DUMMYFUNCTION("""COMPUTED_VALUE"""),90000000)</f>
        <v>90000000</v>
      </c>
      <c r="H207" s="16" t="str">
        <f ca="1">IFERROR(__xludf.DUMMYFUNCTION("""COMPUTED_VALUE""")," En Ejecución ")</f>
        <v xml:space="preserve"> En Ejecución </v>
      </c>
      <c r="I207" s="16">
        <f ca="1">IFERROR(__xludf.DUMMYFUNCTION("""COMPUTED_VALUE"""),90000000)</f>
        <v>90000000</v>
      </c>
      <c r="J207" s="83" t="s">
        <v>48</v>
      </c>
      <c r="K207" s="16"/>
      <c r="L207" s="16"/>
      <c r="M207" s="16"/>
      <c r="N207" s="19"/>
      <c r="O207" s="19"/>
      <c r="P207" s="19"/>
      <c r="Q207" s="19"/>
      <c r="R207" s="21">
        <f ca="1">IFERROR(__xludf.DUMMYFUNCTION("""COMPUTED_VALUE"""),90000000)</f>
        <v>90000000</v>
      </c>
      <c r="S207" s="19"/>
      <c r="T207" s="19"/>
      <c r="U207" s="19"/>
      <c r="V207" s="19"/>
      <c r="W207" s="20">
        <f ca="1">IFERROR(__xludf.DUMMYFUNCTION("""COMPUTED_VALUE"""),90000000)</f>
        <v>90000000</v>
      </c>
      <c r="X207" s="43" t="str">
        <f ca="1">IFERROR(__xludf.DUMMYFUNCTION("""COMPUTED_VALUE"""),"MUNICIPALIDAD DE PUQUELDÓN")</f>
        <v>MUNICIPALIDAD DE PUQUELDÓN</v>
      </c>
    </row>
    <row r="208" spans="1:24" ht="15.75" customHeight="1" x14ac:dyDescent="0.25">
      <c r="A208" s="16" t="str">
        <f ca="1">IFERROR(__xludf.DUMMYFUNCTION("""COMPUTED_VALUE""")," REGIÓN DEL BIOBÍO ")</f>
        <v xml:space="preserve"> REGIÓN DEL BIOBÍO </v>
      </c>
      <c r="B208" s="16" t="str">
        <f t="shared" ca="1" si="0"/>
        <v xml:space="preserve"> FLORIDA</v>
      </c>
      <c r="C208" s="16" t="str">
        <f ca="1">IFERROR(__xludf.DUMMYFUNCTION("""COMPUTED_VALUE""")," CONSTRUCCIÓN SISTEMAS APRI QUEBRADA DE ULLOA, COMUNA DE FLORIDA ")</f>
        <v xml:space="preserve"> CONSTRUCCIÓN SISTEMAS APRI QUEBRADA DE ULLOA, COMUNA DE FLORIDA </v>
      </c>
      <c r="D208" s="40" t="str">
        <f ca="1">IFERROR(__xludf.DUMMYFUNCTION("""COMPUTED_VALUE"""),"8104240701-B")</f>
        <v>8104240701-B</v>
      </c>
      <c r="E208" s="16" t="str">
        <f ca="1">IFERROR(__xludf.DUMMYFUNCTION("""COMPUTED_VALUE""")," En Ejecución ")</f>
        <v xml:space="preserve"> En Ejecución </v>
      </c>
      <c r="F208" s="41">
        <f ca="1">IFERROR(__xludf.DUMMYFUNCTION("""COMPUTED_VALUE"""),45533)</f>
        <v>45533</v>
      </c>
      <c r="G208" s="16">
        <f ca="1">IFERROR(__xludf.DUMMYFUNCTION("""COMPUTED_VALUE"""),151912601)</f>
        <v>151912601</v>
      </c>
      <c r="H208" s="16" t="str">
        <f ca="1">IFERROR(__xludf.DUMMYFUNCTION("""COMPUTED_VALUE""")," En Ejecución ")</f>
        <v xml:space="preserve"> En Ejecución </v>
      </c>
      <c r="I208" s="16">
        <f ca="1">IFERROR(__xludf.DUMMYFUNCTION("""COMPUTED_VALUE"""),151912601)</f>
        <v>151912601</v>
      </c>
      <c r="J208" s="83" t="s">
        <v>48</v>
      </c>
      <c r="K208" s="16"/>
      <c r="L208" s="16"/>
      <c r="M208" s="16"/>
      <c r="N208" s="19"/>
      <c r="O208" s="19"/>
      <c r="P208" s="19"/>
      <c r="Q208" s="19"/>
      <c r="R208" s="21">
        <f ca="1">IFERROR(__xludf.DUMMYFUNCTION("""COMPUTED_VALUE"""),151912601)</f>
        <v>151912601</v>
      </c>
      <c r="S208" s="19"/>
      <c r="T208" s="19"/>
      <c r="U208" s="19"/>
      <c r="V208" s="19"/>
      <c r="W208" s="20">
        <f ca="1">IFERROR(__xludf.DUMMYFUNCTION("""COMPUTED_VALUE"""),151912601)</f>
        <v>151912601</v>
      </c>
      <c r="X208" s="43" t="str">
        <f ca="1">IFERROR(__xludf.DUMMYFUNCTION("""COMPUTED_VALUE"""),"MUNICIPALIDAD DE FLORIDA")</f>
        <v>MUNICIPALIDAD DE FLORIDA</v>
      </c>
    </row>
    <row r="209" spans="1:24" ht="15.75" customHeight="1" x14ac:dyDescent="0.25">
      <c r="A209" s="16" t="str">
        <f ca="1">IFERROR(__xludf.DUMMYFUNCTION("""COMPUTED_VALUE""")," REGIÓN DEL BIOBÍO ")</f>
        <v xml:space="preserve"> REGIÓN DEL BIOBÍO </v>
      </c>
      <c r="B209" s="16" t="str">
        <f t="shared" ca="1" si="0"/>
        <v xml:space="preserve"> FLORIDA</v>
      </c>
      <c r="C209" s="16" t="str">
        <f ca="1">IFERROR(__xludf.DUMMYFUNCTION("""COMPUTED_VALUE""")," CONSTRUCCIÓN SISTEMAS APRI PANQUEHUA, COMUNA DE FLORIDA ")</f>
        <v xml:space="preserve"> CONSTRUCCIÓN SISTEMAS APRI PANQUEHUA, COMUNA DE FLORIDA </v>
      </c>
      <c r="D209" s="40" t="str">
        <f ca="1">IFERROR(__xludf.DUMMYFUNCTION("""COMPUTED_VALUE"""),"8104240702-B")</f>
        <v>8104240702-B</v>
      </c>
      <c r="E209" s="16" t="str">
        <f ca="1">IFERROR(__xludf.DUMMYFUNCTION("""COMPUTED_VALUE""")," En Ejecución ")</f>
        <v xml:space="preserve"> En Ejecución </v>
      </c>
      <c r="F209" s="41">
        <f ca="1">IFERROR(__xludf.DUMMYFUNCTION("""COMPUTED_VALUE"""),45526)</f>
        <v>45526</v>
      </c>
      <c r="G209" s="16">
        <f ca="1">IFERROR(__xludf.DUMMYFUNCTION("""COMPUTED_VALUE"""),112051948)</f>
        <v>112051948</v>
      </c>
      <c r="H209" s="16" t="str">
        <f ca="1">IFERROR(__xludf.DUMMYFUNCTION("""COMPUTED_VALUE""")," En Ejecución ")</f>
        <v xml:space="preserve"> En Ejecución </v>
      </c>
      <c r="I209" s="16">
        <f ca="1">IFERROR(__xludf.DUMMYFUNCTION("""COMPUTED_VALUE"""),112051948)</f>
        <v>112051948</v>
      </c>
      <c r="J209" s="83" t="s">
        <v>48</v>
      </c>
      <c r="K209" s="16"/>
      <c r="L209" s="16"/>
      <c r="M209" s="16"/>
      <c r="N209" s="19"/>
      <c r="O209" s="19"/>
      <c r="P209" s="19"/>
      <c r="Q209" s="19"/>
      <c r="R209" s="21">
        <f ca="1">IFERROR(__xludf.DUMMYFUNCTION("""COMPUTED_VALUE"""),112051948)</f>
        <v>112051948</v>
      </c>
      <c r="S209" s="19"/>
      <c r="T209" s="19"/>
      <c r="U209" s="19"/>
      <c r="V209" s="19"/>
      <c r="W209" s="20">
        <f ca="1">IFERROR(__xludf.DUMMYFUNCTION("""COMPUTED_VALUE"""),112051948)</f>
        <v>112051948</v>
      </c>
      <c r="X209" s="43" t="str">
        <f ca="1">IFERROR(__xludf.DUMMYFUNCTION("""COMPUTED_VALUE"""),"MUNICIPALIDAD DE FLORIDA")</f>
        <v>MUNICIPALIDAD DE FLORIDA</v>
      </c>
    </row>
    <row r="210" spans="1:24" ht="15.75" customHeight="1" x14ac:dyDescent="0.25">
      <c r="A210" s="16" t="str">
        <f ca="1">IFERROR(__xludf.DUMMYFUNCTION("""COMPUTED_VALUE""")," REGIÓN DEL BIOBÍO ")</f>
        <v xml:space="preserve"> REGIÓN DEL BIOBÍO </v>
      </c>
      <c r="B210" s="16" t="str">
        <f t="shared" ca="1" si="0"/>
        <v xml:space="preserve"> FLORIDA</v>
      </c>
      <c r="C210" s="16" t="str">
        <f ca="1">IFERROR(__xludf.DUMMYFUNCTION("""COMPUTED_VALUE""")," CONSTRUCCIÓN SISTEMAS APRI CRUCERO DE HUARO, COMUNA DE FLORIDA ")</f>
        <v xml:space="preserve"> CONSTRUCCIÓN SISTEMAS APRI CRUCERO DE HUARO, COMUNA DE FLORIDA </v>
      </c>
      <c r="D210" s="40" t="str">
        <f ca="1">IFERROR(__xludf.DUMMYFUNCTION("""COMPUTED_VALUE"""),"8104240703-B")</f>
        <v>8104240703-B</v>
      </c>
      <c r="E210" s="16" t="str">
        <f ca="1">IFERROR(__xludf.DUMMYFUNCTION("""COMPUTED_VALUE""")," En Ejecución ")</f>
        <v xml:space="preserve"> En Ejecución </v>
      </c>
      <c r="F210" s="41">
        <f ca="1">IFERROR(__xludf.DUMMYFUNCTION("""COMPUTED_VALUE"""),45526)</f>
        <v>45526</v>
      </c>
      <c r="G210" s="16">
        <f ca="1">IFERROR(__xludf.DUMMYFUNCTION("""COMPUTED_VALUE"""),175662760)</f>
        <v>175662760</v>
      </c>
      <c r="H210" s="16" t="str">
        <f ca="1">IFERROR(__xludf.DUMMYFUNCTION("""COMPUTED_VALUE""")," En Ejecución ")</f>
        <v xml:space="preserve"> En Ejecución </v>
      </c>
      <c r="I210" s="16">
        <f ca="1">IFERROR(__xludf.DUMMYFUNCTION("""COMPUTED_VALUE"""),175662760)</f>
        <v>175662760</v>
      </c>
      <c r="J210" s="83" t="s">
        <v>48</v>
      </c>
      <c r="K210" s="16"/>
      <c r="L210" s="16"/>
      <c r="M210" s="16"/>
      <c r="N210" s="19"/>
      <c r="O210" s="19"/>
      <c r="P210" s="19"/>
      <c r="Q210" s="19"/>
      <c r="R210" s="21">
        <f ca="1">IFERROR(__xludf.DUMMYFUNCTION("""COMPUTED_VALUE"""),175662760)</f>
        <v>175662760</v>
      </c>
      <c r="S210" s="19"/>
      <c r="T210" s="19"/>
      <c r="U210" s="19"/>
      <c r="V210" s="19"/>
      <c r="W210" s="20">
        <f ca="1">IFERROR(__xludf.DUMMYFUNCTION("""COMPUTED_VALUE"""),175662760)</f>
        <v>175662760</v>
      </c>
      <c r="X210" s="43" t="str">
        <f ca="1">IFERROR(__xludf.DUMMYFUNCTION("""COMPUTED_VALUE"""),"MUNICIPALIDAD DE FLORIDA")</f>
        <v>MUNICIPALIDAD DE FLORIDA</v>
      </c>
    </row>
    <row r="211" spans="1:24" ht="15.75" customHeight="1" x14ac:dyDescent="0.25">
      <c r="A211" s="16" t="str">
        <f ca="1">IFERROR(__xludf.DUMMYFUNCTION("""COMPUTED_VALUE""")," REGIÓN DEL BIOBÍO ")</f>
        <v xml:space="preserve"> REGIÓN DEL BIOBÍO </v>
      </c>
      <c r="B211" s="16" t="str">
        <f t="shared" ca="1" si="0"/>
        <v xml:space="preserve"> MULCHÉN</v>
      </c>
      <c r="C211" s="16" t="str">
        <f ca="1">IFERROR(__xludf.DUMMYFUNCTION("""COMPUTED_VALUE""")," CONSTRUCCIÓN DE SISTEMA COLECTIVO DE AGUA POTABLE RURAL SECTOR PILGUÉN, COMUNA DE MULCHÉN ")</f>
        <v xml:space="preserve"> CONSTRUCCIÓN DE SISTEMA COLECTIVO DE AGUA POTABLE RURAL SECTOR PILGUÉN, COMUNA DE MULCHÉN </v>
      </c>
      <c r="D211" s="40" t="str">
        <f ca="1">IFERROR(__xludf.DUMMYFUNCTION("""COMPUTED_VALUE"""),"8305240701-B")</f>
        <v>8305240701-B</v>
      </c>
      <c r="E211" s="16" t="str">
        <f ca="1">IFERROR(__xludf.DUMMYFUNCTION("""COMPUTED_VALUE""")," En Ejecución ")</f>
        <v xml:space="preserve"> En Ejecución </v>
      </c>
      <c r="F211" s="41">
        <f ca="1">IFERROR(__xludf.DUMMYFUNCTION("""COMPUTED_VALUE"""),45533)</f>
        <v>45533</v>
      </c>
      <c r="G211" s="16">
        <f ca="1">IFERROR(__xludf.DUMMYFUNCTION("""COMPUTED_VALUE"""),307944730)</f>
        <v>307944730</v>
      </c>
      <c r="H211" s="16" t="str">
        <f ca="1">IFERROR(__xludf.DUMMYFUNCTION("""COMPUTED_VALUE""")," En Ejecución ")</f>
        <v xml:space="preserve"> En Ejecución </v>
      </c>
      <c r="I211" s="16">
        <f ca="1">IFERROR(__xludf.DUMMYFUNCTION("""COMPUTED_VALUE"""),307944730)</f>
        <v>307944730</v>
      </c>
      <c r="J211" s="83" t="s">
        <v>48</v>
      </c>
      <c r="K211" s="16"/>
      <c r="L211" s="16"/>
      <c r="M211" s="16"/>
      <c r="N211" s="19"/>
      <c r="O211" s="19"/>
      <c r="P211" s="19"/>
      <c r="Q211" s="19"/>
      <c r="R211" s="21">
        <f ca="1">IFERROR(__xludf.DUMMYFUNCTION("""COMPUTED_VALUE"""),307944730)</f>
        <v>307944730</v>
      </c>
      <c r="S211" s="19"/>
      <c r="T211" s="19"/>
      <c r="U211" s="19"/>
      <c r="V211" s="19"/>
      <c r="W211" s="20">
        <f ca="1">IFERROR(__xludf.DUMMYFUNCTION("""COMPUTED_VALUE"""),307944730)</f>
        <v>307944730</v>
      </c>
      <c r="X211" s="43" t="str">
        <f ca="1">IFERROR(__xludf.DUMMYFUNCTION("""COMPUTED_VALUE"""),"MUNICIPALIDAD DE MULCHÉN")</f>
        <v>MUNICIPALIDAD DE MULCHÉN</v>
      </c>
    </row>
    <row r="212" spans="1:24" ht="15.75" customHeight="1" x14ac:dyDescent="0.25">
      <c r="A212" s="16" t="str">
        <f ca="1">IFERROR(__xludf.DUMMYFUNCTION("""COMPUTED_VALUE""")," REGIÓN DEL MAULE ")</f>
        <v xml:space="preserve"> REGIÓN DEL MAULE </v>
      </c>
      <c r="B212" s="16" t="str">
        <f t="shared" ca="1" si="0"/>
        <v xml:space="preserve"> YERBAS BUENAS</v>
      </c>
      <c r="C212" s="16" t="str">
        <f ca="1">IFERROR(__xludf.DUMMYFUNCTION("""COMPUTED_VALUE""")," ASISTENCIA LEGAL IMPLEMENTACIÓN LEY DE SERVICIOS SANITARIOS RURALES, SANEAMIENTO DE TÍTULOS DE DOMINIOS Y DERECHOS DE AGUAS, COMUNA DE YERBAS BUENAS ")</f>
        <v xml:space="preserve"> ASISTENCIA LEGAL IMPLEMENTACIÓN LEY DE SERVICIOS SANITARIOS RURALES, SANEAMIENTO DE TÍTULOS DE DOMINIOS Y DERECHOS DE AGUAS, COMUNA DE YERBAS BUENAS </v>
      </c>
      <c r="D212" s="40" t="str">
        <f ca="1">IFERROR(__xludf.DUMMYFUNCTION("""COMPUTED_VALUE"""),"7408240601-C")</f>
        <v>7408240601-C</v>
      </c>
      <c r="E212" s="16" t="str">
        <f ca="1">IFERROR(__xludf.DUMMYFUNCTION("""COMPUTED_VALUE""")," En Ejecución ")</f>
        <v xml:space="preserve"> En Ejecución </v>
      </c>
      <c r="F212" s="41">
        <f ca="1">IFERROR(__xludf.DUMMYFUNCTION("""COMPUTED_VALUE"""),45512)</f>
        <v>45512</v>
      </c>
      <c r="G212" s="16">
        <f ca="1">IFERROR(__xludf.DUMMYFUNCTION("""COMPUTED_VALUE"""),39000000)</f>
        <v>39000000</v>
      </c>
      <c r="H212" s="16" t="str">
        <f ca="1">IFERROR(__xludf.DUMMYFUNCTION("""COMPUTED_VALUE""")," En Ejecución ")</f>
        <v xml:space="preserve"> En Ejecución </v>
      </c>
      <c r="I212" s="16">
        <f ca="1">IFERROR(__xludf.DUMMYFUNCTION("""COMPUTED_VALUE"""),9750000)</f>
        <v>9750000</v>
      </c>
      <c r="J212" s="83" t="s">
        <v>48</v>
      </c>
      <c r="K212" s="16"/>
      <c r="L212" s="16"/>
      <c r="M212" s="16"/>
      <c r="N212" s="19"/>
      <c r="O212" s="19"/>
      <c r="P212" s="19"/>
      <c r="Q212" s="19"/>
      <c r="R212" s="21">
        <f ca="1">IFERROR(__xludf.DUMMYFUNCTION("""COMPUTED_VALUE"""),9750000)</f>
        <v>9750000</v>
      </c>
      <c r="S212" s="19"/>
      <c r="T212" s="19"/>
      <c r="U212" s="19"/>
      <c r="V212" s="19"/>
      <c r="W212" s="20">
        <f ca="1">IFERROR(__xludf.DUMMYFUNCTION("""COMPUTED_VALUE"""),9750000)</f>
        <v>9750000</v>
      </c>
      <c r="X212" s="43" t="str">
        <f ca="1">IFERROR(__xludf.DUMMYFUNCTION("""COMPUTED_VALUE"""),"MUNICIPALIDAD DE YERBAS BUENAS")</f>
        <v>MUNICIPALIDAD DE YERBAS BUENAS</v>
      </c>
    </row>
    <row r="213" spans="1:24" ht="15.75" customHeight="1" x14ac:dyDescent="0.25">
      <c r="A213" s="16" t="str">
        <f ca="1">IFERROR(__xludf.DUMMYFUNCTION("""COMPUTED_VALUE""")," REGIÓN DEL MAULE ")</f>
        <v xml:space="preserve"> REGIÓN DEL MAULE </v>
      </c>
      <c r="B213" s="16" t="str">
        <f t="shared" ca="1" si="0"/>
        <v xml:space="preserve"> TALCA</v>
      </c>
      <c r="C213" s="16" t="str">
        <f ca="1">IFERROR(__xludf.DUMMYFUNCTION("""COMPUTED_VALUE""")," ASISTENCIA LEGAL PARA REGULARIZACIÓN DE TERRENOS, COMUNA DE TALCA ")</f>
        <v xml:space="preserve"> ASISTENCIA LEGAL PARA REGULARIZACIÓN DE TERRENOS, COMUNA DE TALCA </v>
      </c>
      <c r="D213" s="40" t="str">
        <f ca="1">IFERROR(__xludf.DUMMYFUNCTION("""COMPUTED_VALUE"""),"7101220601-C")</f>
        <v>7101220601-C</v>
      </c>
      <c r="E213" s="16" t="str">
        <f ca="1">IFERROR(__xludf.DUMMYFUNCTION("""COMPUTED_VALUE""")," En Ejecución ")</f>
        <v xml:space="preserve"> En Ejecución </v>
      </c>
      <c r="F213" s="41">
        <f ca="1">IFERROR(__xludf.DUMMYFUNCTION("""COMPUTED_VALUE"""),44620)</f>
        <v>44620</v>
      </c>
      <c r="G213" s="16">
        <f ca="1">IFERROR(__xludf.DUMMYFUNCTION("""COMPUTED_VALUE"""),63000000)</f>
        <v>63000000</v>
      </c>
      <c r="H213" s="16" t="str">
        <f ca="1">IFERROR(__xludf.DUMMYFUNCTION("""COMPUTED_VALUE""")," En Ejecución ")</f>
        <v xml:space="preserve"> En Ejecución </v>
      </c>
      <c r="I213" s="16">
        <f ca="1">IFERROR(__xludf.DUMMYFUNCTION("""COMPUTED_VALUE"""),37800000)</f>
        <v>37800000</v>
      </c>
      <c r="J213" s="83" t="s">
        <v>48</v>
      </c>
      <c r="K213" s="16"/>
      <c r="L213" s="16"/>
      <c r="M213" s="16"/>
      <c r="N213" s="19"/>
      <c r="O213" s="19"/>
      <c r="P213" s="19"/>
      <c r="Q213" s="19"/>
      <c r="R213" s="21">
        <f ca="1">IFERROR(__xludf.DUMMYFUNCTION("""COMPUTED_VALUE"""),37800000)</f>
        <v>37800000</v>
      </c>
      <c r="S213" s="19"/>
      <c r="T213" s="19"/>
      <c r="U213" s="19"/>
      <c r="V213" s="19"/>
      <c r="W213" s="20">
        <f ca="1">IFERROR(__xludf.DUMMYFUNCTION("""COMPUTED_VALUE"""),37800000)</f>
        <v>37800000</v>
      </c>
      <c r="X213" s="43" t="str">
        <f ca="1">IFERROR(__xludf.DUMMYFUNCTION("""COMPUTED_VALUE"""),"MUNICIPALIDAD DE TALCA")</f>
        <v>MUNICIPALIDAD DE TALCA</v>
      </c>
    </row>
    <row r="214" spans="1:24" ht="15.75" customHeight="1" x14ac:dyDescent="0.25">
      <c r="A214" s="16" t="str">
        <f ca="1">IFERROR(__xludf.DUMMYFUNCTION("""COMPUTED_VALUE""")," REGIÓN DEL BIOBÍO ")</f>
        <v xml:space="preserve"> REGIÓN DEL BIOBÍO </v>
      </c>
      <c r="B214" s="16" t="str">
        <f t="shared" ca="1" si="0"/>
        <v xml:space="preserve"> CABRERO</v>
      </c>
      <c r="C214" s="16" t="str">
        <f ca="1">IFERROR(__xludf.DUMMYFUNCTION("""COMPUTED_VALUE""")," ASISTENCIA TÉCNICA PROYECTOS SANITARIOS, CABRERO ")</f>
        <v xml:space="preserve"> ASISTENCIA TÉCNICA PROYECTOS SANITARIOS, CABRERO </v>
      </c>
      <c r="D214" s="40" t="str">
        <f ca="1">IFERROR(__xludf.DUMMYFUNCTION("""COMPUTED_VALUE"""),"8303211001-C")</f>
        <v>8303211001-C</v>
      </c>
      <c r="E214" s="16" t="str">
        <f ca="1">IFERROR(__xludf.DUMMYFUNCTION("""COMPUTED_VALUE""")," En Ejecución ")</f>
        <v xml:space="preserve"> En Ejecución </v>
      </c>
      <c r="F214" s="41">
        <f ca="1">IFERROR(__xludf.DUMMYFUNCTION("""COMPUTED_VALUE"""),44862)</f>
        <v>44862</v>
      </c>
      <c r="G214" s="16">
        <f ca="1">IFERROR(__xludf.DUMMYFUNCTION("""COMPUTED_VALUE"""),59700000)</f>
        <v>59700000</v>
      </c>
      <c r="H214" s="16" t="str">
        <f ca="1">IFERROR(__xludf.DUMMYFUNCTION("""COMPUTED_VALUE""")," En Ejecución ")</f>
        <v xml:space="preserve"> En Ejecución </v>
      </c>
      <c r="I214" s="16">
        <f ca="1">IFERROR(__xludf.DUMMYFUNCTION("""COMPUTED_VALUE"""),7450000)</f>
        <v>7450000</v>
      </c>
      <c r="J214" s="83" t="s">
        <v>48</v>
      </c>
      <c r="K214" s="16"/>
      <c r="L214" s="16"/>
      <c r="M214" s="16"/>
      <c r="N214" s="19"/>
      <c r="O214" s="19"/>
      <c r="P214" s="19"/>
      <c r="Q214" s="19"/>
      <c r="R214" s="21">
        <f ca="1">IFERROR(__xludf.DUMMYFUNCTION("""COMPUTED_VALUE"""),7450000)</f>
        <v>7450000</v>
      </c>
      <c r="S214" s="19"/>
      <c r="T214" s="19"/>
      <c r="U214" s="19"/>
      <c r="V214" s="19"/>
      <c r="W214" s="20">
        <f ca="1">IFERROR(__xludf.DUMMYFUNCTION("""COMPUTED_VALUE"""),7450000)</f>
        <v>7450000</v>
      </c>
      <c r="X214" s="43" t="str">
        <f ca="1">IFERROR(__xludf.DUMMYFUNCTION("""COMPUTED_VALUE"""),"MUNICIPALIDAD DE CABRERO")</f>
        <v>MUNICIPALIDAD DE CABRERO</v>
      </c>
    </row>
    <row r="215" spans="1:24" ht="15.75" customHeight="1" x14ac:dyDescent="0.25">
      <c r="A215" s="16" t="str">
        <f ca="1">IFERROR(__xludf.DUMMYFUNCTION("""COMPUTED_VALUE""")," REGIÓN DEL MAULE ")</f>
        <v xml:space="preserve"> REGIÓN DEL MAULE </v>
      </c>
      <c r="B215" s="16" t="str">
        <f t="shared" ca="1" si="0"/>
        <v xml:space="preserve"> EMPEDRADO</v>
      </c>
      <c r="C215" s="16" t="str">
        <f ca="1">IFERROR(__xludf.DUMMYFUNCTION("""COMPUTED_VALUE""")," CONTRATACIÓN ASISTENCIA TÉCNICA ÁREA SANEAMIENTO SANITARIO DIVERSOS SECTORES DE COMUNA DE EMPEDRADO ")</f>
        <v xml:space="preserve"> CONTRATACIÓN ASISTENCIA TÉCNICA ÁREA SANEAMIENTO SANITARIO DIVERSOS SECTORES DE COMUNA DE EMPEDRADO </v>
      </c>
      <c r="D215" s="40" t="str">
        <f ca="1">IFERROR(__xludf.DUMMYFUNCTION("""COMPUTED_VALUE"""),"7104221001-C")</f>
        <v>7104221001-C</v>
      </c>
      <c r="E215" s="16" t="str">
        <f ca="1">IFERROR(__xludf.DUMMYFUNCTION("""COMPUTED_VALUE""")," En Ejecución ")</f>
        <v xml:space="preserve"> En Ejecución </v>
      </c>
      <c r="F215" s="41">
        <f ca="1">IFERROR(__xludf.DUMMYFUNCTION("""COMPUTED_VALUE"""),44862)</f>
        <v>44862</v>
      </c>
      <c r="G215" s="16">
        <f ca="1">IFERROR(__xludf.DUMMYFUNCTION("""COMPUTED_VALUE"""),72490608)</f>
        <v>72490608</v>
      </c>
      <c r="H215" s="16" t="str">
        <f ca="1">IFERROR(__xludf.DUMMYFUNCTION("""COMPUTED_VALUE""")," En Ejecución ")</f>
        <v xml:space="preserve"> En Ejecución </v>
      </c>
      <c r="I215" s="16">
        <f ca="1">IFERROR(__xludf.DUMMYFUNCTION("""COMPUTED_VALUE"""),18122652)</f>
        <v>18122652</v>
      </c>
      <c r="J215" s="83" t="s">
        <v>48</v>
      </c>
      <c r="K215" s="16"/>
      <c r="L215" s="16"/>
      <c r="M215" s="16"/>
      <c r="N215" s="19"/>
      <c r="O215" s="19"/>
      <c r="P215" s="19"/>
      <c r="Q215" s="19"/>
      <c r="R215" s="21">
        <f ca="1">IFERROR(__xludf.DUMMYFUNCTION("""COMPUTED_VALUE"""),18122652)</f>
        <v>18122652</v>
      </c>
      <c r="S215" s="19"/>
      <c r="T215" s="19"/>
      <c r="U215" s="19"/>
      <c r="V215" s="19"/>
      <c r="W215" s="20">
        <f ca="1">IFERROR(__xludf.DUMMYFUNCTION("""COMPUTED_VALUE"""),18122652)</f>
        <v>18122652</v>
      </c>
      <c r="X215" s="43" t="str">
        <f ca="1">IFERROR(__xludf.DUMMYFUNCTION("""COMPUTED_VALUE"""),"MUNICIPALIDAD DE EMPEDRADO")</f>
        <v>MUNICIPALIDAD DE EMPEDRADO</v>
      </c>
    </row>
    <row r="216" spans="1:24" ht="15.75" customHeight="1" x14ac:dyDescent="0.25">
      <c r="A216" s="16" t="str">
        <f ca="1">IFERROR(__xludf.DUMMYFUNCTION("""COMPUTED_VALUE""")," REGIÓN DEL BIOBÍO ")</f>
        <v xml:space="preserve"> REGIÓN DEL BIOBÍO </v>
      </c>
      <c r="B216" s="16" t="str">
        <f t="shared" ca="1" si="0"/>
        <v xml:space="preserve"> LOTA</v>
      </c>
      <c r="C216" s="16" t="str">
        <f ca="1">IFERROR(__xludf.DUMMYFUNCTION("""COMPUTED_VALUE""")," EXTENSIÓN RED AGUAS SERVIDAS CALLE USPALLATA, POBLACION BANNEN, LOTA ")</f>
        <v xml:space="preserve"> EXTENSIÓN RED AGUAS SERVIDAS CALLE USPALLATA, POBLACION BANNEN, LOTA </v>
      </c>
      <c r="D216" s="40" t="str">
        <f ca="1">IFERROR(__xludf.DUMMYFUNCTION("""COMPUTED_VALUE"""),"8106190701-C")</f>
        <v>8106190701-C</v>
      </c>
      <c r="E216" s="16" t="str">
        <f ca="1">IFERROR(__xludf.DUMMYFUNCTION("""COMPUTED_VALUE""")," En Ejecución ")</f>
        <v xml:space="preserve"> En Ejecución </v>
      </c>
      <c r="F216" s="41">
        <f ca="1">IFERROR(__xludf.DUMMYFUNCTION("""COMPUTED_VALUE"""),44117)</f>
        <v>44117</v>
      </c>
      <c r="G216" s="16">
        <f ca="1">IFERROR(__xludf.DUMMYFUNCTION("""COMPUTED_VALUE"""),59998580)</f>
        <v>59998580</v>
      </c>
      <c r="H216" s="16" t="str">
        <f ca="1">IFERROR(__xludf.DUMMYFUNCTION("""COMPUTED_VALUE""")," En Ejecución ")</f>
        <v xml:space="preserve"> En Ejecución </v>
      </c>
      <c r="I216" s="16">
        <f ca="1">IFERROR(__xludf.DUMMYFUNCTION("""COMPUTED_VALUE"""),32324255)</f>
        <v>32324255</v>
      </c>
      <c r="J216" s="83" t="s">
        <v>48</v>
      </c>
      <c r="K216" s="16"/>
      <c r="L216" s="16"/>
      <c r="M216" s="16"/>
      <c r="N216" s="19"/>
      <c r="O216" s="19"/>
      <c r="P216" s="19"/>
      <c r="Q216" s="19"/>
      <c r="R216" s="21">
        <f ca="1">IFERROR(__xludf.DUMMYFUNCTION("""COMPUTED_VALUE"""),32324255)</f>
        <v>32324255</v>
      </c>
      <c r="S216" s="19"/>
      <c r="T216" s="19"/>
      <c r="U216" s="19"/>
      <c r="V216" s="19"/>
      <c r="W216" s="20">
        <f ca="1">IFERROR(__xludf.DUMMYFUNCTION("""COMPUTED_VALUE"""),32324255)</f>
        <v>32324255</v>
      </c>
      <c r="X216" s="43" t="str">
        <f ca="1">IFERROR(__xludf.DUMMYFUNCTION("""COMPUTED_VALUE"""),"MUNICIPALIDAD DE LOTA")</f>
        <v>MUNICIPALIDAD DE LOTA</v>
      </c>
    </row>
    <row r="217" spans="1:24" ht="15.75" customHeight="1" x14ac:dyDescent="0.25">
      <c r="A217" s="16" t="str">
        <f ca="1">IFERROR(__xludf.DUMMYFUNCTION("""COMPUTED_VALUE""")," REGIÓN DE ÑUBLE ")</f>
        <v xml:space="preserve"> REGIÓN DE ÑUBLE </v>
      </c>
      <c r="B217" s="16" t="str">
        <f t="shared" ca="1" si="0"/>
        <v xml:space="preserve"> SAN FABIÁN</v>
      </c>
      <c r="C217" s="16" t="str">
        <f ca="1">IFERROR(__xludf.DUMMYFUNCTION("""COMPUTED_VALUE""")," INSTALACIÓN SISTEMAS PANELES SOLARES FOTOVOLTAICOS 6 VIVIENDAS SECTOR RURAL, COMUNA DE SAN FABIÁN ")</f>
        <v xml:space="preserve"> INSTALACIÓN SISTEMAS PANELES SOLARES FOTOVOLTAICOS 6 VIVIENDAS SECTOR RURAL, COMUNA DE SAN FABIÁN </v>
      </c>
      <c r="D217" s="40" t="str">
        <f ca="1">IFERROR(__xludf.DUMMYFUNCTION("""COMPUTED_VALUE"""),"16304210702-C")</f>
        <v>16304210702-C</v>
      </c>
      <c r="E217" s="16" t="str">
        <f ca="1">IFERROR(__xludf.DUMMYFUNCTION("""COMPUTED_VALUE""")," En Ejecución ")</f>
        <v xml:space="preserve"> En Ejecución </v>
      </c>
      <c r="F217" s="41">
        <f ca="1">IFERROR(__xludf.DUMMYFUNCTION("""COMPUTED_VALUE"""),44540)</f>
        <v>44540</v>
      </c>
      <c r="G217" s="16">
        <f ca="1">IFERROR(__xludf.DUMMYFUNCTION("""COMPUTED_VALUE"""),97810843)</f>
        <v>97810843</v>
      </c>
      <c r="H217" s="16" t="str">
        <f ca="1">IFERROR(__xludf.DUMMYFUNCTION("""COMPUTED_VALUE""")," En Ejecución ")</f>
        <v xml:space="preserve"> En Ejecución </v>
      </c>
      <c r="I217" s="16">
        <f ca="1">IFERROR(__xludf.DUMMYFUNCTION("""COMPUTED_VALUE"""),65467590)</f>
        <v>65467590</v>
      </c>
      <c r="J217" s="83" t="s">
        <v>48</v>
      </c>
      <c r="K217" s="16"/>
      <c r="L217" s="16"/>
      <c r="M217" s="16"/>
      <c r="N217" s="19"/>
      <c r="O217" s="19"/>
      <c r="P217" s="19"/>
      <c r="Q217" s="19"/>
      <c r="R217" s="21">
        <f ca="1">IFERROR(__xludf.DUMMYFUNCTION("""COMPUTED_VALUE"""),65467590)</f>
        <v>65467590</v>
      </c>
      <c r="S217" s="19"/>
      <c r="T217" s="19"/>
      <c r="U217" s="19"/>
      <c r="V217" s="19"/>
      <c r="W217" s="20">
        <f ca="1">IFERROR(__xludf.DUMMYFUNCTION("""COMPUTED_VALUE"""),65467590)</f>
        <v>65467590</v>
      </c>
      <c r="X217" s="43" t="str">
        <f ca="1">IFERROR(__xludf.DUMMYFUNCTION("""COMPUTED_VALUE"""),"MUNICIPALIDAD DE SAN FABIÁN")</f>
        <v>MUNICIPALIDAD DE SAN FABIÁN</v>
      </c>
    </row>
    <row r="218" spans="1:24" ht="15.75" customHeight="1" x14ac:dyDescent="0.25">
      <c r="A218" s="16" t="str">
        <f ca="1">IFERROR(__xludf.DUMMYFUNCTION("""COMPUTED_VALUE""")," REGIÓN DE ÑUBLE ")</f>
        <v xml:space="preserve"> REGIÓN DE ÑUBLE </v>
      </c>
      <c r="B218" s="16" t="str">
        <f t="shared" ca="1" si="0"/>
        <v xml:space="preserve"> SAN NICOLÁS</v>
      </c>
      <c r="C218" s="16" t="str">
        <f ca="1">IFERROR(__xludf.DUMMYFUNCTION("""COMPUTED_VALUE""")," CONSTRUCCIÓN EXTENSIÓN SISTEMA AGUA POTABLE RURAL SECTOR MONTEATRAVESADO PONIENTE ")</f>
        <v xml:space="preserve"> CONSTRUCCIÓN EXTENSIÓN SISTEMA AGUA POTABLE RURAL SECTOR MONTEATRAVESADO PONIENTE </v>
      </c>
      <c r="D218" s="40" t="str">
        <f ca="1">IFERROR(__xludf.DUMMYFUNCTION("""COMPUTED_VALUE"""),"16305190706-C [FET]")</f>
        <v>16305190706-C [FET]</v>
      </c>
      <c r="E218" s="16" t="str">
        <f ca="1">IFERROR(__xludf.DUMMYFUNCTION("""COMPUTED_VALUE""")," En Ejecución ")</f>
        <v xml:space="preserve"> En Ejecución </v>
      </c>
      <c r="F218" s="41">
        <f ca="1">IFERROR(__xludf.DUMMYFUNCTION("""COMPUTED_VALUE"""),44522)</f>
        <v>44522</v>
      </c>
      <c r="G218" s="16">
        <f ca="1">IFERROR(__xludf.DUMMYFUNCTION("""COMPUTED_VALUE"""),68639209)</f>
        <v>68639209</v>
      </c>
      <c r="H218" s="16" t="str">
        <f ca="1">IFERROR(__xludf.DUMMYFUNCTION("""COMPUTED_VALUE""")," En Ejecución ")</f>
        <v xml:space="preserve"> En Ejecución </v>
      </c>
      <c r="I218" s="16">
        <f ca="1">IFERROR(__xludf.DUMMYFUNCTION("""COMPUTED_VALUE"""),68639189)</f>
        <v>68639189</v>
      </c>
      <c r="J218" s="83" t="s">
        <v>48</v>
      </c>
      <c r="K218" s="16"/>
      <c r="L218" s="16"/>
      <c r="M218" s="16"/>
      <c r="N218" s="19"/>
      <c r="O218" s="19"/>
      <c r="P218" s="19"/>
      <c r="Q218" s="19"/>
      <c r="R218" s="21">
        <f ca="1">IFERROR(__xludf.DUMMYFUNCTION("""COMPUTED_VALUE"""),68639189)</f>
        <v>68639189</v>
      </c>
      <c r="S218" s="19"/>
      <c r="T218" s="19"/>
      <c r="U218" s="19"/>
      <c r="V218" s="19"/>
      <c r="W218" s="20">
        <f ca="1">IFERROR(__xludf.DUMMYFUNCTION("""COMPUTED_VALUE"""),68639189)</f>
        <v>68639189</v>
      </c>
      <c r="X218" s="43" t="str">
        <f ca="1">IFERROR(__xludf.DUMMYFUNCTION("""COMPUTED_VALUE"""),"MUNICIPALIDAD DE SAN NICOLÁS")</f>
        <v>MUNICIPALIDAD DE SAN NICOLÁS</v>
      </c>
    </row>
    <row r="219" spans="1:24" ht="15.75" customHeight="1" x14ac:dyDescent="0.25">
      <c r="A219" s="16" t="str">
        <f ca="1">IFERROR(__xludf.DUMMYFUNCTION("""COMPUTED_VALUE""")," REGIÓN DEL MAULE ")</f>
        <v xml:space="preserve"> REGIÓN DEL MAULE </v>
      </c>
      <c r="B219" s="16" t="str">
        <f t="shared" ca="1" si="0"/>
        <v xml:space="preserve"> PENCAHUE</v>
      </c>
      <c r="C219" s="16" t="str">
        <f ca="1">IFERROR(__xludf.DUMMYFUNCTION("""COMPUTED_VALUE""")," ASISTENCIA LEGAL, COMUNA DE PENCAHUE ")</f>
        <v xml:space="preserve"> ASISTENCIA LEGAL, COMUNA DE PENCAHUE </v>
      </c>
      <c r="D219" s="40" t="str">
        <f ca="1">IFERROR(__xludf.DUMMYFUNCTION("""COMPUTED_VALUE"""),"7107230601-C")</f>
        <v>7107230601-C</v>
      </c>
      <c r="E219" s="16" t="str">
        <f ca="1">IFERROR(__xludf.DUMMYFUNCTION("""COMPUTED_VALUE""")," En Ejecución ")</f>
        <v xml:space="preserve"> En Ejecución </v>
      </c>
      <c r="F219" s="41">
        <f ca="1">IFERROR(__xludf.DUMMYFUNCTION("""COMPUTED_VALUE"""),45093)</f>
        <v>45093</v>
      </c>
      <c r="G219" s="16">
        <f ca="1">IFERROR(__xludf.DUMMYFUNCTION("""COMPUTED_VALUE"""),44400000)</f>
        <v>44400000</v>
      </c>
      <c r="H219" s="16" t="str">
        <f ca="1">IFERROR(__xludf.DUMMYFUNCTION("""COMPUTED_VALUE""")," En Ejecución ")</f>
        <v xml:space="preserve"> En Ejecución </v>
      </c>
      <c r="I219" s="16">
        <f ca="1">IFERROR(__xludf.DUMMYFUNCTION("""COMPUTED_VALUE"""),11100000)</f>
        <v>11100000</v>
      </c>
      <c r="J219" s="83" t="s">
        <v>48</v>
      </c>
      <c r="K219" s="16"/>
      <c r="L219" s="16"/>
      <c r="M219" s="16"/>
      <c r="N219" s="19"/>
      <c r="O219" s="19"/>
      <c r="P219" s="19"/>
      <c r="Q219" s="19"/>
      <c r="R219" s="21">
        <f ca="1">IFERROR(__xludf.DUMMYFUNCTION("""COMPUTED_VALUE"""),11100000)</f>
        <v>11100000</v>
      </c>
      <c r="S219" s="19"/>
      <c r="T219" s="19"/>
      <c r="U219" s="19"/>
      <c r="V219" s="19"/>
      <c r="W219" s="20">
        <f ca="1">IFERROR(__xludf.DUMMYFUNCTION("""COMPUTED_VALUE"""),11100000)</f>
        <v>11100000</v>
      </c>
      <c r="X219" s="43" t="str">
        <f ca="1">IFERROR(__xludf.DUMMYFUNCTION("""COMPUTED_VALUE"""),"MUNICIPALIDAD DE PENCAHUE")</f>
        <v>MUNICIPALIDAD DE PENCAHUE</v>
      </c>
    </row>
    <row r="220" spans="1:24" ht="15.75" customHeight="1" x14ac:dyDescent="0.25">
      <c r="A220" s="16" t="str">
        <f ca="1">IFERROR(__xludf.DUMMYFUNCTION("""COMPUTED_VALUE""")," REGIÓN DEL MAULE ")</f>
        <v xml:space="preserve"> REGIÓN DEL MAULE </v>
      </c>
      <c r="B220" s="16" t="str">
        <f t="shared" ca="1" si="0"/>
        <v xml:space="preserve"> ROMERAL</v>
      </c>
      <c r="C220" s="16" t="str">
        <f ca="1">IFERROR(__xludf.DUMMYFUNCTION("""COMPUTED_VALUE""")," MEJORAMIENTO Y AMPLIACION DE REDES DE ALUMBRADO PUBLICO Y DISEÑO DE PROYECTOS DE EFICIENCIA ENERGETICA EN EQUIPAMIENTO COMUNAL, COMUNA DE ROMERAL ")</f>
        <v xml:space="preserve"> MEJORAMIENTO Y AMPLIACION DE REDES DE ALUMBRADO PUBLICO Y DISEÑO DE PROYECTOS DE EFICIENCIA ENERGETICA EN EQUIPAMIENTO COMUNAL, COMUNA DE ROMERAL </v>
      </c>
      <c r="D220" s="40" t="str">
        <f ca="1">IFERROR(__xludf.DUMMYFUNCTION("""COMPUTED_VALUE"""),"7306231001-C")</f>
        <v>7306231001-C</v>
      </c>
      <c r="E220" s="16" t="str">
        <f ca="1">IFERROR(__xludf.DUMMYFUNCTION("""COMPUTED_VALUE""")," En Ejecución ")</f>
        <v xml:space="preserve"> En Ejecución </v>
      </c>
      <c r="F220" s="41">
        <f ca="1">IFERROR(__xludf.DUMMYFUNCTION("""COMPUTED_VALUE"""),45128)</f>
        <v>45128</v>
      </c>
      <c r="G220" s="16">
        <f ca="1">IFERROR(__xludf.DUMMYFUNCTION("""COMPUTED_VALUE"""),52800000)</f>
        <v>52800000</v>
      </c>
      <c r="H220" s="16" t="str">
        <f ca="1">IFERROR(__xludf.DUMMYFUNCTION("""COMPUTED_VALUE""")," En Ejecución ")</f>
        <v xml:space="preserve"> En Ejecución </v>
      </c>
      <c r="I220" s="16">
        <f ca="1">IFERROR(__xludf.DUMMYFUNCTION("""COMPUTED_VALUE"""),15000000)</f>
        <v>15000000</v>
      </c>
      <c r="J220" s="83" t="s">
        <v>48</v>
      </c>
      <c r="K220" s="16"/>
      <c r="L220" s="16"/>
      <c r="M220" s="16"/>
      <c r="N220" s="19"/>
      <c r="O220" s="19"/>
      <c r="P220" s="19"/>
      <c r="Q220" s="19"/>
      <c r="R220" s="21">
        <f ca="1">IFERROR(__xludf.DUMMYFUNCTION("""COMPUTED_VALUE"""),15000000)</f>
        <v>15000000</v>
      </c>
      <c r="S220" s="19"/>
      <c r="T220" s="19"/>
      <c r="U220" s="19"/>
      <c r="V220" s="19"/>
      <c r="W220" s="20">
        <f ca="1">IFERROR(__xludf.DUMMYFUNCTION("""COMPUTED_VALUE"""),15000000)</f>
        <v>15000000</v>
      </c>
      <c r="X220" s="43" t="str">
        <f ca="1">IFERROR(__xludf.DUMMYFUNCTION("""COMPUTED_VALUE"""),"MUNICIPALIDAD DE ROMERAL")</f>
        <v>MUNICIPALIDAD DE ROMERAL</v>
      </c>
    </row>
    <row r="221" spans="1:24" ht="15.75" customHeight="1" x14ac:dyDescent="0.25">
      <c r="A221" s="16" t="str">
        <f ca="1">IFERROR(__xludf.DUMMYFUNCTION("""COMPUTED_VALUE""")," REGIÓN DE LOS LAGOS ")</f>
        <v xml:space="preserve"> REGIÓN DE LOS LAGOS </v>
      </c>
      <c r="B221" s="16" t="str">
        <f t="shared" ca="1" si="0"/>
        <v xml:space="preserve"> CHONCHI</v>
      </c>
      <c r="C221" s="16" t="str">
        <f ca="1">IFERROR(__xludf.DUMMYFUNCTION("""COMPUTED_VALUE""")," EXTENSIÓN REDES DE ALCANTARILLADO CALLE SARGENTO CANDELARIA PARTE I, COMUNA DE CHONCHI ")</f>
        <v xml:space="preserve"> EXTENSIÓN REDES DE ALCANTARILLADO CALLE SARGENTO CANDELARIA PARTE I, COMUNA DE CHONCHI </v>
      </c>
      <c r="D221" s="40" t="str">
        <f ca="1">IFERROR(__xludf.DUMMYFUNCTION("""COMPUTED_VALUE"""),"10203220703-C")</f>
        <v>10203220703-C</v>
      </c>
      <c r="E221" s="16" t="str">
        <f ca="1">IFERROR(__xludf.DUMMYFUNCTION("""COMPUTED_VALUE""")," En Ejecución ")</f>
        <v xml:space="preserve"> En Ejecución </v>
      </c>
      <c r="F221" s="41">
        <f ca="1">IFERROR(__xludf.DUMMYFUNCTION("""COMPUTED_VALUE"""),44918)</f>
        <v>44918</v>
      </c>
      <c r="G221" s="16">
        <f ca="1">IFERROR(__xludf.DUMMYFUNCTION("""COMPUTED_VALUE"""),68258324)</f>
        <v>68258324</v>
      </c>
      <c r="H221" s="16" t="str">
        <f ca="1">IFERROR(__xludf.DUMMYFUNCTION("""COMPUTED_VALUE""")," En Ejecución ")</f>
        <v xml:space="preserve"> En Ejecución </v>
      </c>
      <c r="I221" s="16">
        <f ca="1">IFERROR(__xludf.DUMMYFUNCTION("""COMPUTED_VALUE"""),54584966)</f>
        <v>54584966</v>
      </c>
      <c r="J221" s="83" t="s">
        <v>48</v>
      </c>
      <c r="K221" s="16"/>
      <c r="L221" s="16"/>
      <c r="M221" s="16"/>
      <c r="N221" s="19"/>
      <c r="O221" s="19"/>
      <c r="P221" s="19"/>
      <c r="Q221" s="19"/>
      <c r="R221" s="21">
        <f ca="1">IFERROR(__xludf.DUMMYFUNCTION("""COMPUTED_VALUE"""),54584966)</f>
        <v>54584966</v>
      </c>
      <c r="S221" s="19"/>
      <c r="T221" s="19"/>
      <c r="U221" s="19"/>
      <c r="V221" s="19"/>
      <c r="W221" s="20">
        <f ca="1">IFERROR(__xludf.DUMMYFUNCTION("""COMPUTED_VALUE"""),54584966)</f>
        <v>54584966</v>
      </c>
      <c r="X221" s="43" t="str">
        <f ca="1">IFERROR(__xludf.DUMMYFUNCTION("""COMPUTED_VALUE"""),"MUNICIPALIDAD DE CHONCHI")</f>
        <v>MUNICIPALIDAD DE CHONCHI</v>
      </c>
    </row>
    <row r="222" spans="1:24" ht="15.75" customHeight="1" x14ac:dyDescent="0.25">
      <c r="A222" s="16" t="str">
        <f ca="1">IFERROR(__xludf.DUMMYFUNCTION("""COMPUTED_VALUE""")," REGIÓN DEL MAULE ")</f>
        <v xml:space="preserve"> REGIÓN DEL MAULE </v>
      </c>
      <c r="B222" s="16" t="str">
        <f t="shared" ca="1" si="0"/>
        <v xml:space="preserve"> CURICÓ</v>
      </c>
      <c r="C222" s="16" t="str">
        <f ca="1">IFERROR(__xludf.DUMMYFUNCTION("""COMPUTED_VALUE""")," ASISTENCIA TECNICA PROYECTOS SANITARIOS DE LA COMUNA DE CURICO ")</f>
        <v xml:space="preserve"> ASISTENCIA TECNICA PROYECTOS SANITARIOS DE LA COMUNA DE CURICO </v>
      </c>
      <c r="D222" s="40" t="str">
        <f ca="1">IFERROR(__xludf.DUMMYFUNCTION("""COMPUTED_VALUE"""),"7301221001-C")</f>
        <v>7301221001-C</v>
      </c>
      <c r="E222" s="16" t="str">
        <f ca="1">IFERROR(__xludf.DUMMYFUNCTION("""COMPUTED_VALUE""")," En Ejecución ")</f>
        <v xml:space="preserve"> En Ejecución </v>
      </c>
      <c r="F222" s="41">
        <f ca="1">IFERROR(__xludf.DUMMYFUNCTION("""COMPUTED_VALUE"""),45232)</f>
        <v>45232</v>
      </c>
      <c r="G222" s="16">
        <f ca="1">IFERROR(__xludf.DUMMYFUNCTION("""COMPUTED_VALUE"""),39600000)</f>
        <v>39600000</v>
      </c>
      <c r="H222" s="16" t="str">
        <f ca="1">IFERROR(__xludf.DUMMYFUNCTION("""COMPUTED_VALUE""")," En Ejecución ")</f>
        <v xml:space="preserve"> En Ejecución </v>
      </c>
      <c r="I222" s="16">
        <f ca="1">IFERROR(__xludf.DUMMYFUNCTION("""COMPUTED_VALUE"""),9900000)</f>
        <v>9900000</v>
      </c>
      <c r="J222" s="83" t="s">
        <v>48</v>
      </c>
      <c r="K222" s="16"/>
      <c r="L222" s="16"/>
      <c r="M222" s="16"/>
      <c r="N222" s="19"/>
      <c r="O222" s="19"/>
      <c r="P222" s="19"/>
      <c r="Q222" s="19"/>
      <c r="R222" s="21">
        <f ca="1">IFERROR(__xludf.DUMMYFUNCTION("""COMPUTED_VALUE"""),9900000)</f>
        <v>9900000</v>
      </c>
      <c r="S222" s="19"/>
      <c r="T222" s="19"/>
      <c r="U222" s="19"/>
      <c r="V222" s="19"/>
      <c r="W222" s="20">
        <f ca="1">IFERROR(__xludf.DUMMYFUNCTION("""COMPUTED_VALUE"""),9900000)</f>
        <v>9900000</v>
      </c>
      <c r="X222" s="43" t="str">
        <f ca="1">IFERROR(__xludf.DUMMYFUNCTION("""COMPUTED_VALUE"""),"MUNICIPALIDAD DE CURICÓ")</f>
        <v>MUNICIPALIDAD DE CURICÓ</v>
      </c>
    </row>
    <row r="223" spans="1:24" ht="15.75" customHeight="1" x14ac:dyDescent="0.25">
      <c r="A223" s="16"/>
      <c r="B223" s="16" t="str">
        <f t="shared" si="0"/>
        <v/>
      </c>
      <c r="C223" s="16"/>
      <c r="D223" s="40"/>
      <c r="E223" s="16"/>
      <c r="F223" s="41"/>
      <c r="G223" s="16"/>
      <c r="H223" s="16"/>
      <c r="I223" s="16"/>
      <c r="J223" s="22"/>
      <c r="K223" s="16"/>
      <c r="L223" s="16"/>
      <c r="M223" s="16"/>
      <c r="N223" s="19"/>
      <c r="O223" s="19"/>
      <c r="P223" s="19"/>
      <c r="Q223" s="19"/>
      <c r="R223" s="19"/>
      <c r="S223" s="19"/>
      <c r="T223" s="19"/>
      <c r="U223" s="19"/>
      <c r="V223" s="19"/>
      <c r="W223" s="20"/>
      <c r="X223" s="43"/>
    </row>
    <row r="224" spans="1:24" ht="15.75" customHeight="1" x14ac:dyDescent="0.25">
      <c r="A224" s="16"/>
      <c r="B224" s="16" t="str">
        <f t="shared" si="0"/>
        <v/>
      </c>
      <c r="C224" s="16"/>
      <c r="D224" s="40"/>
      <c r="E224" s="16"/>
      <c r="F224" s="41"/>
      <c r="G224" s="16"/>
      <c r="H224" s="16"/>
      <c r="I224" s="16"/>
      <c r="J224" s="22"/>
      <c r="K224" s="16"/>
      <c r="L224" s="16"/>
      <c r="M224" s="16"/>
      <c r="N224" s="19"/>
      <c r="O224" s="19"/>
      <c r="P224" s="19"/>
      <c r="Q224" s="19"/>
      <c r="R224" s="19"/>
      <c r="S224" s="19"/>
      <c r="T224" s="19"/>
      <c r="U224" s="19"/>
      <c r="V224" s="19"/>
      <c r="W224" s="20"/>
      <c r="X224" s="43"/>
    </row>
    <row r="225" spans="1:24" ht="15.75" hidden="1" customHeight="1" x14ac:dyDescent="0.25">
      <c r="A225" s="16"/>
      <c r="B225" s="16" t="str">
        <f t="shared" si="0"/>
        <v/>
      </c>
      <c r="C225" s="16"/>
      <c r="D225" s="40"/>
      <c r="E225" s="16"/>
      <c r="F225" s="41"/>
      <c r="G225" s="16"/>
      <c r="H225" s="16"/>
      <c r="I225" s="16"/>
      <c r="J225" s="22"/>
      <c r="K225" s="16"/>
      <c r="L225" s="16"/>
      <c r="M225" s="16"/>
      <c r="N225" s="19"/>
      <c r="O225" s="19"/>
      <c r="P225" s="19"/>
      <c r="Q225" s="19"/>
      <c r="R225" s="19"/>
      <c r="S225" s="19"/>
      <c r="T225" s="19"/>
      <c r="U225" s="19"/>
      <c r="V225" s="19"/>
      <c r="W225" s="20"/>
      <c r="X225" s="43"/>
    </row>
    <row r="226" spans="1:24" ht="15.75" hidden="1" customHeight="1" x14ac:dyDescent="0.25">
      <c r="A226" s="16"/>
      <c r="B226" s="16" t="str">
        <f t="shared" si="0"/>
        <v/>
      </c>
      <c r="C226" s="16"/>
      <c r="D226" s="40"/>
      <c r="E226" s="16"/>
      <c r="F226" s="41"/>
      <c r="G226" s="16"/>
      <c r="H226" s="16"/>
      <c r="I226" s="16"/>
      <c r="J226" s="22"/>
      <c r="K226" s="16"/>
      <c r="L226" s="16"/>
      <c r="M226" s="16"/>
      <c r="N226" s="19"/>
      <c r="O226" s="19"/>
      <c r="P226" s="19"/>
      <c r="Q226" s="19"/>
      <c r="R226" s="19"/>
      <c r="S226" s="19"/>
      <c r="T226" s="19"/>
      <c r="U226" s="19"/>
      <c r="V226" s="19"/>
      <c r="W226" s="20"/>
      <c r="X226" s="43"/>
    </row>
    <row r="227" spans="1:24" ht="15.75" hidden="1" customHeight="1" x14ac:dyDescent="0.25">
      <c r="A227" s="16"/>
      <c r="B227" s="16" t="str">
        <f t="shared" si="0"/>
        <v/>
      </c>
      <c r="C227" s="16"/>
      <c r="D227" s="40"/>
      <c r="E227" s="16"/>
      <c r="F227" s="41"/>
      <c r="G227" s="16"/>
      <c r="H227" s="16"/>
      <c r="I227" s="16"/>
      <c r="J227" s="22"/>
      <c r="K227" s="16"/>
      <c r="L227" s="16"/>
      <c r="M227" s="16"/>
      <c r="N227" s="19"/>
      <c r="O227" s="19"/>
      <c r="P227" s="19"/>
      <c r="Q227" s="19"/>
      <c r="R227" s="19"/>
      <c r="S227" s="19"/>
      <c r="T227" s="19"/>
      <c r="U227" s="19"/>
      <c r="V227" s="19"/>
      <c r="W227" s="20"/>
      <c r="X227" s="43"/>
    </row>
    <row r="228" spans="1:24" ht="15.75" hidden="1" customHeight="1" x14ac:dyDescent="0.25">
      <c r="A228" s="16"/>
      <c r="B228" s="16" t="str">
        <f t="shared" si="0"/>
        <v/>
      </c>
      <c r="C228" s="16"/>
      <c r="D228" s="40"/>
      <c r="E228" s="16"/>
      <c r="F228" s="41"/>
      <c r="G228" s="16"/>
      <c r="H228" s="16"/>
      <c r="I228" s="16"/>
      <c r="J228" s="22"/>
      <c r="K228" s="16"/>
      <c r="L228" s="16"/>
      <c r="M228" s="16"/>
      <c r="N228" s="19"/>
      <c r="O228" s="19"/>
      <c r="P228" s="19"/>
      <c r="Q228" s="19"/>
      <c r="R228" s="19"/>
      <c r="S228" s="19"/>
      <c r="T228" s="19"/>
      <c r="U228" s="19"/>
      <c r="V228" s="19"/>
      <c r="W228" s="20"/>
      <c r="X228" s="43"/>
    </row>
    <row r="229" spans="1:24" ht="15.75" hidden="1" customHeight="1" x14ac:dyDescent="0.25">
      <c r="A229" s="16"/>
      <c r="B229" s="16" t="str">
        <f t="shared" si="0"/>
        <v/>
      </c>
      <c r="C229" s="16"/>
      <c r="D229" s="40"/>
      <c r="E229" s="16"/>
      <c r="F229" s="41"/>
      <c r="G229" s="16"/>
      <c r="H229" s="16"/>
      <c r="I229" s="16"/>
      <c r="J229" s="22"/>
      <c r="K229" s="16"/>
      <c r="L229" s="16"/>
      <c r="M229" s="16"/>
      <c r="N229" s="19"/>
      <c r="O229" s="19"/>
      <c r="P229" s="19"/>
      <c r="Q229" s="19"/>
      <c r="R229" s="19"/>
      <c r="S229" s="19"/>
      <c r="T229" s="19"/>
      <c r="U229" s="19"/>
      <c r="V229" s="19"/>
      <c r="W229" s="20"/>
      <c r="X229" s="43"/>
    </row>
    <row r="230" spans="1:24" ht="15.75" hidden="1" customHeight="1" x14ac:dyDescent="0.25">
      <c r="A230" s="16"/>
      <c r="B230" s="16" t="str">
        <f t="shared" si="0"/>
        <v/>
      </c>
      <c r="C230" s="16"/>
      <c r="D230" s="40"/>
      <c r="E230" s="16"/>
      <c r="F230" s="41"/>
      <c r="G230" s="16"/>
      <c r="H230" s="16"/>
      <c r="I230" s="16"/>
      <c r="J230" s="22"/>
      <c r="K230" s="16"/>
      <c r="L230" s="16"/>
      <c r="M230" s="16"/>
      <c r="N230" s="19"/>
      <c r="O230" s="19"/>
      <c r="P230" s="19"/>
      <c r="Q230" s="19"/>
      <c r="R230" s="19"/>
      <c r="S230" s="19"/>
      <c r="T230" s="19"/>
      <c r="U230" s="19"/>
      <c r="V230" s="19"/>
      <c r="W230" s="20"/>
      <c r="X230" s="43"/>
    </row>
    <row r="231" spans="1:24" ht="15.75" hidden="1" customHeight="1" x14ac:dyDescent="0.25">
      <c r="A231" s="16"/>
      <c r="B231" s="16" t="str">
        <f t="shared" si="0"/>
        <v/>
      </c>
      <c r="C231" s="16"/>
      <c r="D231" s="40"/>
      <c r="E231" s="16"/>
      <c r="F231" s="41"/>
      <c r="G231" s="16"/>
      <c r="H231" s="16"/>
      <c r="I231" s="16"/>
      <c r="J231" s="22"/>
      <c r="K231" s="16"/>
      <c r="L231" s="16"/>
      <c r="M231" s="16"/>
      <c r="N231" s="19"/>
      <c r="O231" s="19"/>
      <c r="P231" s="19"/>
      <c r="Q231" s="19"/>
      <c r="R231" s="19"/>
      <c r="S231" s="19"/>
      <c r="T231" s="19"/>
      <c r="U231" s="19"/>
      <c r="V231" s="19"/>
      <c r="W231" s="20"/>
      <c r="X231" s="43"/>
    </row>
    <row r="232" spans="1:24" ht="15.75" hidden="1" customHeight="1" x14ac:dyDescent="0.25">
      <c r="A232" s="16"/>
      <c r="B232" s="16" t="str">
        <f t="shared" si="0"/>
        <v/>
      </c>
      <c r="C232" s="16"/>
      <c r="D232" s="40"/>
      <c r="E232" s="16"/>
      <c r="F232" s="41"/>
      <c r="G232" s="16"/>
      <c r="H232" s="16"/>
      <c r="I232" s="16"/>
      <c r="J232" s="22"/>
      <c r="K232" s="16"/>
      <c r="L232" s="16"/>
      <c r="M232" s="16"/>
      <c r="N232" s="19"/>
      <c r="O232" s="19"/>
      <c r="P232" s="19"/>
      <c r="Q232" s="19"/>
      <c r="R232" s="19"/>
      <c r="S232" s="19"/>
      <c r="T232" s="19"/>
      <c r="U232" s="19"/>
      <c r="V232" s="19"/>
      <c r="W232" s="20"/>
      <c r="X232" s="43"/>
    </row>
    <row r="233" spans="1:24" ht="15.75" hidden="1" customHeight="1" x14ac:dyDescent="0.25">
      <c r="A233" s="16"/>
      <c r="B233" s="16" t="str">
        <f t="shared" si="0"/>
        <v/>
      </c>
      <c r="C233" s="16"/>
      <c r="D233" s="40"/>
      <c r="E233" s="16"/>
      <c r="F233" s="41"/>
      <c r="G233" s="16"/>
      <c r="H233" s="16"/>
      <c r="I233" s="16"/>
      <c r="J233" s="22"/>
      <c r="K233" s="16"/>
      <c r="L233" s="16"/>
      <c r="M233" s="16"/>
      <c r="N233" s="19"/>
      <c r="O233" s="19"/>
      <c r="P233" s="19"/>
      <c r="Q233" s="19"/>
      <c r="R233" s="19"/>
      <c r="S233" s="19"/>
      <c r="T233" s="19"/>
      <c r="U233" s="19"/>
      <c r="V233" s="19"/>
      <c r="W233" s="20"/>
      <c r="X233" s="43"/>
    </row>
    <row r="234" spans="1:24" ht="15.75" hidden="1" customHeight="1" x14ac:dyDescent="0.25">
      <c r="A234" s="16"/>
      <c r="B234" s="16" t="str">
        <f t="shared" si="0"/>
        <v/>
      </c>
      <c r="C234" s="16"/>
      <c r="D234" s="40"/>
      <c r="E234" s="16"/>
      <c r="F234" s="41"/>
      <c r="G234" s="16"/>
      <c r="H234" s="16"/>
      <c r="I234" s="16"/>
      <c r="J234" s="22"/>
      <c r="K234" s="16"/>
      <c r="L234" s="16"/>
      <c r="M234" s="16"/>
      <c r="N234" s="19"/>
      <c r="O234" s="19"/>
      <c r="P234" s="19"/>
      <c r="Q234" s="19"/>
      <c r="R234" s="19"/>
      <c r="S234" s="19"/>
      <c r="T234" s="19"/>
      <c r="U234" s="19"/>
      <c r="V234" s="19"/>
      <c r="W234" s="20"/>
      <c r="X234" s="43"/>
    </row>
    <row r="235" spans="1:24" ht="15.75" hidden="1" customHeight="1" x14ac:dyDescent="0.25">
      <c r="A235" s="16"/>
      <c r="B235" s="16" t="str">
        <f t="shared" si="0"/>
        <v/>
      </c>
      <c r="C235" s="16"/>
      <c r="D235" s="40"/>
      <c r="E235" s="16"/>
      <c r="F235" s="41"/>
      <c r="G235" s="16"/>
      <c r="H235" s="16"/>
      <c r="I235" s="16"/>
      <c r="J235" s="22"/>
      <c r="K235" s="16"/>
      <c r="L235" s="16"/>
      <c r="M235" s="16"/>
      <c r="N235" s="19"/>
      <c r="O235" s="19"/>
      <c r="P235" s="19"/>
      <c r="Q235" s="19"/>
      <c r="R235" s="19"/>
      <c r="S235" s="19"/>
      <c r="T235" s="19"/>
      <c r="U235" s="19"/>
      <c r="V235" s="19"/>
      <c r="W235" s="20"/>
      <c r="X235" s="43"/>
    </row>
    <row r="236" spans="1:24" ht="15.75" hidden="1" customHeight="1" x14ac:dyDescent="0.25">
      <c r="A236" s="16"/>
      <c r="B236" s="16" t="str">
        <f t="shared" si="0"/>
        <v/>
      </c>
      <c r="C236" s="16"/>
      <c r="D236" s="40"/>
      <c r="E236" s="16"/>
      <c r="F236" s="41"/>
      <c r="G236" s="16"/>
      <c r="H236" s="16"/>
      <c r="I236" s="16"/>
      <c r="J236" s="22"/>
      <c r="K236" s="16"/>
      <c r="L236" s="16"/>
      <c r="M236" s="16"/>
      <c r="N236" s="19"/>
      <c r="O236" s="19"/>
      <c r="P236" s="19"/>
      <c r="Q236" s="19"/>
      <c r="R236" s="19"/>
      <c r="S236" s="19"/>
      <c r="T236" s="19"/>
      <c r="U236" s="19"/>
      <c r="V236" s="19"/>
      <c r="W236" s="20"/>
      <c r="X236" s="43"/>
    </row>
    <row r="237" spans="1:24" ht="15.75" hidden="1" customHeight="1" x14ac:dyDescent="0.25">
      <c r="A237" s="16"/>
      <c r="B237" s="16" t="str">
        <f t="shared" si="0"/>
        <v/>
      </c>
      <c r="C237" s="16"/>
      <c r="D237" s="40"/>
      <c r="E237" s="16"/>
      <c r="F237" s="41"/>
      <c r="G237" s="16"/>
      <c r="H237" s="16"/>
      <c r="I237" s="16"/>
      <c r="J237" s="22"/>
      <c r="K237" s="16"/>
      <c r="L237" s="16"/>
      <c r="M237" s="16"/>
      <c r="N237" s="19"/>
      <c r="O237" s="19"/>
      <c r="P237" s="19"/>
      <c r="Q237" s="19"/>
      <c r="R237" s="19"/>
      <c r="S237" s="19"/>
      <c r="T237" s="19"/>
      <c r="U237" s="19"/>
      <c r="V237" s="19"/>
      <c r="W237" s="20"/>
      <c r="X237" s="43"/>
    </row>
    <row r="238" spans="1:24" ht="15.75" hidden="1" customHeight="1" x14ac:dyDescent="0.25">
      <c r="A238" s="16"/>
      <c r="B238" s="16" t="str">
        <f t="shared" si="0"/>
        <v/>
      </c>
      <c r="C238" s="16"/>
      <c r="D238" s="40"/>
      <c r="E238" s="16"/>
      <c r="F238" s="41"/>
      <c r="G238" s="16"/>
      <c r="H238" s="16"/>
      <c r="I238" s="16"/>
      <c r="J238" s="22"/>
      <c r="K238" s="16"/>
      <c r="L238" s="16"/>
      <c r="M238" s="16"/>
      <c r="N238" s="19"/>
      <c r="O238" s="19"/>
      <c r="P238" s="19"/>
      <c r="Q238" s="19"/>
      <c r="R238" s="19"/>
      <c r="S238" s="19"/>
      <c r="T238" s="19"/>
      <c r="U238" s="19"/>
      <c r="V238" s="19"/>
      <c r="W238" s="20"/>
      <c r="X238" s="43"/>
    </row>
    <row r="239" spans="1:24" ht="15.75" hidden="1" customHeight="1" x14ac:dyDescent="0.25">
      <c r="A239" s="16"/>
      <c r="B239" s="16" t="str">
        <f t="shared" si="0"/>
        <v/>
      </c>
      <c r="C239" s="16"/>
      <c r="D239" s="40"/>
      <c r="E239" s="16"/>
      <c r="F239" s="41"/>
      <c r="G239" s="16"/>
      <c r="H239" s="16"/>
      <c r="I239" s="16"/>
      <c r="J239" s="22"/>
      <c r="K239" s="16"/>
      <c r="L239" s="16"/>
      <c r="M239" s="16"/>
      <c r="N239" s="19"/>
      <c r="O239" s="19"/>
      <c r="P239" s="19"/>
      <c r="Q239" s="19"/>
      <c r="R239" s="19"/>
      <c r="S239" s="19"/>
      <c r="T239" s="19"/>
      <c r="U239" s="19"/>
      <c r="V239" s="19"/>
      <c r="W239" s="20"/>
      <c r="X239" s="43"/>
    </row>
    <row r="240" spans="1:24" ht="15.75" hidden="1" customHeight="1" x14ac:dyDescent="0.25">
      <c r="A240" s="16"/>
      <c r="B240" s="16" t="str">
        <f t="shared" si="0"/>
        <v/>
      </c>
      <c r="C240" s="16"/>
      <c r="D240" s="40"/>
      <c r="E240" s="16"/>
      <c r="F240" s="41"/>
      <c r="G240" s="16"/>
      <c r="H240" s="16"/>
      <c r="I240" s="16"/>
      <c r="J240" s="22"/>
      <c r="K240" s="16"/>
      <c r="L240" s="16"/>
      <c r="M240" s="16"/>
      <c r="N240" s="19"/>
      <c r="O240" s="19"/>
      <c r="P240" s="19"/>
      <c r="Q240" s="19"/>
      <c r="R240" s="19"/>
      <c r="S240" s="19"/>
      <c r="T240" s="19"/>
      <c r="U240" s="19"/>
      <c r="V240" s="19"/>
      <c r="W240" s="20"/>
      <c r="X240" s="43"/>
    </row>
    <row r="241" spans="1:24" ht="15.75" hidden="1" customHeight="1" x14ac:dyDescent="0.25">
      <c r="A241" s="16"/>
      <c r="B241" s="16" t="str">
        <f t="shared" si="0"/>
        <v/>
      </c>
      <c r="C241" s="16"/>
      <c r="D241" s="40"/>
      <c r="E241" s="16"/>
      <c r="F241" s="41"/>
      <c r="G241" s="16"/>
      <c r="H241" s="16"/>
      <c r="I241" s="16"/>
      <c r="J241" s="22"/>
      <c r="K241" s="16"/>
      <c r="L241" s="16"/>
      <c r="M241" s="16"/>
      <c r="N241" s="19"/>
      <c r="O241" s="19"/>
      <c r="P241" s="19"/>
      <c r="Q241" s="19"/>
      <c r="R241" s="19"/>
      <c r="S241" s="19"/>
      <c r="T241" s="19"/>
      <c r="U241" s="19"/>
      <c r="V241" s="19"/>
      <c r="W241" s="20"/>
      <c r="X241" s="43"/>
    </row>
    <row r="242" spans="1:24" ht="15.75" hidden="1" customHeight="1" x14ac:dyDescent="0.25">
      <c r="A242" s="16"/>
      <c r="B242" s="16" t="str">
        <f t="shared" si="0"/>
        <v/>
      </c>
      <c r="C242" s="16"/>
      <c r="D242" s="40"/>
      <c r="E242" s="16"/>
      <c r="F242" s="41"/>
      <c r="G242" s="16"/>
      <c r="H242" s="16"/>
      <c r="I242" s="16"/>
      <c r="J242" s="22"/>
      <c r="K242" s="16"/>
      <c r="L242" s="16"/>
      <c r="M242" s="16"/>
      <c r="N242" s="19"/>
      <c r="O242" s="19"/>
      <c r="P242" s="19"/>
      <c r="Q242" s="19"/>
      <c r="R242" s="19"/>
      <c r="S242" s="19"/>
      <c r="T242" s="19"/>
      <c r="U242" s="19"/>
      <c r="V242" s="19"/>
      <c r="W242" s="20"/>
      <c r="X242" s="43"/>
    </row>
    <row r="243" spans="1:24" ht="15.75" hidden="1" customHeight="1" x14ac:dyDescent="0.25">
      <c r="A243" s="16"/>
      <c r="B243" s="16" t="str">
        <f t="shared" si="0"/>
        <v/>
      </c>
      <c r="C243" s="16"/>
      <c r="D243" s="40"/>
      <c r="E243" s="16"/>
      <c r="F243" s="41"/>
      <c r="G243" s="16"/>
      <c r="H243" s="16"/>
      <c r="I243" s="16"/>
      <c r="J243" s="22"/>
      <c r="K243" s="16"/>
      <c r="L243" s="16"/>
      <c r="M243" s="16"/>
      <c r="N243" s="19"/>
      <c r="O243" s="19"/>
      <c r="P243" s="19"/>
      <c r="Q243" s="19"/>
      <c r="R243" s="19"/>
      <c r="S243" s="19"/>
      <c r="T243" s="19"/>
      <c r="U243" s="19"/>
      <c r="V243" s="19"/>
      <c r="W243" s="20"/>
      <c r="X243" s="43"/>
    </row>
    <row r="244" spans="1:24" ht="15.75" hidden="1" customHeight="1" x14ac:dyDescent="0.25">
      <c r="A244" s="16"/>
      <c r="B244" s="16" t="str">
        <f t="shared" si="0"/>
        <v/>
      </c>
      <c r="C244" s="16"/>
      <c r="D244" s="40"/>
      <c r="E244" s="16"/>
      <c r="F244" s="41"/>
      <c r="G244" s="16"/>
      <c r="H244" s="16"/>
      <c r="I244" s="16"/>
      <c r="J244" s="22"/>
      <c r="K244" s="16"/>
      <c r="L244" s="16"/>
      <c r="M244" s="16"/>
      <c r="N244" s="19"/>
      <c r="O244" s="19"/>
      <c r="P244" s="19"/>
      <c r="Q244" s="19"/>
      <c r="R244" s="19"/>
      <c r="S244" s="19"/>
      <c r="T244" s="19"/>
      <c r="U244" s="19"/>
      <c r="V244" s="19"/>
      <c r="W244" s="20"/>
      <c r="X244" s="43"/>
    </row>
    <row r="245" spans="1:24" ht="15.75" hidden="1" customHeight="1" x14ac:dyDescent="0.25">
      <c r="A245" s="16"/>
      <c r="B245" s="16" t="str">
        <f t="shared" si="0"/>
        <v/>
      </c>
      <c r="C245" s="16"/>
      <c r="D245" s="40"/>
      <c r="E245" s="16"/>
      <c r="F245" s="41"/>
      <c r="G245" s="16"/>
      <c r="H245" s="16"/>
      <c r="I245" s="16"/>
      <c r="J245" s="22"/>
      <c r="K245" s="16"/>
      <c r="L245" s="16"/>
      <c r="M245" s="16"/>
      <c r="N245" s="19"/>
      <c r="O245" s="19"/>
      <c r="P245" s="19"/>
      <c r="Q245" s="19"/>
      <c r="R245" s="19"/>
      <c r="S245" s="19"/>
      <c r="T245" s="19"/>
      <c r="U245" s="19"/>
      <c r="V245" s="19"/>
      <c r="W245" s="20"/>
      <c r="X245" s="43"/>
    </row>
    <row r="246" spans="1:24" ht="15.75" hidden="1" customHeight="1" x14ac:dyDescent="0.25">
      <c r="A246" s="16"/>
      <c r="B246" s="16" t="str">
        <f t="shared" si="0"/>
        <v/>
      </c>
      <c r="C246" s="16"/>
      <c r="D246" s="40"/>
      <c r="E246" s="16"/>
      <c r="F246" s="41"/>
      <c r="G246" s="16"/>
      <c r="H246" s="16"/>
      <c r="I246" s="16"/>
      <c r="J246" s="22"/>
      <c r="K246" s="16"/>
      <c r="L246" s="16"/>
      <c r="M246" s="16"/>
      <c r="N246" s="19"/>
      <c r="O246" s="19"/>
      <c r="P246" s="19"/>
      <c r="Q246" s="19"/>
      <c r="R246" s="19"/>
      <c r="S246" s="19"/>
      <c r="T246" s="19"/>
      <c r="U246" s="19"/>
      <c r="V246" s="19"/>
      <c r="W246" s="20"/>
      <c r="X246" s="43"/>
    </row>
    <row r="247" spans="1:24" ht="15.75" hidden="1" customHeight="1" x14ac:dyDescent="0.25">
      <c r="A247" s="16"/>
      <c r="B247" s="16" t="str">
        <f t="shared" si="0"/>
        <v/>
      </c>
      <c r="C247" s="16"/>
      <c r="D247" s="40"/>
      <c r="E247" s="16"/>
      <c r="F247" s="41"/>
      <c r="G247" s="16"/>
      <c r="H247" s="16"/>
      <c r="I247" s="16"/>
      <c r="J247" s="22"/>
      <c r="K247" s="16"/>
      <c r="L247" s="16"/>
      <c r="M247" s="16"/>
      <c r="N247" s="19"/>
      <c r="O247" s="19"/>
      <c r="P247" s="19"/>
      <c r="Q247" s="19"/>
      <c r="R247" s="19"/>
      <c r="S247" s="19"/>
      <c r="T247" s="19"/>
      <c r="U247" s="19"/>
      <c r="V247" s="19"/>
      <c r="W247" s="20"/>
      <c r="X247" s="43"/>
    </row>
    <row r="248" spans="1:24" ht="15.75" hidden="1" customHeight="1" x14ac:dyDescent="0.25">
      <c r="A248" s="16"/>
      <c r="B248" s="16" t="str">
        <f t="shared" si="0"/>
        <v/>
      </c>
      <c r="C248" s="16"/>
      <c r="D248" s="40"/>
      <c r="E248" s="16"/>
      <c r="F248" s="41"/>
      <c r="G248" s="16"/>
      <c r="H248" s="16"/>
      <c r="I248" s="16"/>
      <c r="J248" s="22"/>
      <c r="K248" s="16"/>
      <c r="L248" s="16"/>
      <c r="M248" s="16"/>
      <c r="N248" s="19"/>
      <c r="O248" s="19"/>
      <c r="P248" s="19"/>
      <c r="Q248" s="19"/>
      <c r="R248" s="19"/>
      <c r="S248" s="19"/>
      <c r="T248" s="19"/>
      <c r="U248" s="19"/>
      <c r="V248" s="19"/>
      <c r="W248" s="20"/>
      <c r="X248" s="43"/>
    </row>
    <row r="249" spans="1:24" ht="15.75" hidden="1" customHeight="1" x14ac:dyDescent="0.25">
      <c r="A249" s="16"/>
      <c r="B249" s="16" t="str">
        <f t="shared" si="0"/>
        <v/>
      </c>
      <c r="C249" s="16"/>
      <c r="D249" s="40"/>
      <c r="E249" s="16"/>
      <c r="F249" s="41"/>
      <c r="G249" s="16"/>
      <c r="H249" s="16"/>
      <c r="I249" s="16"/>
      <c r="J249" s="22"/>
      <c r="K249" s="16"/>
      <c r="L249" s="16"/>
      <c r="M249" s="16"/>
      <c r="N249" s="19"/>
      <c r="O249" s="19"/>
      <c r="P249" s="19"/>
      <c r="Q249" s="19"/>
      <c r="R249" s="19"/>
      <c r="S249" s="19"/>
      <c r="T249" s="19"/>
      <c r="U249" s="19"/>
      <c r="V249" s="19"/>
      <c r="W249" s="20"/>
      <c r="X249" s="43"/>
    </row>
    <row r="250" spans="1:24" ht="15.75" hidden="1" customHeight="1" x14ac:dyDescent="0.25">
      <c r="A250" s="16"/>
      <c r="B250" s="16" t="str">
        <f t="shared" si="0"/>
        <v/>
      </c>
      <c r="C250" s="16"/>
      <c r="D250" s="40"/>
      <c r="E250" s="16"/>
      <c r="F250" s="41"/>
      <c r="G250" s="16"/>
      <c r="H250" s="16"/>
      <c r="I250" s="16"/>
      <c r="J250" s="22"/>
      <c r="K250" s="16"/>
      <c r="L250" s="16"/>
      <c r="M250" s="16"/>
      <c r="N250" s="19"/>
      <c r="O250" s="19"/>
      <c r="P250" s="19"/>
      <c r="Q250" s="19"/>
      <c r="R250" s="19"/>
      <c r="S250" s="19"/>
      <c r="T250" s="19"/>
      <c r="U250" s="19"/>
      <c r="V250" s="19"/>
      <c r="W250" s="20"/>
      <c r="X250" s="43"/>
    </row>
    <row r="251" spans="1:24" ht="15.75" hidden="1" customHeight="1" x14ac:dyDescent="0.25">
      <c r="A251" s="16"/>
      <c r="B251" s="16" t="str">
        <f t="shared" si="0"/>
        <v/>
      </c>
      <c r="C251" s="16"/>
      <c r="D251" s="40"/>
      <c r="E251" s="16"/>
      <c r="F251" s="41"/>
      <c r="G251" s="16"/>
      <c r="H251" s="16"/>
      <c r="I251" s="16"/>
      <c r="J251" s="22"/>
      <c r="K251" s="16"/>
      <c r="L251" s="16"/>
      <c r="M251" s="16"/>
      <c r="N251" s="19"/>
      <c r="O251" s="19"/>
      <c r="P251" s="19"/>
      <c r="Q251" s="19"/>
      <c r="R251" s="19"/>
      <c r="S251" s="19"/>
      <c r="T251" s="19"/>
      <c r="U251" s="19"/>
      <c r="V251" s="19"/>
      <c r="W251" s="20"/>
      <c r="X251" s="43"/>
    </row>
    <row r="252" spans="1:24" ht="15.75" hidden="1" customHeight="1" x14ac:dyDescent="0.25">
      <c r="A252" s="16"/>
      <c r="B252" s="16" t="str">
        <f t="shared" si="0"/>
        <v/>
      </c>
      <c r="C252" s="16"/>
      <c r="D252" s="40"/>
      <c r="E252" s="16"/>
      <c r="F252" s="41"/>
      <c r="G252" s="16"/>
      <c r="H252" s="16"/>
      <c r="I252" s="16"/>
      <c r="J252" s="22"/>
      <c r="K252" s="16"/>
      <c r="L252" s="16"/>
      <c r="M252" s="16"/>
      <c r="N252" s="19"/>
      <c r="O252" s="19"/>
      <c r="P252" s="19"/>
      <c r="Q252" s="19"/>
      <c r="R252" s="19"/>
      <c r="S252" s="19"/>
      <c r="T252" s="19"/>
      <c r="U252" s="19"/>
      <c r="V252" s="19"/>
      <c r="W252" s="20"/>
      <c r="X252" s="43"/>
    </row>
    <row r="253" spans="1:24" ht="15.75" hidden="1" customHeight="1" x14ac:dyDescent="0.25">
      <c r="A253" s="16"/>
      <c r="B253" s="16" t="str">
        <f t="shared" si="0"/>
        <v/>
      </c>
      <c r="C253" s="16"/>
      <c r="D253" s="40"/>
      <c r="E253" s="16"/>
      <c r="F253" s="41"/>
      <c r="G253" s="16"/>
      <c r="H253" s="16"/>
      <c r="I253" s="16"/>
      <c r="J253" s="22"/>
      <c r="K253" s="16"/>
      <c r="L253" s="16"/>
      <c r="M253" s="16"/>
      <c r="N253" s="19"/>
      <c r="O253" s="19"/>
      <c r="P253" s="19"/>
      <c r="Q253" s="19"/>
      <c r="R253" s="19"/>
      <c r="S253" s="19"/>
      <c r="T253" s="19"/>
      <c r="U253" s="19"/>
      <c r="V253" s="19"/>
      <c r="W253" s="20"/>
      <c r="X253" s="43"/>
    </row>
    <row r="254" spans="1:24" ht="15.75" hidden="1" customHeight="1" x14ac:dyDescent="0.25">
      <c r="A254" s="16"/>
      <c r="B254" s="16" t="str">
        <f t="shared" si="0"/>
        <v/>
      </c>
      <c r="C254" s="16"/>
      <c r="D254" s="40"/>
      <c r="E254" s="16"/>
      <c r="F254" s="41"/>
      <c r="G254" s="16"/>
      <c r="H254" s="16"/>
      <c r="I254" s="16"/>
      <c r="J254" s="22"/>
      <c r="K254" s="16"/>
      <c r="L254" s="16"/>
      <c r="M254" s="16"/>
      <c r="N254" s="19"/>
      <c r="O254" s="19"/>
      <c r="P254" s="19"/>
      <c r="Q254" s="19"/>
      <c r="R254" s="19"/>
      <c r="S254" s="19"/>
      <c r="T254" s="19"/>
      <c r="U254" s="19"/>
      <c r="V254" s="19"/>
      <c r="W254" s="20"/>
      <c r="X254" s="43"/>
    </row>
    <row r="255" spans="1:24" ht="15.75" hidden="1" customHeight="1" x14ac:dyDescent="0.25">
      <c r="A255" s="16"/>
      <c r="B255" s="16" t="str">
        <f t="shared" si="0"/>
        <v/>
      </c>
      <c r="C255" s="16"/>
      <c r="D255" s="40"/>
      <c r="E255" s="16"/>
      <c r="F255" s="41"/>
      <c r="G255" s="16"/>
      <c r="H255" s="16"/>
      <c r="I255" s="16"/>
      <c r="J255" s="22"/>
      <c r="K255" s="16"/>
      <c r="L255" s="16"/>
      <c r="M255" s="16"/>
      <c r="N255" s="19"/>
      <c r="O255" s="19"/>
      <c r="P255" s="19"/>
      <c r="Q255" s="19"/>
      <c r="R255" s="19"/>
      <c r="S255" s="19"/>
      <c r="T255" s="19"/>
      <c r="U255" s="19"/>
      <c r="V255" s="19"/>
      <c r="W255" s="20"/>
      <c r="X255" s="43"/>
    </row>
    <row r="256" spans="1:24" ht="15.75" hidden="1" customHeight="1" x14ac:dyDescent="0.25">
      <c r="A256" s="16"/>
      <c r="B256" s="16" t="str">
        <f t="shared" si="0"/>
        <v/>
      </c>
      <c r="C256" s="16"/>
      <c r="D256" s="40"/>
      <c r="E256" s="16"/>
      <c r="F256" s="41"/>
      <c r="G256" s="16"/>
      <c r="H256" s="16"/>
      <c r="I256" s="16"/>
      <c r="J256" s="22"/>
      <c r="K256" s="16"/>
      <c r="L256" s="16"/>
      <c r="M256" s="16"/>
      <c r="N256" s="19"/>
      <c r="O256" s="19"/>
      <c r="P256" s="19"/>
      <c r="Q256" s="19"/>
      <c r="R256" s="19"/>
      <c r="S256" s="19"/>
      <c r="T256" s="19"/>
      <c r="U256" s="19"/>
      <c r="V256" s="19"/>
      <c r="W256" s="20"/>
      <c r="X256" s="43"/>
    </row>
    <row r="257" spans="1:24" ht="15.75" hidden="1" customHeight="1" x14ac:dyDescent="0.25">
      <c r="A257" s="16"/>
      <c r="B257" s="16" t="str">
        <f t="shared" si="0"/>
        <v/>
      </c>
      <c r="C257" s="16"/>
      <c r="D257" s="40"/>
      <c r="E257" s="16"/>
      <c r="F257" s="41"/>
      <c r="G257" s="16"/>
      <c r="H257" s="16"/>
      <c r="I257" s="16"/>
      <c r="J257" s="22"/>
      <c r="K257" s="16"/>
      <c r="L257" s="16"/>
      <c r="M257" s="16"/>
      <c r="N257" s="19"/>
      <c r="O257" s="19"/>
      <c r="P257" s="19"/>
      <c r="Q257" s="19"/>
      <c r="R257" s="19"/>
      <c r="S257" s="19"/>
      <c r="T257" s="19"/>
      <c r="U257" s="19"/>
      <c r="V257" s="19"/>
      <c r="W257" s="20"/>
      <c r="X257" s="43"/>
    </row>
    <row r="258" spans="1:24" ht="15.75" hidden="1" customHeight="1" x14ac:dyDescent="0.25">
      <c r="A258" s="16"/>
      <c r="B258" s="16" t="str">
        <f t="shared" si="0"/>
        <v/>
      </c>
      <c r="C258" s="16"/>
      <c r="D258" s="40"/>
      <c r="E258" s="16"/>
      <c r="F258" s="41"/>
      <c r="G258" s="16"/>
      <c r="H258" s="16"/>
      <c r="I258" s="16"/>
      <c r="J258" s="22"/>
      <c r="K258" s="16"/>
      <c r="L258" s="16"/>
      <c r="M258" s="16"/>
      <c r="N258" s="19"/>
      <c r="O258" s="19"/>
      <c r="P258" s="19"/>
      <c r="Q258" s="19"/>
      <c r="R258" s="19"/>
      <c r="S258" s="19"/>
      <c r="T258" s="19"/>
      <c r="U258" s="19"/>
      <c r="V258" s="19"/>
      <c r="W258" s="20"/>
      <c r="X258" s="43"/>
    </row>
    <row r="259" spans="1:24" ht="15.75" hidden="1" customHeight="1" x14ac:dyDescent="0.25">
      <c r="A259" s="16"/>
      <c r="B259" s="16" t="str">
        <f t="shared" si="0"/>
        <v/>
      </c>
      <c r="C259" s="16"/>
      <c r="D259" s="40"/>
      <c r="E259" s="16"/>
      <c r="F259" s="41"/>
      <c r="G259" s="16"/>
      <c r="H259" s="16"/>
      <c r="I259" s="16"/>
      <c r="J259" s="22"/>
      <c r="K259" s="16"/>
      <c r="L259" s="16"/>
      <c r="M259" s="16"/>
      <c r="N259" s="19"/>
      <c r="O259" s="19"/>
      <c r="P259" s="19"/>
      <c r="Q259" s="19"/>
      <c r="R259" s="19"/>
      <c r="S259" s="19"/>
      <c r="T259" s="19"/>
      <c r="U259" s="19"/>
      <c r="V259" s="19"/>
      <c r="W259" s="20"/>
      <c r="X259" s="43"/>
    </row>
    <row r="260" spans="1:24" ht="15.75" hidden="1" customHeight="1" x14ac:dyDescent="0.25">
      <c r="A260" s="16"/>
      <c r="B260" s="16" t="str">
        <f t="shared" si="0"/>
        <v/>
      </c>
      <c r="C260" s="16"/>
      <c r="D260" s="40"/>
      <c r="E260" s="16"/>
      <c r="F260" s="41"/>
      <c r="G260" s="16"/>
      <c r="H260" s="16"/>
      <c r="I260" s="16"/>
      <c r="J260" s="22"/>
      <c r="K260" s="16"/>
      <c r="L260" s="16"/>
      <c r="M260" s="16"/>
      <c r="N260" s="19"/>
      <c r="O260" s="19"/>
      <c r="P260" s="19"/>
      <c r="Q260" s="19"/>
      <c r="R260" s="19"/>
      <c r="S260" s="19"/>
      <c r="T260" s="19"/>
      <c r="U260" s="19"/>
      <c r="V260" s="19"/>
      <c r="W260" s="20"/>
      <c r="X260" s="43"/>
    </row>
    <row r="261" spans="1:24" ht="15.75" hidden="1" customHeight="1" x14ac:dyDescent="0.25">
      <c r="A261" s="16"/>
      <c r="B261" s="16" t="str">
        <f t="shared" si="0"/>
        <v/>
      </c>
      <c r="C261" s="16"/>
      <c r="D261" s="40"/>
      <c r="E261" s="16"/>
      <c r="F261" s="41"/>
      <c r="G261" s="16"/>
      <c r="H261" s="16"/>
      <c r="I261" s="16"/>
      <c r="J261" s="22"/>
      <c r="K261" s="16"/>
      <c r="L261" s="16"/>
      <c r="M261" s="16"/>
      <c r="N261" s="19"/>
      <c r="O261" s="19"/>
      <c r="P261" s="19"/>
      <c r="Q261" s="19"/>
      <c r="R261" s="19"/>
      <c r="S261" s="19"/>
      <c r="T261" s="19"/>
      <c r="U261" s="19"/>
      <c r="V261" s="19"/>
      <c r="W261" s="20"/>
      <c r="X261" s="43"/>
    </row>
    <row r="262" spans="1:24" ht="15.75" hidden="1" customHeight="1" x14ac:dyDescent="0.25">
      <c r="A262" s="16"/>
      <c r="B262" s="16" t="str">
        <f t="shared" si="0"/>
        <v/>
      </c>
      <c r="C262" s="16"/>
      <c r="D262" s="40"/>
      <c r="E262" s="16"/>
      <c r="F262" s="41"/>
      <c r="G262" s="16"/>
      <c r="H262" s="16"/>
      <c r="I262" s="16"/>
      <c r="J262" s="22"/>
      <c r="K262" s="16"/>
      <c r="L262" s="16"/>
      <c r="M262" s="16"/>
      <c r="N262" s="19"/>
      <c r="O262" s="19"/>
      <c r="P262" s="19"/>
      <c r="Q262" s="19"/>
      <c r="R262" s="19"/>
      <c r="S262" s="19"/>
      <c r="T262" s="19"/>
      <c r="U262" s="19"/>
      <c r="V262" s="19"/>
      <c r="W262" s="20"/>
      <c r="X262" s="43"/>
    </row>
    <row r="263" spans="1:24" ht="15.75" hidden="1" customHeight="1" x14ac:dyDescent="0.25">
      <c r="A263" s="16"/>
      <c r="B263" s="16" t="str">
        <f t="shared" si="0"/>
        <v/>
      </c>
      <c r="C263" s="16"/>
      <c r="D263" s="40"/>
      <c r="E263" s="16"/>
      <c r="F263" s="41"/>
      <c r="G263" s="16"/>
      <c r="H263" s="16"/>
      <c r="I263" s="16"/>
      <c r="J263" s="22"/>
      <c r="K263" s="16"/>
      <c r="L263" s="16"/>
      <c r="M263" s="16"/>
      <c r="N263" s="19"/>
      <c r="O263" s="19"/>
      <c r="P263" s="19"/>
      <c r="Q263" s="19"/>
      <c r="R263" s="19"/>
      <c r="S263" s="19"/>
      <c r="T263" s="19"/>
      <c r="U263" s="19"/>
      <c r="V263" s="19"/>
      <c r="W263" s="20"/>
      <c r="X263" s="43"/>
    </row>
    <row r="264" spans="1:24" ht="15.75" hidden="1" customHeight="1" x14ac:dyDescent="0.25">
      <c r="A264" s="16"/>
      <c r="B264" s="16" t="str">
        <f t="shared" si="0"/>
        <v/>
      </c>
      <c r="C264" s="16"/>
      <c r="D264" s="40"/>
      <c r="E264" s="16"/>
      <c r="F264" s="41"/>
      <c r="G264" s="16"/>
      <c r="H264" s="16"/>
      <c r="I264" s="16"/>
      <c r="J264" s="22"/>
      <c r="K264" s="16"/>
      <c r="L264" s="16"/>
      <c r="M264" s="16"/>
      <c r="N264" s="19"/>
      <c r="O264" s="19"/>
      <c r="P264" s="19"/>
      <c r="Q264" s="19"/>
      <c r="R264" s="19"/>
      <c r="S264" s="19"/>
      <c r="T264" s="19"/>
      <c r="U264" s="19"/>
      <c r="V264" s="19"/>
      <c r="W264" s="20"/>
      <c r="X264" s="43"/>
    </row>
    <row r="265" spans="1:24" ht="15.75" hidden="1" customHeight="1" x14ac:dyDescent="0.25">
      <c r="A265" s="16"/>
      <c r="B265" s="16" t="str">
        <f t="shared" si="0"/>
        <v/>
      </c>
      <c r="C265" s="16"/>
      <c r="D265" s="40"/>
      <c r="E265" s="16"/>
      <c r="F265" s="41"/>
      <c r="G265" s="16"/>
      <c r="H265" s="16"/>
      <c r="I265" s="16"/>
      <c r="J265" s="22"/>
      <c r="K265" s="16"/>
      <c r="L265" s="16"/>
      <c r="M265" s="16"/>
      <c r="N265" s="19"/>
      <c r="O265" s="19"/>
      <c r="P265" s="19"/>
      <c r="Q265" s="19"/>
      <c r="R265" s="19"/>
      <c r="S265" s="19"/>
      <c r="T265" s="19"/>
      <c r="U265" s="19"/>
      <c r="V265" s="19"/>
      <c r="W265" s="20"/>
      <c r="X265" s="43"/>
    </row>
    <row r="266" spans="1:24" ht="15.75" hidden="1" customHeight="1" x14ac:dyDescent="0.25">
      <c r="A266" s="16"/>
      <c r="B266" s="16" t="str">
        <f t="shared" si="0"/>
        <v/>
      </c>
      <c r="C266" s="16"/>
      <c r="D266" s="40"/>
      <c r="E266" s="16"/>
      <c r="F266" s="41"/>
      <c r="G266" s="16"/>
      <c r="H266" s="16"/>
      <c r="I266" s="16"/>
      <c r="J266" s="22"/>
      <c r="K266" s="16"/>
      <c r="L266" s="16"/>
      <c r="M266" s="16"/>
      <c r="N266" s="19"/>
      <c r="O266" s="19"/>
      <c r="P266" s="19"/>
      <c r="Q266" s="19"/>
      <c r="R266" s="19"/>
      <c r="S266" s="19"/>
      <c r="T266" s="19"/>
      <c r="U266" s="19"/>
      <c r="V266" s="19"/>
      <c r="W266" s="20"/>
      <c r="X266" s="43"/>
    </row>
    <row r="267" spans="1:24" ht="15.75" hidden="1" customHeight="1" x14ac:dyDescent="0.25">
      <c r="A267" s="16"/>
      <c r="B267" s="16" t="str">
        <f t="shared" si="0"/>
        <v/>
      </c>
      <c r="C267" s="16"/>
      <c r="D267" s="40"/>
      <c r="E267" s="16"/>
      <c r="F267" s="41"/>
      <c r="G267" s="16"/>
      <c r="H267" s="16"/>
      <c r="I267" s="16"/>
      <c r="J267" s="22"/>
      <c r="K267" s="16"/>
      <c r="L267" s="16"/>
      <c r="M267" s="16"/>
      <c r="N267" s="19"/>
      <c r="O267" s="19"/>
      <c r="P267" s="19"/>
      <c r="Q267" s="19"/>
      <c r="R267" s="19"/>
      <c r="S267" s="19"/>
      <c r="T267" s="19"/>
      <c r="U267" s="19"/>
      <c r="V267" s="19"/>
      <c r="W267" s="20"/>
      <c r="X267" s="43"/>
    </row>
    <row r="268" spans="1:24" ht="15.75" hidden="1" customHeight="1" x14ac:dyDescent="0.25">
      <c r="A268" s="16"/>
      <c r="B268" s="16" t="str">
        <f t="shared" si="0"/>
        <v/>
      </c>
      <c r="C268" s="16"/>
      <c r="D268" s="40"/>
      <c r="E268" s="16"/>
      <c r="F268" s="41"/>
      <c r="G268" s="16"/>
      <c r="H268" s="16"/>
      <c r="I268" s="16"/>
      <c r="J268" s="22"/>
      <c r="K268" s="16"/>
      <c r="L268" s="16"/>
      <c r="M268" s="16"/>
      <c r="N268" s="19"/>
      <c r="O268" s="19"/>
      <c r="P268" s="19"/>
      <c r="Q268" s="19"/>
      <c r="R268" s="19"/>
      <c r="S268" s="19"/>
      <c r="T268" s="19"/>
      <c r="U268" s="19"/>
      <c r="V268" s="19"/>
      <c r="W268" s="20"/>
      <c r="X268" s="43"/>
    </row>
    <row r="269" spans="1:24" ht="15.75" hidden="1" customHeight="1" x14ac:dyDescent="0.25">
      <c r="A269" s="16"/>
      <c r="B269" s="16" t="str">
        <f t="shared" si="0"/>
        <v/>
      </c>
      <c r="C269" s="16"/>
      <c r="D269" s="40"/>
      <c r="E269" s="16"/>
      <c r="F269" s="41"/>
      <c r="G269" s="16"/>
      <c r="H269" s="16"/>
      <c r="I269" s="16"/>
      <c r="J269" s="22"/>
      <c r="K269" s="16"/>
      <c r="L269" s="16"/>
      <c r="M269" s="16"/>
      <c r="N269" s="19"/>
      <c r="O269" s="19"/>
      <c r="P269" s="19"/>
      <c r="Q269" s="19"/>
      <c r="R269" s="19"/>
      <c r="S269" s="19"/>
      <c r="T269" s="19"/>
      <c r="U269" s="19"/>
      <c r="V269" s="19"/>
      <c r="W269" s="20"/>
      <c r="X269" s="43"/>
    </row>
    <row r="270" spans="1:24" ht="15.75" hidden="1" customHeight="1" x14ac:dyDescent="0.25">
      <c r="A270" s="16"/>
      <c r="B270" s="16" t="str">
        <f t="shared" si="0"/>
        <v/>
      </c>
      <c r="C270" s="16"/>
      <c r="D270" s="40"/>
      <c r="E270" s="16"/>
      <c r="F270" s="41"/>
      <c r="G270" s="16"/>
      <c r="H270" s="16"/>
      <c r="I270" s="16"/>
      <c r="J270" s="22"/>
      <c r="K270" s="16"/>
      <c r="L270" s="16"/>
      <c r="M270" s="16"/>
      <c r="N270" s="19"/>
      <c r="O270" s="19"/>
      <c r="P270" s="19"/>
      <c r="Q270" s="19"/>
      <c r="R270" s="19"/>
      <c r="S270" s="19"/>
      <c r="T270" s="19"/>
      <c r="U270" s="19"/>
      <c r="V270" s="19"/>
      <c r="W270" s="20"/>
      <c r="X270" s="43"/>
    </row>
    <row r="271" spans="1:24" ht="15.75" hidden="1" customHeight="1" x14ac:dyDescent="0.25">
      <c r="A271" s="16"/>
      <c r="B271" s="16" t="str">
        <f t="shared" si="0"/>
        <v/>
      </c>
      <c r="C271" s="16"/>
      <c r="D271" s="40"/>
      <c r="E271" s="16"/>
      <c r="F271" s="41"/>
      <c r="G271" s="16"/>
      <c r="H271" s="16"/>
      <c r="I271" s="16"/>
      <c r="J271" s="22"/>
      <c r="K271" s="16"/>
      <c r="L271" s="16"/>
      <c r="M271" s="16"/>
      <c r="N271" s="19"/>
      <c r="O271" s="19"/>
      <c r="P271" s="19"/>
      <c r="Q271" s="19"/>
      <c r="R271" s="19"/>
      <c r="S271" s="19"/>
      <c r="T271" s="19"/>
      <c r="U271" s="19"/>
      <c r="V271" s="19"/>
      <c r="W271" s="20"/>
      <c r="X271" s="43"/>
    </row>
    <row r="272" spans="1:24" ht="15.75" hidden="1" customHeight="1" x14ac:dyDescent="0.25">
      <c r="A272" s="16"/>
      <c r="B272" s="16" t="str">
        <f t="shared" si="0"/>
        <v/>
      </c>
      <c r="C272" s="16"/>
      <c r="D272" s="40"/>
      <c r="E272" s="16"/>
      <c r="F272" s="41"/>
      <c r="G272" s="16"/>
      <c r="H272" s="16"/>
      <c r="I272" s="16"/>
      <c r="J272" s="22"/>
      <c r="K272" s="16"/>
      <c r="L272" s="16"/>
      <c r="M272" s="16"/>
      <c r="N272" s="19"/>
      <c r="O272" s="19"/>
      <c r="P272" s="19"/>
      <c r="Q272" s="19"/>
      <c r="R272" s="19"/>
      <c r="S272" s="19"/>
      <c r="T272" s="19"/>
      <c r="U272" s="19"/>
      <c r="V272" s="19"/>
      <c r="W272" s="20"/>
      <c r="X272" s="43"/>
    </row>
    <row r="273" spans="1:24" ht="15.75" hidden="1" customHeight="1" x14ac:dyDescent="0.25">
      <c r="A273" s="16"/>
      <c r="B273" s="16" t="str">
        <f t="shared" si="0"/>
        <v/>
      </c>
      <c r="C273" s="16"/>
      <c r="D273" s="40"/>
      <c r="E273" s="16"/>
      <c r="F273" s="41"/>
      <c r="G273" s="16"/>
      <c r="H273" s="16"/>
      <c r="I273" s="16"/>
      <c r="J273" s="22"/>
      <c r="K273" s="16"/>
      <c r="L273" s="16"/>
      <c r="M273" s="16"/>
      <c r="N273" s="19"/>
      <c r="O273" s="19"/>
      <c r="P273" s="19"/>
      <c r="Q273" s="19"/>
      <c r="R273" s="19"/>
      <c r="S273" s="19"/>
      <c r="T273" s="19"/>
      <c r="U273" s="19"/>
      <c r="V273" s="19"/>
      <c r="W273" s="20"/>
      <c r="X273" s="43"/>
    </row>
    <row r="274" spans="1:24" ht="15.75" hidden="1" customHeight="1" x14ac:dyDescent="0.25">
      <c r="A274" s="16"/>
      <c r="B274" s="16" t="str">
        <f t="shared" si="0"/>
        <v/>
      </c>
      <c r="C274" s="16"/>
      <c r="D274" s="40"/>
      <c r="E274" s="16"/>
      <c r="F274" s="41"/>
      <c r="G274" s="16"/>
      <c r="H274" s="16"/>
      <c r="I274" s="16"/>
      <c r="J274" s="22"/>
      <c r="K274" s="16"/>
      <c r="L274" s="16"/>
      <c r="M274" s="16"/>
      <c r="N274" s="19"/>
      <c r="O274" s="19"/>
      <c r="P274" s="19"/>
      <c r="Q274" s="19"/>
      <c r="R274" s="19"/>
      <c r="S274" s="19"/>
      <c r="T274" s="19"/>
      <c r="U274" s="19"/>
      <c r="V274" s="19"/>
      <c r="W274" s="20"/>
      <c r="X274" s="43"/>
    </row>
    <row r="275" spans="1:24" ht="15.75" hidden="1" customHeight="1" x14ac:dyDescent="0.25">
      <c r="A275" s="16"/>
      <c r="B275" s="16" t="str">
        <f t="shared" si="0"/>
        <v/>
      </c>
      <c r="C275" s="16"/>
      <c r="D275" s="40"/>
      <c r="E275" s="16"/>
      <c r="F275" s="41"/>
      <c r="G275" s="16"/>
      <c r="H275" s="16"/>
      <c r="I275" s="16"/>
      <c r="J275" s="22"/>
      <c r="K275" s="16"/>
      <c r="L275" s="16"/>
      <c r="M275" s="16"/>
      <c r="N275" s="19"/>
      <c r="O275" s="19"/>
      <c r="P275" s="19"/>
      <c r="Q275" s="19"/>
      <c r="R275" s="19"/>
      <c r="S275" s="19"/>
      <c r="T275" s="19"/>
      <c r="U275" s="19"/>
      <c r="V275" s="19"/>
      <c r="W275" s="20"/>
      <c r="X275" s="43"/>
    </row>
    <row r="276" spans="1:24" ht="15.75" hidden="1" customHeight="1" x14ac:dyDescent="0.25">
      <c r="A276" s="16"/>
      <c r="B276" s="16" t="str">
        <f t="shared" si="0"/>
        <v/>
      </c>
      <c r="C276" s="16"/>
      <c r="D276" s="40"/>
      <c r="E276" s="16"/>
      <c r="F276" s="41"/>
      <c r="G276" s="16"/>
      <c r="H276" s="16"/>
      <c r="I276" s="16"/>
      <c r="J276" s="22"/>
      <c r="K276" s="16"/>
      <c r="L276" s="16"/>
      <c r="M276" s="16"/>
      <c r="N276" s="19"/>
      <c r="O276" s="19"/>
      <c r="P276" s="19"/>
      <c r="Q276" s="19"/>
      <c r="R276" s="19"/>
      <c r="S276" s="19"/>
      <c r="T276" s="19"/>
      <c r="U276" s="19"/>
      <c r="V276" s="19"/>
      <c r="W276" s="20"/>
      <c r="X276" s="43"/>
    </row>
    <row r="277" spans="1:24" ht="15.75" hidden="1" customHeight="1" x14ac:dyDescent="0.25">
      <c r="A277" s="16"/>
      <c r="B277" s="16" t="str">
        <f t="shared" ref="B277:B531" si="1">MID(X277,17,30)</f>
        <v/>
      </c>
      <c r="C277" s="16"/>
      <c r="D277" s="40"/>
      <c r="E277" s="16"/>
      <c r="F277" s="41"/>
      <c r="G277" s="16"/>
      <c r="H277" s="16"/>
      <c r="I277" s="16"/>
      <c r="J277" s="22"/>
      <c r="K277" s="16"/>
      <c r="L277" s="16"/>
      <c r="M277" s="16"/>
      <c r="N277" s="19"/>
      <c r="O277" s="19"/>
      <c r="P277" s="19"/>
      <c r="Q277" s="19"/>
      <c r="R277" s="19"/>
      <c r="S277" s="19"/>
      <c r="T277" s="19"/>
      <c r="U277" s="19"/>
      <c r="V277" s="19"/>
      <c r="W277" s="20"/>
      <c r="X277" s="43"/>
    </row>
    <row r="278" spans="1:24" ht="15.75" hidden="1" customHeight="1" x14ac:dyDescent="0.25">
      <c r="A278" s="16"/>
      <c r="B278" s="16" t="str">
        <f t="shared" si="1"/>
        <v/>
      </c>
      <c r="C278" s="16"/>
      <c r="D278" s="40"/>
      <c r="E278" s="16"/>
      <c r="F278" s="41"/>
      <c r="G278" s="16"/>
      <c r="H278" s="16"/>
      <c r="I278" s="16"/>
      <c r="J278" s="22"/>
      <c r="K278" s="16"/>
      <c r="L278" s="16"/>
      <c r="M278" s="16"/>
      <c r="N278" s="19"/>
      <c r="O278" s="19"/>
      <c r="P278" s="19"/>
      <c r="Q278" s="19"/>
      <c r="R278" s="19"/>
      <c r="S278" s="19"/>
      <c r="T278" s="19"/>
      <c r="U278" s="19"/>
      <c r="V278" s="19"/>
      <c r="W278" s="20"/>
      <c r="X278" s="43"/>
    </row>
    <row r="279" spans="1:24" ht="15.75" hidden="1" customHeight="1" x14ac:dyDescent="0.25">
      <c r="A279" s="16"/>
      <c r="B279" s="16" t="str">
        <f t="shared" si="1"/>
        <v/>
      </c>
      <c r="C279" s="16"/>
      <c r="D279" s="40"/>
      <c r="E279" s="16"/>
      <c r="F279" s="41"/>
      <c r="G279" s="16"/>
      <c r="H279" s="16"/>
      <c r="I279" s="16"/>
      <c r="J279" s="22"/>
      <c r="K279" s="16"/>
      <c r="L279" s="16"/>
      <c r="M279" s="16"/>
      <c r="N279" s="19"/>
      <c r="O279" s="19"/>
      <c r="P279" s="19"/>
      <c r="Q279" s="19"/>
      <c r="R279" s="19"/>
      <c r="S279" s="19"/>
      <c r="T279" s="19"/>
      <c r="U279" s="19"/>
      <c r="V279" s="19"/>
      <c r="W279" s="20"/>
      <c r="X279" s="43"/>
    </row>
    <row r="280" spans="1:24" ht="15.75" hidden="1" customHeight="1" x14ac:dyDescent="0.25">
      <c r="A280" s="16"/>
      <c r="B280" s="16" t="str">
        <f t="shared" si="1"/>
        <v/>
      </c>
      <c r="C280" s="16"/>
      <c r="D280" s="40"/>
      <c r="E280" s="16"/>
      <c r="F280" s="41"/>
      <c r="G280" s="16"/>
      <c r="H280" s="16"/>
      <c r="I280" s="16"/>
      <c r="J280" s="22"/>
      <c r="K280" s="16"/>
      <c r="L280" s="16"/>
      <c r="M280" s="16"/>
      <c r="N280" s="19"/>
      <c r="O280" s="19"/>
      <c r="P280" s="19"/>
      <c r="Q280" s="19"/>
      <c r="R280" s="19"/>
      <c r="S280" s="19"/>
      <c r="T280" s="19"/>
      <c r="U280" s="19"/>
      <c r="V280" s="19"/>
      <c r="W280" s="20"/>
      <c r="X280" s="43"/>
    </row>
    <row r="281" spans="1:24" ht="15.75" hidden="1" customHeight="1" x14ac:dyDescent="0.25">
      <c r="A281" s="16"/>
      <c r="B281" s="16" t="str">
        <f t="shared" si="1"/>
        <v/>
      </c>
      <c r="C281" s="16"/>
      <c r="D281" s="40"/>
      <c r="E281" s="16"/>
      <c r="F281" s="41"/>
      <c r="G281" s="16"/>
      <c r="H281" s="16"/>
      <c r="I281" s="16"/>
      <c r="J281" s="22"/>
      <c r="K281" s="16"/>
      <c r="L281" s="16"/>
      <c r="M281" s="16"/>
      <c r="N281" s="19"/>
      <c r="O281" s="19"/>
      <c r="P281" s="19"/>
      <c r="Q281" s="19"/>
      <c r="R281" s="19"/>
      <c r="S281" s="19"/>
      <c r="T281" s="19"/>
      <c r="U281" s="19"/>
      <c r="V281" s="19"/>
      <c r="W281" s="20"/>
      <c r="X281" s="43"/>
    </row>
    <row r="282" spans="1:24" ht="15.75" hidden="1" customHeight="1" x14ac:dyDescent="0.25">
      <c r="A282" s="16"/>
      <c r="B282" s="16" t="str">
        <f t="shared" si="1"/>
        <v/>
      </c>
      <c r="C282" s="16"/>
      <c r="D282" s="40"/>
      <c r="E282" s="16"/>
      <c r="F282" s="41"/>
      <c r="G282" s="16"/>
      <c r="H282" s="16"/>
      <c r="I282" s="16"/>
      <c r="J282" s="22"/>
      <c r="K282" s="16"/>
      <c r="L282" s="16"/>
      <c r="M282" s="16"/>
      <c r="N282" s="19"/>
      <c r="O282" s="19"/>
      <c r="P282" s="19"/>
      <c r="Q282" s="19"/>
      <c r="R282" s="19"/>
      <c r="S282" s="19"/>
      <c r="T282" s="19"/>
      <c r="U282" s="19"/>
      <c r="V282" s="19"/>
      <c r="W282" s="20"/>
      <c r="X282" s="43"/>
    </row>
    <row r="283" spans="1:24" ht="15.75" hidden="1" customHeight="1" x14ac:dyDescent="0.25">
      <c r="A283" s="16"/>
      <c r="B283" s="16" t="str">
        <f t="shared" si="1"/>
        <v/>
      </c>
      <c r="C283" s="16"/>
      <c r="D283" s="40"/>
      <c r="E283" s="16"/>
      <c r="F283" s="41"/>
      <c r="G283" s="16"/>
      <c r="H283" s="16"/>
      <c r="I283" s="16"/>
      <c r="J283" s="22"/>
      <c r="K283" s="16"/>
      <c r="L283" s="16"/>
      <c r="M283" s="16"/>
      <c r="N283" s="19"/>
      <c r="O283" s="19"/>
      <c r="P283" s="19"/>
      <c r="Q283" s="19"/>
      <c r="R283" s="19"/>
      <c r="S283" s="19"/>
      <c r="T283" s="19"/>
      <c r="U283" s="19"/>
      <c r="V283" s="19"/>
      <c r="W283" s="20"/>
      <c r="X283" s="43"/>
    </row>
    <row r="284" spans="1:24" ht="15.75" hidden="1" customHeight="1" x14ac:dyDescent="0.25">
      <c r="A284" s="16"/>
      <c r="B284" s="16" t="str">
        <f t="shared" si="1"/>
        <v/>
      </c>
      <c r="C284" s="16"/>
      <c r="D284" s="40"/>
      <c r="E284" s="16"/>
      <c r="F284" s="41"/>
      <c r="G284" s="16"/>
      <c r="H284" s="16"/>
      <c r="I284" s="16"/>
      <c r="J284" s="22"/>
      <c r="K284" s="16"/>
      <c r="L284" s="16"/>
      <c r="M284" s="16"/>
      <c r="N284" s="19"/>
      <c r="O284" s="19"/>
      <c r="P284" s="19"/>
      <c r="Q284" s="19"/>
      <c r="R284" s="19"/>
      <c r="S284" s="19"/>
      <c r="T284" s="19"/>
      <c r="U284" s="19"/>
      <c r="V284" s="19"/>
      <c r="W284" s="20"/>
      <c r="X284" s="43"/>
    </row>
    <row r="285" spans="1:24" ht="15.75" hidden="1" customHeight="1" x14ac:dyDescent="0.25">
      <c r="A285" s="16"/>
      <c r="B285" s="16" t="str">
        <f t="shared" si="1"/>
        <v/>
      </c>
      <c r="C285" s="16"/>
      <c r="D285" s="40"/>
      <c r="E285" s="16"/>
      <c r="F285" s="41"/>
      <c r="G285" s="16"/>
      <c r="H285" s="16"/>
      <c r="I285" s="16"/>
      <c r="J285" s="22"/>
      <c r="K285" s="16"/>
      <c r="L285" s="16"/>
      <c r="M285" s="16"/>
      <c r="N285" s="19"/>
      <c r="O285" s="19"/>
      <c r="P285" s="19"/>
      <c r="Q285" s="19"/>
      <c r="R285" s="19"/>
      <c r="S285" s="19"/>
      <c r="T285" s="19"/>
      <c r="U285" s="19"/>
      <c r="V285" s="19"/>
      <c r="W285" s="20"/>
      <c r="X285" s="43"/>
    </row>
    <row r="286" spans="1:24" ht="15.75" hidden="1" customHeight="1" x14ac:dyDescent="0.25">
      <c r="A286" s="16"/>
      <c r="B286" s="16" t="str">
        <f t="shared" si="1"/>
        <v/>
      </c>
      <c r="C286" s="16"/>
      <c r="D286" s="40"/>
      <c r="E286" s="16"/>
      <c r="F286" s="41"/>
      <c r="G286" s="16"/>
      <c r="H286" s="16"/>
      <c r="I286" s="16"/>
      <c r="J286" s="22"/>
      <c r="K286" s="16"/>
      <c r="L286" s="16"/>
      <c r="M286" s="16"/>
      <c r="N286" s="19"/>
      <c r="O286" s="19"/>
      <c r="P286" s="19"/>
      <c r="Q286" s="19"/>
      <c r="R286" s="19"/>
      <c r="S286" s="19"/>
      <c r="T286" s="19"/>
      <c r="U286" s="19"/>
      <c r="V286" s="19"/>
      <c r="W286" s="20"/>
      <c r="X286" s="43"/>
    </row>
    <row r="287" spans="1:24" ht="15.75" hidden="1" customHeight="1" x14ac:dyDescent="0.25">
      <c r="A287" s="16"/>
      <c r="B287" s="16" t="str">
        <f t="shared" si="1"/>
        <v/>
      </c>
      <c r="C287" s="16"/>
      <c r="D287" s="40"/>
      <c r="E287" s="16"/>
      <c r="F287" s="41"/>
      <c r="G287" s="16"/>
      <c r="H287" s="16"/>
      <c r="I287" s="16"/>
      <c r="J287" s="22"/>
      <c r="K287" s="16"/>
      <c r="L287" s="16"/>
      <c r="M287" s="16"/>
      <c r="N287" s="19"/>
      <c r="O287" s="19"/>
      <c r="P287" s="19"/>
      <c r="Q287" s="19"/>
      <c r="R287" s="19"/>
      <c r="S287" s="19"/>
      <c r="T287" s="19"/>
      <c r="U287" s="19"/>
      <c r="V287" s="19"/>
      <c r="W287" s="20"/>
      <c r="X287" s="43"/>
    </row>
    <row r="288" spans="1:24" ht="15.75" hidden="1" customHeight="1" x14ac:dyDescent="0.25">
      <c r="A288" s="16"/>
      <c r="B288" s="16" t="str">
        <f t="shared" si="1"/>
        <v/>
      </c>
      <c r="C288" s="16"/>
      <c r="D288" s="40"/>
      <c r="E288" s="16"/>
      <c r="F288" s="41"/>
      <c r="G288" s="16"/>
      <c r="H288" s="16"/>
      <c r="I288" s="16"/>
      <c r="J288" s="22"/>
      <c r="K288" s="16"/>
      <c r="L288" s="16"/>
      <c r="M288" s="16"/>
      <c r="N288" s="19"/>
      <c r="O288" s="19"/>
      <c r="P288" s="19"/>
      <c r="Q288" s="19"/>
      <c r="R288" s="19"/>
      <c r="S288" s="19"/>
      <c r="T288" s="19"/>
      <c r="U288" s="19"/>
      <c r="V288" s="19"/>
      <c r="W288" s="20"/>
      <c r="X288" s="43"/>
    </row>
    <row r="289" spans="1:24" ht="15.75" hidden="1" customHeight="1" x14ac:dyDescent="0.25">
      <c r="A289" s="16"/>
      <c r="B289" s="16" t="str">
        <f t="shared" si="1"/>
        <v/>
      </c>
      <c r="C289" s="16"/>
      <c r="D289" s="40"/>
      <c r="E289" s="16"/>
      <c r="F289" s="41"/>
      <c r="G289" s="16"/>
      <c r="H289" s="16"/>
      <c r="I289" s="16"/>
      <c r="J289" s="22"/>
      <c r="K289" s="16"/>
      <c r="L289" s="16"/>
      <c r="M289" s="16"/>
      <c r="N289" s="19"/>
      <c r="O289" s="19"/>
      <c r="P289" s="19"/>
      <c r="Q289" s="19"/>
      <c r="R289" s="19"/>
      <c r="S289" s="19"/>
      <c r="T289" s="19"/>
      <c r="U289" s="19"/>
      <c r="V289" s="19"/>
      <c r="W289" s="20"/>
      <c r="X289" s="43"/>
    </row>
    <row r="290" spans="1:24" ht="15.75" hidden="1" customHeight="1" x14ac:dyDescent="0.25">
      <c r="A290" s="16"/>
      <c r="B290" s="16" t="str">
        <f t="shared" si="1"/>
        <v/>
      </c>
      <c r="C290" s="16"/>
      <c r="D290" s="40"/>
      <c r="E290" s="16"/>
      <c r="F290" s="41"/>
      <c r="G290" s="16"/>
      <c r="H290" s="16"/>
      <c r="I290" s="16"/>
      <c r="J290" s="22"/>
      <c r="K290" s="16"/>
      <c r="L290" s="16"/>
      <c r="M290" s="16"/>
      <c r="N290" s="19"/>
      <c r="O290" s="19"/>
      <c r="P290" s="19"/>
      <c r="Q290" s="19"/>
      <c r="R290" s="19"/>
      <c r="S290" s="19"/>
      <c r="T290" s="19"/>
      <c r="U290" s="19"/>
      <c r="V290" s="19"/>
      <c r="W290" s="20"/>
      <c r="X290" s="43"/>
    </row>
    <row r="291" spans="1:24" ht="15.75" hidden="1" customHeight="1" x14ac:dyDescent="0.25">
      <c r="A291" s="16"/>
      <c r="B291" s="16" t="str">
        <f t="shared" si="1"/>
        <v/>
      </c>
      <c r="C291" s="16"/>
      <c r="D291" s="40"/>
      <c r="E291" s="16"/>
      <c r="F291" s="41"/>
      <c r="G291" s="16"/>
      <c r="H291" s="16"/>
      <c r="I291" s="16"/>
      <c r="J291" s="22"/>
      <c r="K291" s="16"/>
      <c r="L291" s="16"/>
      <c r="M291" s="16"/>
      <c r="N291" s="19"/>
      <c r="O291" s="19"/>
      <c r="P291" s="19"/>
      <c r="Q291" s="19"/>
      <c r="R291" s="19"/>
      <c r="S291" s="19"/>
      <c r="T291" s="19"/>
      <c r="U291" s="19"/>
      <c r="V291" s="19"/>
      <c r="W291" s="20"/>
      <c r="X291" s="43"/>
    </row>
    <row r="292" spans="1:24" ht="15.75" hidden="1" customHeight="1" x14ac:dyDescent="0.25">
      <c r="A292" s="16"/>
      <c r="B292" s="16" t="str">
        <f t="shared" si="1"/>
        <v/>
      </c>
      <c r="C292" s="16"/>
      <c r="D292" s="40"/>
      <c r="E292" s="16"/>
      <c r="F292" s="41"/>
      <c r="G292" s="16"/>
      <c r="H292" s="16"/>
      <c r="I292" s="16"/>
      <c r="J292" s="22"/>
      <c r="K292" s="16"/>
      <c r="L292" s="16"/>
      <c r="M292" s="16"/>
      <c r="N292" s="19"/>
      <c r="O292" s="19"/>
      <c r="P292" s="19"/>
      <c r="Q292" s="19"/>
      <c r="R292" s="19"/>
      <c r="S292" s="19"/>
      <c r="T292" s="19"/>
      <c r="U292" s="19"/>
      <c r="V292" s="19"/>
      <c r="W292" s="20"/>
      <c r="X292" s="43"/>
    </row>
    <row r="293" spans="1:24" ht="15.75" hidden="1" customHeight="1" x14ac:dyDescent="0.25">
      <c r="A293" s="16"/>
      <c r="B293" s="16" t="str">
        <f t="shared" si="1"/>
        <v/>
      </c>
      <c r="C293" s="16"/>
      <c r="D293" s="40"/>
      <c r="E293" s="16"/>
      <c r="F293" s="41"/>
      <c r="G293" s="16"/>
      <c r="H293" s="16"/>
      <c r="I293" s="16"/>
      <c r="J293" s="22"/>
      <c r="K293" s="16"/>
      <c r="L293" s="16"/>
      <c r="M293" s="16"/>
      <c r="N293" s="19"/>
      <c r="O293" s="19"/>
      <c r="P293" s="19"/>
      <c r="Q293" s="19"/>
      <c r="R293" s="19"/>
      <c r="S293" s="19"/>
      <c r="T293" s="19"/>
      <c r="U293" s="19"/>
      <c r="V293" s="19"/>
      <c r="W293" s="20"/>
      <c r="X293" s="43"/>
    </row>
    <row r="294" spans="1:24" ht="15.75" hidden="1" customHeight="1" x14ac:dyDescent="0.25">
      <c r="A294" s="16"/>
      <c r="B294" s="16" t="str">
        <f t="shared" si="1"/>
        <v/>
      </c>
      <c r="C294" s="16"/>
      <c r="D294" s="40"/>
      <c r="E294" s="16"/>
      <c r="F294" s="41"/>
      <c r="G294" s="16"/>
      <c r="H294" s="16"/>
      <c r="I294" s="16"/>
      <c r="J294" s="22"/>
      <c r="K294" s="16"/>
      <c r="L294" s="16"/>
      <c r="M294" s="16"/>
      <c r="N294" s="19"/>
      <c r="O294" s="19"/>
      <c r="P294" s="19"/>
      <c r="Q294" s="19"/>
      <c r="R294" s="19"/>
      <c r="S294" s="19"/>
      <c r="T294" s="19"/>
      <c r="U294" s="19"/>
      <c r="V294" s="19"/>
      <c r="W294" s="20"/>
      <c r="X294" s="43"/>
    </row>
    <row r="295" spans="1:24" ht="15.75" hidden="1" customHeight="1" x14ac:dyDescent="0.25">
      <c r="A295" s="16"/>
      <c r="B295" s="16" t="str">
        <f t="shared" si="1"/>
        <v/>
      </c>
      <c r="C295" s="16"/>
      <c r="D295" s="40"/>
      <c r="E295" s="16"/>
      <c r="F295" s="41"/>
      <c r="G295" s="16"/>
      <c r="H295" s="16"/>
      <c r="I295" s="16"/>
      <c r="J295" s="22"/>
      <c r="K295" s="16"/>
      <c r="L295" s="16"/>
      <c r="M295" s="16"/>
      <c r="N295" s="19"/>
      <c r="O295" s="19"/>
      <c r="P295" s="19"/>
      <c r="Q295" s="19"/>
      <c r="R295" s="19"/>
      <c r="S295" s="19"/>
      <c r="T295" s="19"/>
      <c r="U295" s="19"/>
      <c r="V295" s="19"/>
      <c r="W295" s="20"/>
      <c r="X295" s="43"/>
    </row>
    <row r="296" spans="1:24" ht="15.75" hidden="1" customHeight="1" x14ac:dyDescent="0.25">
      <c r="A296" s="16"/>
      <c r="B296" s="16" t="str">
        <f t="shared" si="1"/>
        <v/>
      </c>
      <c r="C296" s="16"/>
      <c r="D296" s="40"/>
      <c r="E296" s="16"/>
      <c r="F296" s="41"/>
      <c r="G296" s="16"/>
      <c r="H296" s="16"/>
      <c r="I296" s="16"/>
      <c r="J296" s="22"/>
      <c r="K296" s="16"/>
      <c r="L296" s="16"/>
      <c r="M296" s="16"/>
      <c r="N296" s="19"/>
      <c r="O296" s="19"/>
      <c r="P296" s="19"/>
      <c r="Q296" s="19"/>
      <c r="R296" s="19"/>
      <c r="S296" s="19"/>
      <c r="T296" s="19"/>
      <c r="U296" s="19"/>
      <c r="V296" s="19"/>
      <c r="W296" s="20"/>
      <c r="X296" s="43"/>
    </row>
    <row r="297" spans="1:24" ht="15.75" hidden="1" customHeight="1" x14ac:dyDescent="0.25">
      <c r="A297" s="16"/>
      <c r="B297" s="16" t="str">
        <f t="shared" si="1"/>
        <v/>
      </c>
      <c r="C297" s="16"/>
      <c r="D297" s="40"/>
      <c r="E297" s="16"/>
      <c r="F297" s="41"/>
      <c r="G297" s="16"/>
      <c r="H297" s="16"/>
      <c r="I297" s="16"/>
      <c r="J297" s="22"/>
      <c r="K297" s="16"/>
      <c r="L297" s="16"/>
      <c r="M297" s="16"/>
      <c r="N297" s="19"/>
      <c r="O297" s="19"/>
      <c r="P297" s="19"/>
      <c r="Q297" s="19"/>
      <c r="R297" s="19"/>
      <c r="S297" s="19"/>
      <c r="T297" s="19"/>
      <c r="U297" s="19"/>
      <c r="V297" s="19"/>
      <c r="W297" s="20"/>
      <c r="X297" s="43"/>
    </row>
    <row r="298" spans="1:24" ht="15.75" hidden="1" customHeight="1" x14ac:dyDescent="0.25">
      <c r="A298" s="16"/>
      <c r="B298" s="16" t="str">
        <f t="shared" si="1"/>
        <v/>
      </c>
      <c r="C298" s="16"/>
      <c r="D298" s="40"/>
      <c r="E298" s="16"/>
      <c r="F298" s="41"/>
      <c r="G298" s="16"/>
      <c r="H298" s="16"/>
      <c r="I298" s="16"/>
      <c r="J298" s="22"/>
      <c r="K298" s="16"/>
      <c r="L298" s="16"/>
      <c r="M298" s="16"/>
      <c r="N298" s="19"/>
      <c r="O298" s="19"/>
      <c r="P298" s="19"/>
      <c r="Q298" s="19"/>
      <c r="R298" s="19"/>
      <c r="S298" s="19"/>
      <c r="T298" s="19"/>
      <c r="U298" s="19"/>
      <c r="V298" s="19"/>
      <c r="W298" s="20"/>
      <c r="X298" s="43"/>
    </row>
    <row r="299" spans="1:24" ht="15.75" hidden="1" customHeight="1" x14ac:dyDescent="0.25">
      <c r="A299" s="16"/>
      <c r="B299" s="16" t="str">
        <f t="shared" si="1"/>
        <v/>
      </c>
      <c r="C299" s="16"/>
      <c r="D299" s="40"/>
      <c r="E299" s="16"/>
      <c r="F299" s="41"/>
      <c r="G299" s="16"/>
      <c r="H299" s="16"/>
      <c r="I299" s="16"/>
      <c r="J299" s="22"/>
      <c r="K299" s="16"/>
      <c r="L299" s="16"/>
      <c r="M299" s="16"/>
      <c r="N299" s="19"/>
      <c r="O299" s="19"/>
      <c r="P299" s="19"/>
      <c r="Q299" s="19"/>
      <c r="R299" s="19"/>
      <c r="S299" s="19"/>
      <c r="T299" s="19"/>
      <c r="U299" s="19"/>
      <c r="V299" s="19"/>
      <c r="W299" s="20"/>
      <c r="X299" s="43"/>
    </row>
    <row r="300" spans="1:24" ht="15.75" hidden="1" customHeight="1" x14ac:dyDescent="0.25">
      <c r="A300" s="16"/>
      <c r="B300" s="16" t="str">
        <f t="shared" si="1"/>
        <v/>
      </c>
      <c r="C300" s="16"/>
      <c r="D300" s="40"/>
      <c r="E300" s="16"/>
      <c r="F300" s="41"/>
      <c r="G300" s="16"/>
      <c r="H300" s="16"/>
      <c r="I300" s="16"/>
      <c r="J300" s="22"/>
      <c r="K300" s="16"/>
      <c r="L300" s="16"/>
      <c r="M300" s="16"/>
      <c r="N300" s="19"/>
      <c r="O300" s="19"/>
      <c r="P300" s="19"/>
      <c r="Q300" s="19"/>
      <c r="R300" s="19"/>
      <c r="S300" s="19"/>
      <c r="T300" s="19"/>
      <c r="U300" s="19"/>
      <c r="V300" s="19"/>
      <c r="W300" s="20"/>
      <c r="X300" s="43"/>
    </row>
    <row r="301" spans="1:24" ht="15.75" hidden="1" customHeight="1" x14ac:dyDescent="0.25">
      <c r="A301" s="16"/>
      <c r="B301" s="16" t="str">
        <f t="shared" si="1"/>
        <v/>
      </c>
      <c r="C301" s="16"/>
      <c r="D301" s="40"/>
      <c r="E301" s="16"/>
      <c r="F301" s="41"/>
      <c r="G301" s="16"/>
      <c r="H301" s="16"/>
      <c r="I301" s="16"/>
      <c r="J301" s="22"/>
      <c r="K301" s="16"/>
      <c r="L301" s="16"/>
      <c r="M301" s="16"/>
      <c r="N301" s="19"/>
      <c r="O301" s="19"/>
      <c r="P301" s="19"/>
      <c r="Q301" s="19"/>
      <c r="R301" s="19"/>
      <c r="S301" s="19"/>
      <c r="T301" s="19"/>
      <c r="U301" s="19"/>
      <c r="V301" s="19"/>
      <c r="W301" s="20"/>
      <c r="X301" s="43"/>
    </row>
    <row r="302" spans="1:24" ht="15.75" hidden="1" customHeight="1" x14ac:dyDescent="0.25">
      <c r="A302" s="16"/>
      <c r="B302" s="16" t="str">
        <f t="shared" si="1"/>
        <v/>
      </c>
      <c r="C302" s="16"/>
      <c r="D302" s="40"/>
      <c r="E302" s="16"/>
      <c r="F302" s="41"/>
      <c r="G302" s="16"/>
      <c r="H302" s="16"/>
      <c r="I302" s="16"/>
      <c r="J302" s="22"/>
      <c r="K302" s="16"/>
      <c r="L302" s="16"/>
      <c r="M302" s="16"/>
      <c r="N302" s="19"/>
      <c r="O302" s="19"/>
      <c r="P302" s="19"/>
      <c r="Q302" s="19"/>
      <c r="R302" s="19"/>
      <c r="S302" s="19"/>
      <c r="T302" s="19"/>
      <c r="U302" s="19"/>
      <c r="V302" s="19"/>
      <c r="W302" s="20"/>
      <c r="X302" s="43"/>
    </row>
    <row r="303" spans="1:24" ht="15.75" hidden="1" customHeight="1" x14ac:dyDescent="0.25">
      <c r="A303" s="16"/>
      <c r="B303" s="16" t="str">
        <f t="shared" si="1"/>
        <v/>
      </c>
      <c r="C303" s="16"/>
      <c r="D303" s="40"/>
      <c r="E303" s="16"/>
      <c r="F303" s="41"/>
      <c r="G303" s="16"/>
      <c r="H303" s="16"/>
      <c r="I303" s="16"/>
      <c r="J303" s="22"/>
      <c r="K303" s="16"/>
      <c r="L303" s="16"/>
      <c r="M303" s="16"/>
      <c r="N303" s="19"/>
      <c r="O303" s="19"/>
      <c r="P303" s="19"/>
      <c r="Q303" s="19"/>
      <c r="R303" s="19"/>
      <c r="S303" s="19"/>
      <c r="T303" s="19"/>
      <c r="U303" s="19"/>
      <c r="V303" s="19"/>
      <c r="W303" s="20"/>
      <c r="X303" s="43"/>
    </row>
    <row r="304" spans="1:24" ht="15.75" hidden="1" customHeight="1" x14ac:dyDescent="0.25">
      <c r="A304" s="16"/>
      <c r="B304" s="16" t="str">
        <f t="shared" si="1"/>
        <v/>
      </c>
      <c r="C304" s="16"/>
      <c r="D304" s="40"/>
      <c r="E304" s="16"/>
      <c r="F304" s="41"/>
      <c r="G304" s="16"/>
      <c r="H304" s="16"/>
      <c r="I304" s="16"/>
      <c r="J304" s="22"/>
      <c r="K304" s="16"/>
      <c r="L304" s="16"/>
      <c r="M304" s="16"/>
      <c r="N304" s="19"/>
      <c r="O304" s="19"/>
      <c r="P304" s="19"/>
      <c r="Q304" s="19"/>
      <c r="R304" s="19"/>
      <c r="S304" s="19"/>
      <c r="T304" s="19"/>
      <c r="U304" s="19"/>
      <c r="V304" s="19"/>
      <c r="W304" s="20"/>
      <c r="X304" s="43"/>
    </row>
    <row r="305" spans="1:24" ht="15.75" hidden="1" customHeight="1" x14ac:dyDescent="0.25">
      <c r="A305" s="16"/>
      <c r="B305" s="16" t="str">
        <f t="shared" si="1"/>
        <v/>
      </c>
      <c r="C305" s="16"/>
      <c r="D305" s="40"/>
      <c r="E305" s="16"/>
      <c r="F305" s="41"/>
      <c r="G305" s="16"/>
      <c r="H305" s="16"/>
      <c r="I305" s="16"/>
      <c r="J305" s="22"/>
      <c r="K305" s="16"/>
      <c r="L305" s="16"/>
      <c r="M305" s="16"/>
      <c r="N305" s="19"/>
      <c r="O305" s="19"/>
      <c r="P305" s="19"/>
      <c r="Q305" s="19"/>
      <c r="R305" s="19"/>
      <c r="S305" s="19"/>
      <c r="T305" s="19"/>
      <c r="U305" s="19"/>
      <c r="V305" s="19"/>
      <c r="W305" s="20"/>
      <c r="X305" s="43"/>
    </row>
    <row r="306" spans="1:24" ht="15.75" hidden="1" customHeight="1" x14ac:dyDescent="0.25">
      <c r="A306" s="16"/>
      <c r="B306" s="16" t="str">
        <f t="shared" si="1"/>
        <v/>
      </c>
      <c r="C306" s="16"/>
      <c r="D306" s="40"/>
      <c r="E306" s="16"/>
      <c r="F306" s="41"/>
      <c r="G306" s="16"/>
      <c r="H306" s="16"/>
      <c r="I306" s="16"/>
      <c r="J306" s="22"/>
      <c r="K306" s="16"/>
      <c r="L306" s="16"/>
      <c r="M306" s="16"/>
      <c r="N306" s="19"/>
      <c r="O306" s="19"/>
      <c r="P306" s="19"/>
      <c r="Q306" s="19"/>
      <c r="R306" s="19"/>
      <c r="S306" s="19"/>
      <c r="T306" s="19"/>
      <c r="U306" s="19"/>
      <c r="V306" s="19"/>
      <c r="W306" s="20"/>
      <c r="X306" s="43"/>
    </row>
    <row r="307" spans="1:24" ht="15.75" hidden="1" customHeight="1" x14ac:dyDescent="0.25">
      <c r="A307" s="16"/>
      <c r="B307" s="16" t="str">
        <f t="shared" si="1"/>
        <v/>
      </c>
      <c r="C307" s="16"/>
      <c r="D307" s="40"/>
      <c r="E307" s="16"/>
      <c r="F307" s="41"/>
      <c r="G307" s="16"/>
      <c r="H307" s="16"/>
      <c r="I307" s="16"/>
      <c r="J307" s="22"/>
      <c r="K307" s="16"/>
      <c r="L307" s="16"/>
      <c r="M307" s="16"/>
      <c r="N307" s="19"/>
      <c r="O307" s="19"/>
      <c r="P307" s="19"/>
      <c r="Q307" s="19"/>
      <c r="R307" s="19"/>
      <c r="S307" s="19"/>
      <c r="T307" s="19"/>
      <c r="U307" s="19"/>
      <c r="V307" s="19"/>
      <c r="W307" s="20"/>
      <c r="X307" s="43"/>
    </row>
    <row r="308" spans="1:24" ht="15.75" hidden="1" customHeight="1" x14ac:dyDescent="0.25">
      <c r="A308" s="16"/>
      <c r="B308" s="16" t="str">
        <f t="shared" si="1"/>
        <v/>
      </c>
      <c r="C308" s="16"/>
      <c r="D308" s="40"/>
      <c r="E308" s="16"/>
      <c r="F308" s="41"/>
      <c r="G308" s="16"/>
      <c r="H308" s="16"/>
      <c r="I308" s="16"/>
      <c r="J308" s="22"/>
      <c r="K308" s="16"/>
      <c r="L308" s="16"/>
      <c r="M308" s="16"/>
      <c r="N308" s="19"/>
      <c r="O308" s="19"/>
      <c r="P308" s="19"/>
      <c r="Q308" s="19"/>
      <c r="R308" s="19"/>
      <c r="S308" s="19"/>
      <c r="T308" s="19"/>
      <c r="U308" s="19"/>
      <c r="V308" s="19"/>
      <c r="W308" s="20"/>
      <c r="X308" s="43"/>
    </row>
    <row r="309" spans="1:24" ht="15.75" hidden="1" customHeight="1" x14ac:dyDescent="0.25">
      <c r="A309" s="16"/>
      <c r="B309" s="16" t="str">
        <f t="shared" si="1"/>
        <v/>
      </c>
      <c r="C309" s="16"/>
      <c r="D309" s="40"/>
      <c r="E309" s="16"/>
      <c r="F309" s="41"/>
      <c r="G309" s="16"/>
      <c r="H309" s="16"/>
      <c r="I309" s="16"/>
      <c r="J309" s="22"/>
      <c r="K309" s="16"/>
      <c r="L309" s="16"/>
      <c r="M309" s="16"/>
      <c r="N309" s="19"/>
      <c r="O309" s="19"/>
      <c r="P309" s="19"/>
      <c r="Q309" s="19"/>
      <c r="R309" s="19"/>
      <c r="S309" s="19"/>
      <c r="T309" s="19"/>
      <c r="U309" s="19"/>
      <c r="V309" s="19"/>
      <c r="W309" s="20"/>
      <c r="X309" s="43"/>
    </row>
    <row r="310" spans="1:24" ht="15.75" hidden="1" customHeight="1" x14ac:dyDescent="0.25">
      <c r="A310" s="16"/>
      <c r="B310" s="16" t="str">
        <f t="shared" si="1"/>
        <v/>
      </c>
      <c r="C310" s="16"/>
      <c r="D310" s="40"/>
      <c r="E310" s="16"/>
      <c r="F310" s="41"/>
      <c r="G310" s="16"/>
      <c r="H310" s="16"/>
      <c r="I310" s="16"/>
      <c r="J310" s="22"/>
      <c r="K310" s="16"/>
      <c r="L310" s="16"/>
      <c r="M310" s="16"/>
      <c r="N310" s="19"/>
      <c r="O310" s="19"/>
      <c r="P310" s="19"/>
      <c r="Q310" s="19"/>
      <c r="R310" s="19"/>
      <c r="S310" s="19"/>
      <c r="T310" s="19"/>
      <c r="U310" s="19"/>
      <c r="V310" s="19"/>
      <c r="W310" s="20"/>
      <c r="X310" s="43"/>
    </row>
    <row r="311" spans="1:24" ht="15.75" hidden="1" customHeight="1" x14ac:dyDescent="0.25">
      <c r="A311" s="16"/>
      <c r="B311" s="16" t="str">
        <f t="shared" si="1"/>
        <v/>
      </c>
      <c r="C311" s="16"/>
      <c r="D311" s="40"/>
      <c r="E311" s="16"/>
      <c r="F311" s="41"/>
      <c r="G311" s="16"/>
      <c r="H311" s="16"/>
      <c r="I311" s="16"/>
      <c r="J311" s="22"/>
      <c r="K311" s="16"/>
      <c r="L311" s="16"/>
      <c r="M311" s="16"/>
      <c r="N311" s="19"/>
      <c r="O311" s="19"/>
      <c r="P311" s="19"/>
      <c r="Q311" s="19"/>
      <c r="R311" s="19"/>
      <c r="S311" s="19"/>
      <c r="T311" s="19"/>
      <c r="U311" s="19"/>
      <c r="V311" s="19"/>
      <c r="W311" s="20"/>
      <c r="X311" s="43"/>
    </row>
    <row r="312" spans="1:24" ht="15.75" hidden="1" customHeight="1" x14ac:dyDescent="0.25">
      <c r="A312" s="16"/>
      <c r="B312" s="16" t="str">
        <f t="shared" si="1"/>
        <v/>
      </c>
      <c r="C312" s="16"/>
      <c r="D312" s="40"/>
      <c r="E312" s="16"/>
      <c r="F312" s="41"/>
      <c r="G312" s="16"/>
      <c r="H312" s="16"/>
      <c r="I312" s="16"/>
      <c r="J312" s="22"/>
      <c r="K312" s="16"/>
      <c r="L312" s="16"/>
      <c r="M312" s="16"/>
      <c r="N312" s="19"/>
      <c r="O312" s="19"/>
      <c r="P312" s="19"/>
      <c r="Q312" s="19"/>
      <c r="R312" s="19"/>
      <c r="S312" s="19"/>
      <c r="T312" s="19"/>
      <c r="U312" s="19"/>
      <c r="V312" s="19"/>
      <c r="W312" s="20"/>
      <c r="X312" s="43"/>
    </row>
    <row r="313" spans="1:24" ht="15.75" hidden="1" customHeight="1" x14ac:dyDescent="0.25">
      <c r="A313" s="16"/>
      <c r="B313" s="16" t="str">
        <f t="shared" si="1"/>
        <v/>
      </c>
      <c r="C313" s="16"/>
      <c r="D313" s="40"/>
      <c r="E313" s="16"/>
      <c r="F313" s="41"/>
      <c r="G313" s="16"/>
      <c r="H313" s="16"/>
      <c r="I313" s="16"/>
      <c r="J313" s="22"/>
      <c r="K313" s="16"/>
      <c r="L313" s="16"/>
      <c r="M313" s="16"/>
      <c r="N313" s="19"/>
      <c r="O313" s="19"/>
      <c r="P313" s="19"/>
      <c r="Q313" s="19"/>
      <c r="R313" s="19"/>
      <c r="S313" s="19"/>
      <c r="T313" s="19"/>
      <c r="U313" s="19"/>
      <c r="V313" s="19"/>
      <c r="W313" s="20"/>
      <c r="X313" s="43"/>
    </row>
    <row r="314" spans="1:24" ht="15.75" hidden="1" customHeight="1" x14ac:dyDescent="0.25">
      <c r="A314" s="16"/>
      <c r="B314" s="16" t="str">
        <f t="shared" si="1"/>
        <v/>
      </c>
      <c r="C314" s="16"/>
      <c r="D314" s="40"/>
      <c r="E314" s="16"/>
      <c r="F314" s="41"/>
      <c r="G314" s="16"/>
      <c r="H314" s="16"/>
      <c r="I314" s="16"/>
      <c r="J314" s="22"/>
      <c r="K314" s="16"/>
      <c r="L314" s="16"/>
      <c r="M314" s="16"/>
      <c r="N314" s="19"/>
      <c r="O314" s="19"/>
      <c r="P314" s="19"/>
      <c r="Q314" s="19"/>
      <c r="R314" s="19"/>
      <c r="S314" s="19"/>
      <c r="T314" s="19"/>
      <c r="U314" s="19"/>
      <c r="V314" s="19"/>
      <c r="W314" s="20"/>
      <c r="X314" s="43"/>
    </row>
    <row r="315" spans="1:24" ht="15.75" hidden="1" customHeight="1" x14ac:dyDescent="0.25">
      <c r="A315" s="16"/>
      <c r="B315" s="16" t="str">
        <f t="shared" si="1"/>
        <v/>
      </c>
      <c r="C315" s="16"/>
      <c r="D315" s="40"/>
      <c r="E315" s="16"/>
      <c r="F315" s="41"/>
      <c r="G315" s="16"/>
      <c r="H315" s="16"/>
      <c r="I315" s="16"/>
      <c r="J315" s="22"/>
      <c r="K315" s="16"/>
      <c r="L315" s="16"/>
      <c r="M315" s="16"/>
      <c r="N315" s="19"/>
      <c r="O315" s="19"/>
      <c r="P315" s="19"/>
      <c r="Q315" s="19"/>
      <c r="R315" s="19"/>
      <c r="S315" s="19"/>
      <c r="T315" s="19"/>
      <c r="U315" s="19"/>
      <c r="V315" s="19"/>
      <c r="W315" s="20"/>
      <c r="X315" s="43"/>
    </row>
    <row r="316" spans="1:24" ht="15.75" hidden="1" customHeight="1" x14ac:dyDescent="0.25">
      <c r="A316" s="16"/>
      <c r="B316" s="16" t="str">
        <f t="shared" si="1"/>
        <v/>
      </c>
      <c r="C316" s="16"/>
      <c r="D316" s="40"/>
      <c r="E316" s="16"/>
      <c r="F316" s="41"/>
      <c r="G316" s="16"/>
      <c r="H316" s="16"/>
      <c r="I316" s="16"/>
      <c r="J316" s="22"/>
      <c r="K316" s="16"/>
      <c r="L316" s="16"/>
      <c r="M316" s="16"/>
      <c r="N316" s="19"/>
      <c r="O316" s="19"/>
      <c r="P316" s="19"/>
      <c r="Q316" s="19"/>
      <c r="R316" s="19"/>
      <c r="S316" s="19"/>
      <c r="T316" s="19"/>
      <c r="U316" s="19"/>
      <c r="V316" s="19"/>
      <c r="W316" s="20"/>
      <c r="X316" s="43"/>
    </row>
    <row r="317" spans="1:24" ht="15.75" hidden="1" customHeight="1" x14ac:dyDescent="0.25">
      <c r="A317" s="16"/>
      <c r="B317" s="16" t="str">
        <f t="shared" si="1"/>
        <v/>
      </c>
      <c r="C317" s="16"/>
      <c r="D317" s="40"/>
      <c r="E317" s="16"/>
      <c r="F317" s="41"/>
      <c r="G317" s="16"/>
      <c r="H317" s="16"/>
      <c r="I317" s="16"/>
      <c r="J317" s="22"/>
      <c r="K317" s="16"/>
      <c r="L317" s="16"/>
      <c r="M317" s="16"/>
      <c r="N317" s="19"/>
      <c r="O317" s="19"/>
      <c r="P317" s="19"/>
      <c r="Q317" s="19"/>
      <c r="R317" s="19"/>
      <c r="S317" s="19"/>
      <c r="T317" s="19"/>
      <c r="U317" s="19"/>
      <c r="V317" s="19"/>
      <c r="W317" s="20"/>
      <c r="X317" s="43"/>
    </row>
    <row r="318" spans="1:24" ht="15.75" hidden="1" customHeight="1" x14ac:dyDescent="0.25">
      <c r="A318" s="16"/>
      <c r="B318" s="16" t="str">
        <f t="shared" si="1"/>
        <v/>
      </c>
      <c r="C318" s="16"/>
      <c r="D318" s="40"/>
      <c r="E318" s="16"/>
      <c r="F318" s="41"/>
      <c r="G318" s="16"/>
      <c r="H318" s="16"/>
      <c r="I318" s="16"/>
      <c r="J318" s="22"/>
      <c r="K318" s="16"/>
      <c r="L318" s="16"/>
      <c r="M318" s="16"/>
      <c r="N318" s="19"/>
      <c r="O318" s="19"/>
      <c r="P318" s="19"/>
      <c r="Q318" s="19"/>
      <c r="R318" s="19"/>
      <c r="S318" s="19"/>
      <c r="T318" s="19"/>
      <c r="U318" s="19"/>
      <c r="V318" s="19"/>
      <c r="W318" s="20"/>
      <c r="X318" s="43"/>
    </row>
    <row r="319" spans="1:24" ht="15.75" hidden="1" customHeight="1" x14ac:dyDescent="0.25">
      <c r="A319" s="16"/>
      <c r="B319" s="16" t="str">
        <f t="shared" si="1"/>
        <v/>
      </c>
      <c r="C319" s="16"/>
      <c r="D319" s="40"/>
      <c r="E319" s="16"/>
      <c r="F319" s="41"/>
      <c r="G319" s="16"/>
      <c r="H319" s="16"/>
      <c r="I319" s="16"/>
      <c r="J319" s="22"/>
      <c r="K319" s="16"/>
      <c r="L319" s="16"/>
      <c r="M319" s="16"/>
      <c r="N319" s="19"/>
      <c r="O319" s="19"/>
      <c r="P319" s="19"/>
      <c r="Q319" s="19"/>
      <c r="R319" s="19"/>
      <c r="S319" s="19"/>
      <c r="T319" s="19"/>
      <c r="U319" s="19"/>
      <c r="V319" s="19"/>
      <c r="W319" s="20"/>
      <c r="X319" s="43"/>
    </row>
    <row r="320" spans="1:24" ht="15.75" hidden="1" customHeight="1" x14ac:dyDescent="0.25">
      <c r="A320" s="16"/>
      <c r="B320" s="16" t="str">
        <f t="shared" si="1"/>
        <v/>
      </c>
      <c r="C320" s="16"/>
      <c r="D320" s="40"/>
      <c r="E320" s="16"/>
      <c r="F320" s="41"/>
      <c r="G320" s="16"/>
      <c r="H320" s="16"/>
      <c r="I320" s="16"/>
      <c r="J320" s="22"/>
      <c r="K320" s="16"/>
      <c r="L320" s="16"/>
      <c r="M320" s="16"/>
      <c r="N320" s="19"/>
      <c r="O320" s="19"/>
      <c r="P320" s="19"/>
      <c r="Q320" s="19"/>
      <c r="R320" s="19"/>
      <c r="S320" s="19"/>
      <c r="T320" s="19"/>
      <c r="U320" s="19"/>
      <c r="V320" s="19"/>
      <c r="W320" s="20"/>
      <c r="X320" s="43"/>
    </row>
    <row r="321" spans="1:24" ht="15.75" hidden="1" customHeight="1" x14ac:dyDescent="0.25">
      <c r="A321" s="16"/>
      <c r="B321" s="16" t="str">
        <f t="shared" si="1"/>
        <v/>
      </c>
      <c r="C321" s="16"/>
      <c r="D321" s="40"/>
      <c r="E321" s="16"/>
      <c r="F321" s="41"/>
      <c r="G321" s="16"/>
      <c r="H321" s="16"/>
      <c r="I321" s="16"/>
      <c r="J321" s="22"/>
      <c r="K321" s="16"/>
      <c r="L321" s="16"/>
      <c r="M321" s="16"/>
      <c r="N321" s="19"/>
      <c r="O321" s="19"/>
      <c r="P321" s="19"/>
      <c r="Q321" s="19"/>
      <c r="R321" s="19"/>
      <c r="S321" s="19"/>
      <c r="T321" s="19"/>
      <c r="U321" s="19"/>
      <c r="V321" s="19"/>
      <c r="W321" s="20"/>
      <c r="X321" s="43"/>
    </row>
    <row r="322" spans="1:24" ht="15.75" hidden="1" customHeight="1" x14ac:dyDescent="0.25">
      <c r="A322" s="16"/>
      <c r="B322" s="16" t="str">
        <f t="shared" si="1"/>
        <v/>
      </c>
      <c r="C322" s="16"/>
      <c r="D322" s="40"/>
      <c r="E322" s="16"/>
      <c r="F322" s="41"/>
      <c r="G322" s="16"/>
      <c r="H322" s="16"/>
      <c r="I322" s="16"/>
      <c r="J322" s="22"/>
      <c r="K322" s="16"/>
      <c r="L322" s="16"/>
      <c r="M322" s="16"/>
      <c r="N322" s="19"/>
      <c r="O322" s="19"/>
      <c r="P322" s="19"/>
      <c r="Q322" s="19"/>
      <c r="R322" s="19"/>
      <c r="S322" s="19"/>
      <c r="T322" s="19"/>
      <c r="U322" s="19"/>
      <c r="V322" s="19"/>
      <c r="W322" s="20"/>
      <c r="X322" s="43"/>
    </row>
    <row r="323" spans="1:24" ht="15.75" hidden="1" customHeight="1" x14ac:dyDescent="0.25">
      <c r="A323" s="16"/>
      <c r="B323" s="16" t="str">
        <f t="shared" si="1"/>
        <v/>
      </c>
      <c r="C323" s="16"/>
      <c r="D323" s="40"/>
      <c r="E323" s="16"/>
      <c r="F323" s="41"/>
      <c r="G323" s="16"/>
      <c r="H323" s="16"/>
      <c r="I323" s="16"/>
      <c r="J323" s="22"/>
      <c r="K323" s="16"/>
      <c r="L323" s="16"/>
      <c r="M323" s="16"/>
      <c r="N323" s="19"/>
      <c r="O323" s="19"/>
      <c r="P323" s="19"/>
      <c r="Q323" s="19"/>
      <c r="R323" s="19"/>
      <c r="S323" s="19"/>
      <c r="T323" s="19"/>
      <c r="U323" s="19"/>
      <c r="V323" s="19"/>
      <c r="W323" s="20"/>
      <c r="X323" s="43"/>
    </row>
    <row r="324" spans="1:24" ht="15.75" hidden="1" customHeight="1" x14ac:dyDescent="0.25">
      <c r="A324" s="16"/>
      <c r="B324" s="16" t="str">
        <f t="shared" si="1"/>
        <v/>
      </c>
      <c r="C324" s="16"/>
      <c r="D324" s="40"/>
      <c r="E324" s="16"/>
      <c r="F324" s="41"/>
      <c r="G324" s="16"/>
      <c r="H324" s="16"/>
      <c r="I324" s="16"/>
      <c r="J324" s="22"/>
      <c r="K324" s="16"/>
      <c r="L324" s="16"/>
      <c r="M324" s="16"/>
      <c r="N324" s="19"/>
      <c r="O324" s="19"/>
      <c r="P324" s="19"/>
      <c r="Q324" s="19"/>
      <c r="R324" s="19"/>
      <c r="S324" s="19"/>
      <c r="T324" s="19"/>
      <c r="U324" s="19"/>
      <c r="V324" s="19"/>
      <c r="W324" s="20"/>
      <c r="X324" s="43"/>
    </row>
    <row r="325" spans="1:24" ht="15.75" hidden="1" customHeight="1" x14ac:dyDescent="0.25">
      <c r="A325" s="16"/>
      <c r="B325" s="16" t="str">
        <f t="shared" si="1"/>
        <v/>
      </c>
      <c r="C325" s="16"/>
      <c r="D325" s="40"/>
      <c r="E325" s="16"/>
      <c r="F325" s="41"/>
      <c r="G325" s="16"/>
      <c r="H325" s="16"/>
      <c r="I325" s="16"/>
      <c r="J325" s="22"/>
      <c r="K325" s="16"/>
      <c r="L325" s="16"/>
      <c r="M325" s="16"/>
      <c r="N325" s="19"/>
      <c r="O325" s="19"/>
      <c r="P325" s="19"/>
      <c r="Q325" s="19"/>
      <c r="R325" s="19"/>
      <c r="S325" s="19"/>
      <c r="T325" s="19"/>
      <c r="U325" s="19"/>
      <c r="V325" s="19"/>
      <c r="W325" s="20"/>
      <c r="X325" s="43"/>
    </row>
    <row r="326" spans="1:24" ht="15.75" hidden="1" customHeight="1" x14ac:dyDescent="0.25">
      <c r="A326" s="16"/>
      <c r="B326" s="16" t="str">
        <f t="shared" si="1"/>
        <v/>
      </c>
      <c r="C326" s="16"/>
      <c r="D326" s="40"/>
      <c r="E326" s="16"/>
      <c r="F326" s="41"/>
      <c r="G326" s="16"/>
      <c r="H326" s="16"/>
      <c r="I326" s="16"/>
      <c r="J326" s="22"/>
      <c r="K326" s="16"/>
      <c r="L326" s="16"/>
      <c r="M326" s="16"/>
      <c r="N326" s="19"/>
      <c r="O326" s="19"/>
      <c r="P326" s="19"/>
      <c r="Q326" s="19"/>
      <c r="R326" s="19"/>
      <c r="S326" s="19"/>
      <c r="T326" s="19"/>
      <c r="U326" s="19"/>
      <c r="V326" s="19"/>
      <c r="W326" s="20"/>
      <c r="X326" s="43"/>
    </row>
    <row r="327" spans="1:24" ht="15.75" hidden="1" customHeight="1" x14ac:dyDescent="0.25">
      <c r="A327" s="16"/>
      <c r="B327" s="16" t="str">
        <f t="shared" si="1"/>
        <v/>
      </c>
      <c r="C327" s="16"/>
      <c r="D327" s="40"/>
      <c r="E327" s="16"/>
      <c r="F327" s="41"/>
      <c r="G327" s="16"/>
      <c r="H327" s="16"/>
      <c r="I327" s="16"/>
      <c r="J327" s="22"/>
      <c r="K327" s="16"/>
      <c r="L327" s="16"/>
      <c r="M327" s="16"/>
      <c r="N327" s="19"/>
      <c r="O327" s="19"/>
      <c r="P327" s="19"/>
      <c r="Q327" s="19"/>
      <c r="R327" s="19"/>
      <c r="S327" s="19"/>
      <c r="T327" s="19"/>
      <c r="U327" s="19"/>
      <c r="V327" s="19"/>
      <c r="W327" s="20"/>
      <c r="X327" s="43"/>
    </row>
    <row r="328" spans="1:24" ht="15.75" hidden="1" customHeight="1" x14ac:dyDescent="0.25">
      <c r="A328" s="16"/>
      <c r="B328" s="16" t="str">
        <f t="shared" si="1"/>
        <v/>
      </c>
      <c r="C328" s="16"/>
      <c r="D328" s="40"/>
      <c r="E328" s="16"/>
      <c r="F328" s="41"/>
      <c r="G328" s="16"/>
      <c r="H328" s="16"/>
      <c r="I328" s="16"/>
      <c r="J328" s="22"/>
      <c r="K328" s="16"/>
      <c r="L328" s="16"/>
      <c r="M328" s="16"/>
      <c r="N328" s="19"/>
      <c r="O328" s="19"/>
      <c r="P328" s="19"/>
      <c r="Q328" s="19"/>
      <c r="R328" s="19"/>
      <c r="S328" s="19"/>
      <c r="T328" s="19"/>
      <c r="U328" s="19"/>
      <c r="V328" s="19"/>
      <c r="W328" s="20"/>
      <c r="X328" s="43"/>
    </row>
    <row r="329" spans="1:24" ht="15.75" hidden="1" customHeight="1" x14ac:dyDescent="0.25">
      <c r="A329" s="16"/>
      <c r="B329" s="16" t="str">
        <f t="shared" si="1"/>
        <v/>
      </c>
      <c r="C329" s="16"/>
      <c r="D329" s="40"/>
      <c r="E329" s="16"/>
      <c r="F329" s="41"/>
      <c r="G329" s="16"/>
      <c r="H329" s="16"/>
      <c r="I329" s="16"/>
      <c r="J329" s="22"/>
      <c r="K329" s="16"/>
      <c r="L329" s="16"/>
      <c r="M329" s="16"/>
      <c r="N329" s="19"/>
      <c r="O329" s="19"/>
      <c r="P329" s="19"/>
      <c r="Q329" s="19"/>
      <c r="R329" s="19"/>
      <c r="S329" s="19"/>
      <c r="T329" s="19"/>
      <c r="U329" s="19"/>
      <c r="V329" s="19"/>
      <c r="W329" s="20"/>
      <c r="X329" s="43"/>
    </row>
    <row r="330" spans="1:24" ht="15.75" hidden="1" customHeight="1" x14ac:dyDescent="0.25">
      <c r="A330" s="16"/>
      <c r="B330" s="16" t="str">
        <f t="shared" si="1"/>
        <v/>
      </c>
      <c r="C330" s="16"/>
      <c r="D330" s="40"/>
      <c r="E330" s="16"/>
      <c r="F330" s="41"/>
      <c r="G330" s="16"/>
      <c r="H330" s="16"/>
      <c r="I330" s="16"/>
      <c r="J330" s="22"/>
      <c r="K330" s="16"/>
      <c r="L330" s="16"/>
      <c r="M330" s="16"/>
      <c r="N330" s="19"/>
      <c r="O330" s="19"/>
      <c r="P330" s="19"/>
      <c r="Q330" s="19"/>
      <c r="R330" s="19"/>
      <c r="S330" s="19"/>
      <c r="T330" s="19"/>
      <c r="U330" s="19"/>
      <c r="V330" s="19"/>
      <c r="W330" s="20"/>
      <c r="X330" s="43"/>
    </row>
    <row r="331" spans="1:24" ht="15.75" hidden="1" customHeight="1" x14ac:dyDescent="0.25">
      <c r="A331" s="16"/>
      <c r="B331" s="16" t="str">
        <f t="shared" si="1"/>
        <v/>
      </c>
      <c r="C331" s="16"/>
      <c r="D331" s="40"/>
      <c r="E331" s="16"/>
      <c r="F331" s="41"/>
      <c r="G331" s="16"/>
      <c r="H331" s="16"/>
      <c r="I331" s="16"/>
      <c r="J331" s="22"/>
      <c r="K331" s="16"/>
      <c r="L331" s="16"/>
      <c r="M331" s="16"/>
      <c r="N331" s="19"/>
      <c r="O331" s="19"/>
      <c r="P331" s="19"/>
      <c r="Q331" s="19"/>
      <c r="R331" s="19"/>
      <c r="S331" s="19"/>
      <c r="T331" s="19"/>
      <c r="U331" s="19"/>
      <c r="V331" s="19"/>
      <c r="W331" s="20"/>
      <c r="X331" s="43"/>
    </row>
    <row r="332" spans="1:24" ht="15.75" hidden="1" customHeight="1" x14ac:dyDescent="0.25">
      <c r="A332" s="16"/>
      <c r="B332" s="16" t="str">
        <f t="shared" si="1"/>
        <v/>
      </c>
      <c r="C332" s="16"/>
      <c r="D332" s="40"/>
      <c r="E332" s="16"/>
      <c r="F332" s="41"/>
      <c r="G332" s="16"/>
      <c r="H332" s="16"/>
      <c r="I332" s="16"/>
      <c r="J332" s="22"/>
      <c r="K332" s="16"/>
      <c r="L332" s="16"/>
      <c r="M332" s="16"/>
      <c r="N332" s="19"/>
      <c r="O332" s="19"/>
      <c r="P332" s="19"/>
      <c r="Q332" s="19"/>
      <c r="R332" s="19"/>
      <c r="S332" s="19"/>
      <c r="T332" s="19"/>
      <c r="U332" s="19"/>
      <c r="V332" s="19"/>
      <c r="W332" s="20"/>
      <c r="X332" s="43"/>
    </row>
    <row r="333" spans="1:24" ht="15.75" hidden="1" customHeight="1" x14ac:dyDescent="0.25">
      <c r="A333" s="16"/>
      <c r="B333" s="16" t="str">
        <f t="shared" si="1"/>
        <v/>
      </c>
      <c r="C333" s="16"/>
      <c r="D333" s="40"/>
      <c r="E333" s="16"/>
      <c r="F333" s="41"/>
      <c r="G333" s="16"/>
      <c r="H333" s="16"/>
      <c r="I333" s="16"/>
      <c r="J333" s="22"/>
      <c r="K333" s="16"/>
      <c r="L333" s="16"/>
      <c r="M333" s="16"/>
      <c r="N333" s="19"/>
      <c r="O333" s="19"/>
      <c r="P333" s="19"/>
      <c r="Q333" s="19"/>
      <c r="R333" s="19"/>
      <c r="S333" s="19"/>
      <c r="T333" s="19"/>
      <c r="U333" s="19"/>
      <c r="V333" s="19"/>
      <c r="W333" s="20"/>
      <c r="X333" s="43"/>
    </row>
    <row r="334" spans="1:24" ht="15.75" hidden="1" customHeight="1" x14ac:dyDescent="0.25">
      <c r="A334" s="16"/>
      <c r="B334" s="16" t="str">
        <f t="shared" si="1"/>
        <v/>
      </c>
      <c r="C334" s="16"/>
      <c r="D334" s="40"/>
      <c r="E334" s="16"/>
      <c r="F334" s="41"/>
      <c r="G334" s="16"/>
      <c r="H334" s="16"/>
      <c r="I334" s="16"/>
      <c r="J334" s="22"/>
      <c r="K334" s="16"/>
      <c r="L334" s="16"/>
      <c r="M334" s="16"/>
      <c r="N334" s="19"/>
      <c r="O334" s="19"/>
      <c r="P334" s="19"/>
      <c r="Q334" s="19"/>
      <c r="R334" s="19"/>
      <c r="S334" s="19"/>
      <c r="T334" s="19"/>
      <c r="U334" s="19"/>
      <c r="V334" s="19"/>
      <c r="W334" s="20"/>
      <c r="X334" s="43"/>
    </row>
    <row r="335" spans="1:24" ht="15.75" hidden="1" customHeight="1" x14ac:dyDescent="0.25">
      <c r="A335" s="16"/>
      <c r="B335" s="16" t="str">
        <f t="shared" si="1"/>
        <v/>
      </c>
      <c r="C335" s="16"/>
      <c r="D335" s="40"/>
      <c r="E335" s="16"/>
      <c r="F335" s="41"/>
      <c r="G335" s="16"/>
      <c r="H335" s="16"/>
      <c r="I335" s="16"/>
      <c r="J335" s="22"/>
      <c r="K335" s="16"/>
      <c r="L335" s="16"/>
      <c r="M335" s="16"/>
      <c r="N335" s="19"/>
      <c r="O335" s="19"/>
      <c r="P335" s="19"/>
      <c r="Q335" s="19"/>
      <c r="R335" s="19"/>
      <c r="S335" s="19"/>
      <c r="T335" s="19"/>
      <c r="U335" s="19"/>
      <c r="V335" s="19"/>
      <c r="W335" s="20"/>
      <c r="X335" s="43"/>
    </row>
    <row r="336" spans="1:24" ht="15.75" hidden="1" customHeight="1" x14ac:dyDescent="0.25">
      <c r="A336" s="16"/>
      <c r="B336" s="16" t="str">
        <f t="shared" si="1"/>
        <v/>
      </c>
      <c r="C336" s="16"/>
      <c r="D336" s="40"/>
      <c r="E336" s="16"/>
      <c r="F336" s="41"/>
      <c r="G336" s="16"/>
      <c r="H336" s="16"/>
      <c r="I336" s="16"/>
      <c r="J336" s="22"/>
      <c r="K336" s="16"/>
      <c r="L336" s="16"/>
      <c r="M336" s="16"/>
      <c r="N336" s="19"/>
      <c r="O336" s="19"/>
      <c r="P336" s="19"/>
      <c r="Q336" s="19"/>
      <c r="R336" s="19"/>
      <c r="S336" s="19"/>
      <c r="T336" s="19"/>
      <c r="U336" s="19"/>
      <c r="V336" s="19"/>
      <c r="W336" s="20"/>
      <c r="X336" s="43"/>
    </row>
    <row r="337" spans="1:24" ht="15.75" hidden="1" customHeight="1" x14ac:dyDescent="0.25">
      <c r="A337" s="16"/>
      <c r="B337" s="16" t="str">
        <f t="shared" si="1"/>
        <v/>
      </c>
      <c r="C337" s="16"/>
      <c r="D337" s="40"/>
      <c r="E337" s="16"/>
      <c r="F337" s="41"/>
      <c r="G337" s="16"/>
      <c r="H337" s="16"/>
      <c r="I337" s="16"/>
      <c r="J337" s="22"/>
      <c r="K337" s="16"/>
      <c r="L337" s="16"/>
      <c r="M337" s="16"/>
      <c r="N337" s="19"/>
      <c r="O337" s="19"/>
      <c r="P337" s="19"/>
      <c r="Q337" s="19"/>
      <c r="R337" s="19"/>
      <c r="S337" s="19"/>
      <c r="T337" s="19"/>
      <c r="U337" s="19"/>
      <c r="V337" s="19"/>
      <c r="W337" s="20"/>
      <c r="X337" s="43"/>
    </row>
    <row r="338" spans="1:24" ht="15.75" hidden="1" customHeight="1" x14ac:dyDescent="0.25">
      <c r="A338" s="16"/>
      <c r="B338" s="16" t="str">
        <f t="shared" si="1"/>
        <v/>
      </c>
      <c r="C338" s="16"/>
      <c r="D338" s="40"/>
      <c r="E338" s="16"/>
      <c r="F338" s="41"/>
      <c r="G338" s="16"/>
      <c r="H338" s="16"/>
      <c r="I338" s="16"/>
      <c r="J338" s="22"/>
      <c r="K338" s="16"/>
      <c r="L338" s="16"/>
      <c r="M338" s="16"/>
      <c r="N338" s="19"/>
      <c r="O338" s="19"/>
      <c r="P338" s="19"/>
      <c r="Q338" s="19"/>
      <c r="R338" s="19"/>
      <c r="S338" s="19"/>
      <c r="T338" s="19"/>
      <c r="U338" s="19"/>
      <c r="V338" s="19"/>
      <c r="W338" s="20"/>
      <c r="X338" s="43"/>
    </row>
    <row r="339" spans="1:24" ht="15.75" hidden="1" customHeight="1" x14ac:dyDescent="0.25">
      <c r="A339" s="16"/>
      <c r="B339" s="16" t="str">
        <f t="shared" si="1"/>
        <v/>
      </c>
      <c r="C339" s="16"/>
      <c r="D339" s="40"/>
      <c r="E339" s="16"/>
      <c r="F339" s="41"/>
      <c r="G339" s="16"/>
      <c r="H339" s="16"/>
      <c r="I339" s="16"/>
      <c r="J339" s="22"/>
      <c r="K339" s="16"/>
      <c r="L339" s="16"/>
      <c r="M339" s="16"/>
      <c r="N339" s="19"/>
      <c r="O339" s="19"/>
      <c r="P339" s="19"/>
      <c r="Q339" s="19"/>
      <c r="R339" s="19"/>
      <c r="S339" s="19"/>
      <c r="T339" s="19"/>
      <c r="U339" s="19"/>
      <c r="V339" s="19"/>
      <c r="W339" s="20"/>
      <c r="X339" s="43"/>
    </row>
    <row r="340" spans="1:24" ht="15.75" hidden="1" customHeight="1" x14ac:dyDescent="0.25">
      <c r="A340" s="16"/>
      <c r="B340" s="16" t="str">
        <f t="shared" si="1"/>
        <v/>
      </c>
      <c r="C340" s="16"/>
      <c r="D340" s="40"/>
      <c r="E340" s="16"/>
      <c r="F340" s="41"/>
      <c r="G340" s="16"/>
      <c r="H340" s="16"/>
      <c r="I340" s="16"/>
      <c r="J340" s="22"/>
      <c r="K340" s="16"/>
      <c r="L340" s="16"/>
      <c r="M340" s="16"/>
      <c r="N340" s="19"/>
      <c r="O340" s="19"/>
      <c r="P340" s="19"/>
      <c r="Q340" s="19"/>
      <c r="R340" s="19"/>
      <c r="S340" s="19"/>
      <c r="T340" s="19"/>
      <c r="U340" s="19"/>
      <c r="V340" s="19"/>
      <c r="W340" s="20"/>
      <c r="X340" s="43"/>
    </row>
    <row r="341" spans="1:24" ht="15.75" hidden="1" customHeight="1" x14ac:dyDescent="0.25">
      <c r="A341" s="16"/>
      <c r="B341" s="16" t="str">
        <f t="shared" si="1"/>
        <v/>
      </c>
      <c r="C341" s="16"/>
      <c r="D341" s="40"/>
      <c r="E341" s="16"/>
      <c r="F341" s="41"/>
      <c r="G341" s="16"/>
      <c r="H341" s="16"/>
      <c r="I341" s="16"/>
      <c r="J341" s="22"/>
      <c r="K341" s="16"/>
      <c r="L341" s="16"/>
      <c r="M341" s="16"/>
      <c r="N341" s="19"/>
      <c r="O341" s="19"/>
      <c r="P341" s="19"/>
      <c r="Q341" s="19"/>
      <c r="R341" s="19"/>
      <c r="S341" s="19"/>
      <c r="T341" s="19"/>
      <c r="U341" s="19"/>
      <c r="V341" s="19"/>
      <c r="W341" s="20"/>
      <c r="X341" s="43"/>
    </row>
    <row r="342" spans="1:24" ht="15.75" hidden="1" customHeight="1" x14ac:dyDescent="0.25">
      <c r="A342" s="16"/>
      <c r="B342" s="16" t="str">
        <f t="shared" si="1"/>
        <v/>
      </c>
      <c r="C342" s="16"/>
      <c r="D342" s="40"/>
      <c r="E342" s="16"/>
      <c r="F342" s="41"/>
      <c r="G342" s="16"/>
      <c r="H342" s="16"/>
      <c r="I342" s="16"/>
      <c r="J342" s="22"/>
      <c r="K342" s="16"/>
      <c r="L342" s="16"/>
      <c r="M342" s="16"/>
      <c r="N342" s="19"/>
      <c r="O342" s="19"/>
      <c r="P342" s="19"/>
      <c r="Q342" s="19"/>
      <c r="R342" s="19"/>
      <c r="S342" s="19"/>
      <c r="T342" s="19"/>
      <c r="U342" s="19"/>
      <c r="V342" s="19"/>
      <c r="W342" s="20"/>
      <c r="X342" s="43"/>
    </row>
    <row r="343" spans="1:24" ht="15.75" hidden="1" customHeight="1" x14ac:dyDescent="0.25">
      <c r="A343" s="16"/>
      <c r="B343" s="16" t="str">
        <f t="shared" si="1"/>
        <v/>
      </c>
      <c r="C343" s="16"/>
      <c r="D343" s="40"/>
      <c r="E343" s="16"/>
      <c r="F343" s="41"/>
      <c r="G343" s="16"/>
      <c r="H343" s="16"/>
      <c r="I343" s="16"/>
      <c r="J343" s="22"/>
      <c r="K343" s="16"/>
      <c r="L343" s="16"/>
      <c r="M343" s="16"/>
      <c r="N343" s="19"/>
      <c r="O343" s="19"/>
      <c r="P343" s="19"/>
      <c r="Q343" s="19"/>
      <c r="R343" s="19"/>
      <c r="S343" s="19"/>
      <c r="T343" s="19"/>
      <c r="U343" s="19"/>
      <c r="V343" s="19"/>
      <c r="W343" s="20"/>
      <c r="X343" s="43"/>
    </row>
    <row r="344" spans="1:24" ht="15.75" hidden="1" customHeight="1" x14ac:dyDescent="0.25">
      <c r="A344" s="16"/>
      <c r="B344" s="16" t="str">
        <f t="shared" si="1"/>
        <v/>
      </c>
      <c r="C344" s="16"/>
      <c r="D344" s="40"/>
      <c r="E344" s="16"/>
      <c r="F344" s="41"/>
      <c r="G344" s="16"/>
      <c r="H344" s="16"/>
      <c r="I344" s="16"/>
      <c r="J344" s="22"/>
      <c r="K344" s="16"/>
      <c r="L344" s="16"/>
      <c r="M344" s="16"/>
      <c r="N344" s="19"/>
      <c r="O344" s="19"/>
      <c r="P344" s="19"/>
      <c r="Q344" s="19"/>
      <c r="R344" s="19"/>
      <c r="S344" s="19"/>
      <c r="T344" s="19"/>
      <c r="U344" s="19"/>
      <c r="V344" s="19"/>
      <c r="W344" s="20"/>
      <c r="X344" s="43"/>
    </row>
    <row r="345" spans="1:24" ht="15.75" hidden="1" customHeight="1" x14ac:dyDescent="0.25">
      <c r="A345" s="16"/>
      <c r="B345" s="16" t="str">
        <f t="shared" si="1"/>
        <v/>
      </c>
      <c r="C345" s="16"/>
      <c r="D345" s="40"/>
      <c r="E345" s="16"/>
      <c r="F345" s="41"/>
      <c r="G345" s="16"/>
      <c r="H345" s="16"/>
      <c r="I345" s="16"/>
      <c r="J345" s="22"/>
      <c r="K345" s="16"/>
      <c r="L345" s="16"/>
      <c r="M345" s="16"/>
      <c r="N345" s="19"/>
      <c r="O345" s="19"/>
      <c r="P345" s="19"/>
      <c r="Q345" s="19"/>
      <c r="R345" s="19"/>
      <c r="S345" s="19"/>
      <c r="T345" s="19"/>
      <c r="U345" s="19"/>
      <c r="V345" s="19"/>
      <c r="W345" s="20"/>
      <c r="X345" s="43"/>
    </row>
    <row r="346" spans="1:24" ht="15.75" hidden="1" customHeight="1" x14ac:dyDescent="0.25">
      <c r="A346" s="16"/>
      <c r="B346" s="16" t="str">
        <f t="shared" si="1"/>
        <v/>
      </c>
      <c r="C346" s="16"/>
      <c r="D346" s="40"/>
      <c r="E346" s="16"/>
      <c r="F346" s="41"/>
      <c r="G346" s="16"/>
      <c r="H346" s="16"/>
      <c r="I346" s="16"/>
      <c r="J346" s="22"/>
      <c r="K346" s="16"/>
      <c r="L346" s="16"/>
      <c r="M346" s="16"/>
      <c r="N346" s="19"/>
      <c r="O346" s="19"/>
      <c r="P346" s="19"/>
      <c r="Q346" s="19"/>
      <c r="R346" s="19"/>
      <c r="S346" s="19"/>
      <c r="T346" s="19"/>
      <c r="U346" s="19"/>
      <c r="V346" s="19"/>
      <c r="W346" s="20"/>
      <c r="X346" s="43"/>
    </row>
    <row r="347" spans="1:24" ht="15.75" hidden="1" customHeight="1" x14ac:dyDescent="0.25">
      <c r="A347" s="16"/>
      <c r="B347" s="16" t="str">
        <f t="shared" si="1"/>
        <v/>
      </c>
      <c r="C347" s="16"/>
      <c r="D347" s="40"/>
      <c r="E347" s="16"/>
      <c r="F347" s="41"/>
      <c r="G347" s="16"/>
      <c r="H347" s="16"/>
      <c r="I347" s="16"/>
      <c r="J347" s="22"/>
      <c r="K347" s="16"/>
      <c r="L347" s="16"/>
      <c r="M347" s="16"/>
      <c r="N347" s="19"/>
      <c r="O347" s="19"/>
      <c r="P347" s="19"/>
      <c r="Q347" s="19"/>
      <c r="R347" s="19"/>
      <c r="S347" s="19"/>
      <c r="T347" s="19"/>
      <c r="U347" s="19"/>
      <c r="V347" s="19"/>
      <c r="W347" s="20"/>
      <c r="X347" s="43"/>
    </row>
    <row r="348" spans="1:24" ht="15.75" hidden="1" customHeight="1" x14ac:dyDescent="0.25">
      <c r="A348" s="16"/>
      <c r="B348" s="16" t="str">
        <f t="shared" si="1"/>
        <v/>
      </c>
      <c r="C348" s="16"/>
      <c r="D348" s="40"/>
      <c r="E348" s="16"/>
      <c r="F348" s="41"/>
      <c r="G348" s="16"/>
      <c r="H348" s="16"/>
      <c r="I348" s="16"/>
      <c r="J348" s="22"/>
      <c r="K348" s="16"/>
      <c r="L348" s="16"/>
      <c r="M348" s="16"/>
      <c r="N348" s="19"/>
      <c r="O348" s="19"/>
      <c r="P348" s="19"/>
      <c r="Q348" s="19"/>
      <c r="R348" s="19"/>
      <c r="S348" s="19"/>
      <c r="T348" s="19"/>
      <c r="U348" s="19"/>
      <c r="V348" s="19"/>
      <c r="W348" s="20"/>
      <c r="X348" s="43"/>
    </row>
    <row r="349" spans="1:24" ht="15.75" hidden="1" customHeight="1" x14ac:dyDescent="0.25">
      <c r="A349" s="16"/>
      <c r="B349" s="16" t="str">
        <f t="shared" si="1"/>
        <v/>
      </c>
      <c r="C349" s="16"/>
      <c r="D349" s="40"/>
      <c r="E349" s="16"/>
      <c r="F349" s="41"/>
      <c r="G349" s="16"/>
      <c r="H349" s="16"/>
      <c r="I349" s="16"/>
      <c r="J349" s="22"/>
      <c r="K349" s="16"/>
      <c r="L349" s="16"/>
      <c r="M349" s="16"/>
      <c r="N349" s="19"/>
      <c r="O349" s="19"/>
      <c r="P349" s="19"/>
      <c r="Q349" s="19"/>
      <c r="R349" s="19"/>
      <c r="S349" s="19"/>
      <c r="T349" s="19"/>
      <c r="U349" s="19"/>
      <c r="V349" s="19"/>
      <c r="W349" s="20"/>
      <c r="X349" s="43"/>
    </row>
    <row r="350" spans="1:24" ht="15.75" hidden="1" customHeight="1" x14ac:dyDescent="0.25">
      <c r="A350" s="16"/>
      <c r="B350" s="16" t="str">
        <f t="shared" si="1"/>
        <v/>
      </c>
      <c r="C350" s="16"/>
      <c r="D350" s="40"/>
      <c r="E350" s="16"/>
      <c r="F350" s="41"/>
      <c r="G350" s="16"/>
      <c r="H350" s="16"/>
      <c r="I350" s="16"/>
      <c r="J350" s="22"/>
      <c r="K350" s="16"/>
      <c r="L350" s="16"/>
      <c r="M350" s="16"/>
      <c r="N350" s="19"/>
      <c r="O350" s="19"/>
      <c r="P350" s="19"/>
      <c r="Q350" s="19"/>
      <c r="R350" s="19"/>
      <c r="S350" s="19"/>
      <c r="T350" s="19"/>
      <c r="U350" s="19"/>
      <c r="V350" s="19"/>
      <c r="W350" s="20"/>
      <c r="X350" s="43"/>
    </row>
    <row r="351" spans="1:24" ht="15.75" hidden="1" customHeight="1" x14ac:dyDescent="0.25">
      <c r="A351" s="16"/>
      <c r="B351" s="16" t="str">
        <f t="shared" si="1"/>
        <v/>
      </c>
      <c r="C351" s="16"/>
      <c r="D351" s="40"/>
      <c r="E351" s="16"/>
      <c r="F351" s="41"/>
      <c r="G351" s="16"/>
      <c r="H351" s="16"/>
      <c r="I351" s="16"/>
      <c r="J351" s="22"/>
      <c r="K351" s="16"/>
      <c r="L351" s="16"/>
      <c r="M351" s="16"/>
      <c r="N351" s="19"/>
      <c r="O351" s="19"/>
      <c r="P351" s="19"/>
      <c r="Q351" s="19"/>
      <c r="R351" s="19"/>
      <c r="S351" s="19"/>
      <c r="T351" s="19"/>
      <c r="U351" s="19"/>
      <c r="V351" s="19"/>
      <c r="W351" s="20"/>
      <c r="X351" s="43"/>
    </row>
    <row r="352" spans="1:24" ht="15.75" hidden="1" customHeight="1" x14ac:dyDescent="0.25">
      <c r="A352" s="16"/>
      <c r="B352" s="16" t="str">
        <f t="shared" si="1"/>
        <v/>
      </c>
      <c r="C352" s="16"/>
      <c r="D352" s="40"/>
      <c r="E352" s="16"/>
      <c r="F352" s="41"/>
      <c r="G352" s="16"/>
      <c r="H352" s="16"/>
      <c r="I352" s="16"/>
      <c r="J352" s="22"/>
      <c r="K352" s="16"/>
      <c r="L352" s="16"/>
      <c r="M352" s="16"/>
      <c r="N352" s="19"/>
      <c r="O352" s="19"/>
      <c r="P352" s="19"/>
      <c r="Q352" s="19"/>
      <c r="R352" s="19"/>
      <c r="S352" s="19"/>
      <c r="T352" s="19"/>
      <c r="U352" s="19"/>
      <c r="V352" s="19"/>
      <c r="W352" s="20"/>
      <c r="X352" s="43"/>
    </row>
    <row r="353" spans="1:24" ht="15.75" hidden="1" customHeight="1" x14ac:dyDescent="0.25">
      <c r="A353" s="16"/>
      <c r="B353" s="16" t="str">
        <f t="shared" si="1"/>
        <v/>
      </c>
      <c r="C353" s="16"/>
      <c r="D353" s="40"/>
      <c r="E353" s="16"/>
      <c r="F353" s="41"/>
      <c r="G353" s="16"/>
      <c r="H353" s="16"/>
      <c r="I353" s="16"/>
      <c r="J353" s="22"/>
      <c r="K353" s="16"/>
      <c r="L353" s="16"/>
      <c r="M353" s="16"/>
      <c r="N353" s="19"/>
      <c r="O353" s="19"/>
      <c r="P353" s="19"/>
      <c r="Q353" s="19"/>
      <c r="R353" s="19"/>
      <c r="S353" s="19"/>
      <c r="T353" s="19"/>
      <c r="U353" s="19"/>
      <c r="V353" s="19"/>
      <c r="W353" s="20"/>
      <c r="X353" s="43"/>
    </row>
    <row r="354" spans="1:24" ht="15.75" hidden="1" customHeight="1" x14ac:dyDescent="0.25">
      <c r="A354" s="16"/>
      <c r="B354" s="16" t="str">
        <f t="shared" si="1"/>
        <v/>
      </c>
      <c r="C354" s="16"/>
      <c r="D354" s="40"/>
      <c r="E354" s="16"/>
      <c r="F354" s="41"/>
      <c r="G354" s="16"/>
      <c r="H354" s="16"/>
      <c r="I354" s="16"/>
      <c r="J354" s="22"/>
      <c r="K354" s="16"/>
      <c r="L354" s="16"/>
      <c r="M354" s="16"/>
      <c r="N354" s="19"/>
      <c r="O354" s="19"/>
      <c r="P354" s="19"/>
      <c r="Q354" s="19"/>
      <c r="R354" s="19"/>
      <c r="S354" s="19"/>
      <c r="T354" s="19"/>
      <c r="U354" s="19"/>
      <c r="V354" s="19"/>
      <c r="W354" s="20"/>
      <c r="X354" s="43"/>
    </row>
    <row r="355" spans="1:24" ht="15.75" hidden="1" customHeight="1" x14ac:dyDescent="0.25">
      <c r="A355" s="16"/>
      <c r="B355" s="16" t="str">
        <f t="shared" si="1"/>
        <v/>
      </c>
      <c r="C355" s="16"/>
      <c r="D355" s="40"/>
      <c r="E355" s="16"/>
      <c r="F355" s="41"/>
      <c r="G355" s="16"/>
      <c r="H355" s="16"/>
      <c r="I355" s="16"/>
      <c r="J355" s="22"/>
      <c r="K355" s="16"/>
      <c r="L355" s="16"/>
      <c r="M355" s="16"/>
      <c r="N355" s="19"/>
      <c r="O355" s="19"/>
      <c r="P355" s="19"/>
      <c r="Q355" s="19"/>
      <c r="R355" s="19"/>
      <c r="S355" s="19"/>
      <c r="T355" s="19"/>
      <c r="U355" s="19"/>
      <c r="V355" s="19"/>
      <c r="W355" s="20"/>
      <c r="X355" s="43"/>
    </row>
    <row r="356" spans="1:24" ht="15.75" hidden="1" customHeight="1" x14ac:dyDescent="0.25">
      <c r="A356" s="16"/>
      <c r="B356" s="16" t="str">
        <f t="shared" si="1"/>
        <v/>
      </c>
      <c r="C356" s="16"/>
      <c r="D356" s="40"/>
      <c r="E356" s="16"/>
      <c r="F356" s="41"/>
      <c r="G356" s="16"/>
      <c r="H356" s="16"/>
      <c r="I356" s="16"/>
      <c r="J356" s="22"/>
      <c r="K356" s="16"/>
      <c r="L356" s="16"/>
      <c r="M356" s="16"/>
      <c r="N356" s="19"/>
      <c r="O356" s="19"/>
      <c r="P356" s="19"/>
      <c r="Q356" s="19"/>
      <c r="R356" s="19"/>
      <c r="S356" s="19"/>
      <c r="T356" s="19"/>
      <c r="U356" s="19"/>
      <c r="V356" s="19"/>
      <c r="W356" s="20"/>
      <c r="X356" s="43"/>
    </row>
    <row r="357" spans="1:24" ht="15.75" hidden="1" customHeight="1" x14ac:dyDescent="0.25">
      <c r="A357" s="16"/>
      <c r="B357" s="16" t="str">
        <f t="shared" si="1"/>
        <v/>
      </c>
      <c r="C357" s="16"/>
      <c r="D357" s="40"/>
      <c r="E357" s="16"/>
      <c r="F357" s="41"/>
      <c r="G357" s="16"/>
      <c r="H357" s="16"/>
      <c r="I357" s="16"/>
      <c r="J357" s="22"/>
      <c r="K357" s="16"/>
      <c r="L357" s="16"/>
      <c r="M357" s="16"/>
      <c r="N357" s="19"/>
      <c r="O357" s="19"/>
      <c r="P357" s="19"/>
      <c r="Q357" s="19"/>
      <c r="R357" s="19"/>
      <c r="S357" s="19"/>
      <c r="T357" s="19"/>
      <c r="U357" s="19"/>
      <c r="V357" s="19"/>
      <c r="W357" s="20"/>
      <c r="X357" s="43"/>
    </row>
    <row r="358" spans="1:24" ht="15.75" hidden="1" customHeight="1" x14ac:dyDescent="0.25">
      <c r="A358" s="16"/>
      <c r="B358" s="16" t="str">
        <f t="shared" si="1"/>
        <v/>
      </c>
      <c r="C358" s="16"/>
      <c r="D358" s="40"/>
      <c r="E358" s="16"/>
      <c r="F358" s="41"/>
      <c r="G358" s="16"/>
      <c r="H358" s="16"/>
      <c r="I358" s="16"/>
      <c r="J358" s="22"/>
      <c r="K358" s="16"/>
      <c r="L358" s="16"/>
      <c r="M358" s="16"/>
      <c r="N358" s="19"/>
      <c r="O358" s="19"/>
      <c r="P358" s="19"/>
      <c r="Q358" s="19"/>
      <c r="R358" s="19"/>
      <c r="S358" s="19"/>
      <c r="T358" s="19"/>
      <c r="U358" s="19"/>
      <c r="V358" s="19"/>
      <c r="W358" s="20"/>
      <c r="X358" s="43"/>
    </row>
    <row r="359" spans="1:24" ht="15.75" hidden="1" customHeight="1" x14ac:dyDescent="0.25">
      <c r="A359" s="16"/>
      <c r="B359" s="16" t="str">
        <f t="shared" si="1"/>
        <v/>
      </c>
      <c r="C359" s="16"/>
      <c r="D359" s="40"/>
      <c r="E359" s="16"/>
      <c r="F359" s="41"/>
      <c r="G359" s="16"/>
      <c r="H359" s="16"/>
      <c r="I359" s="16"/>
      <c r="J359" s="22"/>
      <c r="K359" s="16"/>
      <c r="L359" s="16"/>
      <c r="M359" s="16"/>
      <c r="N359" s="19"/>
      <c r="O359" s="19"/>
      <c r="P359" s="19"/>
      <c r="Q359" s="19"/>
      <c r="R359" s="19"/>
      <c r="S359" s="19"/>
      <c r="T359" s="19"/>
      <c r="U359" s="19"/>
      <c r="V359" s="19"/>
      <c r="W359" s="20"/>
      <c r="X359" s="43"/>
    </row>
    <row r="360" spans="1:24" ht="15.75" hidden="1" customHeight="1" x14ac:dyDescent="0.25">
      <c r="A360" s="16"/>
      <c r="B360" s="16" t="str">
        <f t="shared" si="1"/>
        <v/>
      </c>
      <c r="C360" s="16"/>
      <c r="D360" s="40"/>
      <c r="E360" s="16"/>
      <c r="F360" s="41"/>
      <c r="G360" s="16"/>
      <c r="H360" s="16"/>
      <c r="I360" s="16"/>
      <c r="J360" s="22"/>
      <c r="K360" s="16"/>
      <c r="L360" s="16"/>
      <c r="M360" s="16"/>
      <c r="N360" s="19"/>
      <c r="O360" s="19"/>
      <c r="P360" s="19"/>
      <c r="Q360" s="19"/>
      <c r="R360" s="19"/>
      <c r="S360" s="19"/>
      <c r="T360" s="19"/>
      <c r="U360" s="19"/>
      <c r="V360" s="19"/>
      <c r="W360" s="20"/>
      <c r="X360" s="43"/>
    </row>
    <row r="361" spans="1:24" ht="15.75" hidden="1" customHeight="1" x14ac:dyDescent="0.25">
      <c r="A361" s="16"/>
      <c r="B361" s="16" t="str">
        <f t="shared" si="1"/>
        <v/>
      </c>
      <c r="C361" s="16"/>
      <c r="D361" s="40"/>
      <c r="E361" s="16"/>
      <c r="F361" s="41"/>
      <c r="G361" s="16"/>
      <c r="H361" s="16"/>
      <c r="I361" s="16"/>
      <c r="J361" s="22"/>
      <c r="K361" s="16"/>
      <c r="L361" s="16"/>
      <c r="M361" s="16"/>
      <c r="N361" s="19"/>
      <c r="O361" s="19"/>
      <c r="P361" s="19"/>
      <c r="Q361" s="19"/>
      <c r="R361" s="19"/>
      <c r="S361" s="19"/>
      <c r="T361" s="19"/>
      <c r="U361" s="19"/>
      <c r="V361" s="19"/>
      <c r="W361" s="20"/>
      <c r="X361" s="43"/>
    </row>
    <row r="362" spans="1:24" ht="15.75" hidden="1" customHeight="1" x14ac:dyDescent="0.25">
      <c r="A362" s="16"/>
      <c r="B362" s="16" t="str">
        <f t="shared" si="1"/>
        <v/>
      </c>
      <c r="C362" s="16"/>
      <c r="D362" s="40"/>
      <c r="E362" s="16"/>
      <c r="F362" s="41"/>
      <c r="G362" s="16"/>
      <c r="H362" s="16"/>
      <c r="I362" s="16"/>
      <c r="J362" s="22"/>
      <c r="K362" s="16"/>
      <c r="L362" s="16"/>
      <c r="M362" s="16"/>
      <c r="N362" s="19"/>
      <c r="O362" s="19"/>
      <c r="P362" s="19"/>
      <c r="Q362" s="19"/>
      <c r="R362" s="19"/>
      <c r="S362" s="19"/>
      <c r="T362" s="19"/>
      <c r="U362" s="19"/>
      <c r="V362" s="19"/>
      <c r="W362" s="20"/>
      <c r="X362" s="43"/>
    </row>
    <row r="363" spans="1:24" ht="15.75" hidden="1" customHeight="1" x14ac:dyDescent="0.25">
      <c r="A363" s="16"/>
      <c r="B363" s="16" t="str">
        <f t="shared" si="1"/>
        <v/>
      </c>
      <c r="C363" s="16"/>
      <c r="D363" s="40"/>
      <c r="E363" s="16"/>
      <c r="F363" s="41"/>
      <c r="G363" s="16"/>
      <c r="H363" s="16"/>
      <c r="I363" s="16"/>
      <c r="J363" s="22"/>
      <c r="K363" s="16"/>
      <c r="L363" s="16"/>
      <c r="M363" s="16"/>
      <c r="N363" s="19"/>
      <c r="O363" s="19"/>
      <c r="P363" s="19"/>
      <c r="Q363" s="19"/>
      <c r="R363" s="19"/>
      <c r="S363" s="19"/>
      <c r="T363" s="19"/>
      <c r="U363" s="19"/>
      <c r="V363" s="19"/>
      <c r="W363" s="20"/>
      <c r="X363" s="43"/>
    </row>
    <row r="364" spans="1:24" ht="15.75" hidden="1" customHeight="1" x14ac:dyDescent="0.25">
      <c r="A364" s="16"/>
      <c r="B364" s="16" t="str">
        <f t="shared" si="1"/>
        <v/>
      </c>
      <c r="C364" s="16"/>
      <c r="D364" s="40"/>
      <c r="E364" s="16"/>
      <c r="F364" s="41"/>
      <c r="G364" s="16"/>
      <c r="H364" s="16"/>
      <c r="I364" s="16"/>
      <c r="J364" s="22"/>
      <c r="K364" s="16"/>
      <c r="L364" s="16"/>
      <c r="M364" s="16"/>
      <c r="N364" s="19"/>
      <c r="O364" s="19"/>
      <c r="P364" s="19"/>
      <c r="Q364" s="19"/>
      <c r="R364" s="19"/>
      <c r="S364" s="19"/>
      <c r="T364" s="19"/>
      <c r="U364" s="19"/>
      <c r="V364" s="19"/>
      <c r="W364" s="20"/>
      <c r="X364" s="43"/>
    </row>
    <row r="365" spans="1:24" ht="15.75" hidden="1" customHeight="1" x14ac:dyDescent="0.25">
      <c r="A365" s="16"/>
      <c r="B365" s="16" t="str">
        <f t="shared" si="1"/>
        <v/>
      </c>
      <c r="C365" s="16"/>
      <c r="D365" s="40"/>
      <c r="E365" s="16"/>
      <c r="F365" s="41"/>
      <c r="G365" s="16"/>
      <c r="H365" s="16"/>
      <c r="I365" s="16"/>
      <c r="J365" s="22"/>
      <c r="K365" s="16"/>
      <c r="L365" s="16"/>
      <c r="M365" s="16"/>
      <c r="N365" s="19"/>
      <c r="O365" s="19"/>
      <c r="P365" s="19"/>
      <c r="Q365" s="19"/>
      <c r="R365" s="19"/>
      <c r="S365" s="19"/>
      <c r="T365" s="19"/>
      <c r="U365" s="19"/>
      <c r="V365" s="19"/>
      <c r="W365" s="20"/>
      <c r="X365" s="43"/>
    </row>
    <row r="366" spans="1:24" ht="15.75" hidden="1" customHeight="1" x14ac:dyDescent="0.25">
      <c r="A366" s="16"/>
      <c r="B366" s="16" t="str">
        <f t="shared" si="1"/>
        <v/>
      </c>
      <c r="C366" s="16"/>
      <c r="D366" s="40"/>
      <c r="E366" s="16"/>
      <c r="F366" s="41"/>
      <c r="G366" s="16"/>
      <c r="H366" s="16"/>
      <c r="I366" s="16"/>
      <c r="J366" s="22"/>
      <c r="K366" s="16"/>
      <c r="L366" s="16"/>
      <c r="M366" s="16"/>
      <c r="N366" s="19"/>
      <c r="O366" s="19"/>
      <c r="P366" s="19"/>
      <c r="Q366" s="19"/>
      <c r="R366" s="19"/>
      <c r="S366" s="19"/>
      <c r="T366" s="19"/>
      <c r="U366" s="19"/>
      <c r="V366" s="19"/>
      <c r="W366" s="20"/>
      <c r="X366" s="43"/>
    </row>
    <row r="367" spans="1:24" ht="15.75" hidden="1" customHeight="1" x14ac:dyDescent="0.25">
      <c r="A367" s="16"/>
      <c r="B367" s="16" t="str">
        <f t="shared" si="1"/>
        <v/>
      </c>
      <c r="C367" s="16"/>
      <c r="D367" s="40"/>
      <c r="E367" s="16"/>
      <c r="F367" s="41"/>
      <c r="G367" s="16"/>
      <c r="H367" s="16"/>
      <c r="I367" s="16"/>
      <c r="J367" s="22"/>
      <c r="K367" s="16"/>
      <c r="L367" s="16"/>
      <c r="M367" s="16"/>
      <c r="N367" s="19"/>
      <c r="O367" s="19"/>
      <c r="P367" s="19"/>
      <c r="Q367" s="19"/>
      <c r="R367" s="19"/>
      <c r="S367" s="19"/>
      <c r="T367" s="19"/>
      <c r="U367" s="19"/>
      <c r="V367" s="19"/>
      <c r="W367" s="20"/>
      <c r="X367" s="43"/>
    </row>
    <row r="368" spans="1:24" ht="15.75" hidden="1" customHeight="1" x14ac:dyDescent="0.25">
      <c r="A368" s="16"/>
      <c r="B368" s="16" t="str">
        <f t="shared" si="1"/>
        <v/>
      </c>
      <c r="C368" s="16"/>
      <c r="D368" s="40"/>
      <c r="E368" s="16"/>
      <c r="F368" s="41"/>
      <c r="G368" s="16"/>
      <c r="H368" s="16"/>
      <c r="I368" s="16"/>
      <c r="J368" s="22"/>
      <c r="K368" s="16"/>
      <c r="L368" s="16"/>
      <c r="M368" s="16"/>
      <c r="N368" s="19"/>
      <c r="O368" s="19"/>
      <c r="P368" s="19"/>
      <c r="Q368" s="19"/>
      <c r="R368" s="19"/>
      <c r="S368" s="19"/>
      <c r="T368" s="19"/>
      <c r="U368" s="19"/>
      <c r="V368" s="19"/>
      <c r="W368" s="20"/>
      <c r="X368" s="43"/>
    </row>
    <row r="369" spans="1:24" ht="15.75" hidden="1" customHeight="1" x14ac:dyDescent="0.25">
      <c r="A369" s="16"/>
      <c r="B369" s="16" t="str">
        <f t="shared" si="1"/>
        <v/>
      </c>
      <c r="C369" s="16"/>
      <c r="D369" s="40"/>
      <c r="E369" s="16"/>
      <c r="F369" s="41"/>
      <c r="G369" s="16"/>
      <c r="H369" s="16"/>
      <c r="I369" s="16"/>
      <c r="J369" s="22"/>
      <c r="K369" s="16"/>
      <c r="L369" s="16"/>
      <c r="M369" s="16"/>
      <c r="N369" s="19"/>
      <c r="O369" s="19"/>
      <c r="P369" s="19"/>
      <c r="Q369" s="19"/>
      <c r="R369" s="19"/>
      <c r="S369" s="19"/>
      <c r="T369" s="19"/>
      <c r="U369" s="19"/>
      <c r="V369" s="19"/>
      <c r="W369" s="20"/>
      <c r="X369" s="43"/>
    </row>
    <row r="370" spans="1:24" ht="15.75" hidden="1" customHeight="1" x14ac:dyDescent="0.25">
      <c r="A370" s="16"/>
      <c r="B370" s="16" t="str">
        <f t="shared" si="1"/>
        <v/>
      </c>
      <c r="C370" s="16"/>
      <c r="D370" s="40"/>
      <c r="E370" s="16"/>
      <c r="F370" s="41"/>
      <c r="G370" s="16"/>
      <c r="H370" s="16"/>
      <c r="I370" s="16"/>
      <c r="J370" s="22"/>
      <c r="K370" s="16"/>
      <c r="L370" s="16"/>
      <c r="M370" s="16"/>
      <c r="N370" s="19"/>
      <c r="O370" s="19"/>
      <c r="P370" s="19"/>
      <c r="Q370" s="19"/>
      <c r="R370" s="19"/>
      <c r="S370" s="19"/>
      <c r="T370" s="19"/>
      <c r="U370" s="19"/>
      <c r="V370" s="19"/>
      <c r="W370" s="20"/>
      <c r="X370" s="43"/>
    </row>
    <row r="371" spans="1:24" ht="15.75" hidden="1" customHeight="1" x14ac:dyDescent="0.25">
      <c r="A371" s="16"/>
      <c r="B371" s="16" t="str">
        <f t="shared" si="1"/>
        <v/>
      </c>
      <c r="C371" s="16"/>
      <c r="D371" s="40"/>
      <c r="E371" s="16"/>
      <c r="F371" s="41"/>
      <c r="G371" s="16"/>
      <c r="H371" s="16"/>
      <c r="I371" s="16"/>
      <c r="J371" s="22"/>
      <c r="K371" s="16"/>
      <c r="L371" s="16"/>
      <c r="M371" s="16"/>
      <c r="N371" s="19"/>
      <c r="O371" s="19"/>
      <c r="P371" s="19"/>
      <c r="Q371" s="19"/>
      <c r="R371" s="19"/>
      <c r="S371" s="19"/>
      <c r="T371" s="19"/>
      <c r="U371" s="19"/>
      <c r="V371" s="19"/>
      <c r="W371" s="20"/>
      <c r="X371" s="43"/>
    </row>
    <row r="372" spans="1:24" ht="15.75" hidden="1" customHeight="1" x14ac:dyDescent="0.25">
      <c r="A372" s="16"/>
      <c r="B372" s="16" t="str">
        <f t="shared" si="1"/>
        <v/>
      </c>
      <c r="C372" s="16"/>
      <c r="D372" s="40"/>
      <c r="E372" s="16"/>
      <c r="F372" s="41"/>
      <c r="G372" s="16"/>
      <c r="H372" s="16"/>
      <c r="I372" s="16"/>
      <c r="J372" s="22"/>
      <c r="K372" s="16"/>
      <c r="L372" s="16"/>
      <c r="M372" s="16"/>
      <c r="N372" s="19"/>
      <c r="O372" s="19"/>
      <c r="P372" s="19"/>
      <c r="Q372" s="19"/>
      <c r="R372" s="19"/>
      <c r="S372" s="19"/>
      <c r="T372" s="19"/>
      <c r="U372" s="19"/>
      <c r="V372" s="19"/>
      <c r="W372" s="20"/>
      <c r="X372" s="43"/>
    </row>
    <row r="373" spans="1:24" ht="15.75" hidden="1" customHeight="1" x14ac:dyDescent="0.25">
      <c r="A373" s="16"/>
      <c r="B373" s="16" t="str">
        <f t="shared" si="1"/>
        <v/>
      </c>
      <c r="C373" s="16"/>
      <c r="D373" s="40"/>
      <c r="E373" s="16"/>
      <c r="F373" s="41"/>
      <c r="G373" s="16"/>
      <c r="H373" s="16"/>
      <c r="I373" s="16"/>
      <c r="J373" s="22"/>
      <c r="K373" s="16"/>
      <c r="L373" s="16"/>
      <c r="M373" s="16"/>
      <c r="N373" s="19"/>
      <c r="O373" s="19"/>
      <c r="P373" s="19"/>
      <c r="Q373" s="19"/>
      <c r="R373" s="19"/>
      <c r="S373" s="19"/>
      <c r="T373" s="19"/>
      <c r="U373" s="19"/>
      <c r="V373" s="19"/>
      <c r="W373" s="20"/>
      <c r="X373" s="43"/>
    </row>
    <row r="374" spans="1:24" ht="15.75" hidden="1" customHeight="1" x14ac:dyDescent="0.25">
      <c r="A374" s="16"/>
      <c r="B374" s="16" t="str">
        <f t="shared" si="1"/>
        <v/>
      </c>
      <c r="C374" s="16"/>
      <c r="D374" s="40"/>
      <c r="E374" s="16"/>
      <c r="F374" s="41"/>
      <c r="G374" s="16"/>
      <c r="H374" s="16"/>
      <c r="I374" s="16"/>
      <c r="J374" s="22"/>
      <c r="K374" s="16"/>
      <c r="L374" s="16"/>
      <c r="M374" s="16"/>
      <c r="N374" s="19"/>
      <c r="O374" s="19"/>
      <c r="P374" s="19"/>
      <c r="Q374" s="19"/>
      <c r="R374" s="19"/>
      <c r="S374" s="19"/>
      <c r="T374" s="19"/>
      <c r="U374" s="19"/>
      <c r="V374" s="19"/>
      <c r="W374" s="20"/>
      <c r="X374" s="43"/>
    </row>
    <row r="375" spans="1:24" ht="15.75" hidden="1" customHeight="1" x14ac:dyDescent="0.25">
      <c r="A375" s="16"/>
      <c r="B375" s="16" t="str">
        <f t="shared" si="1"/>
        <v/>
      </c>
      <c r="C375" s="16"/>
      <c r="D375" s="40"/>
      <c r="E375" s="16"/>
      <c r="F375" s="41"/>
      <c r="G375" s="16"/>
      <c r="H375" s="16"/>
      <c r="I375" s="16"/>
      <c r="J375" s="22"/>
      <c r="K375" s="16"/>
      <c r="L375" s="16"/>
      <c r="M375" s="16"/>
      <c r="N375" s="19"/>
      <c r="O375" s="19"/>
      <c r="P375" s="19"/>
      <c r="Q375" s="19"/>
      <c r="R375" s="19"/>
      <c r="S375" s="19"/>
      <c r="T375" s="19"/>
      <c r="U375" s="19"/>
      <c r="V375" s="19"/>
      <c r="W375" s="20"/>
      <c r="X375" s="43"/>
    </row>
    <row r="376" spans="1:24" ht="15.75" hidden="1" customHeight="1" x14ac:dyDescent="0.25">
      <c r="A376" s="16"/>
      <c r="B376" s="16" t="str">
        <f t="shared" si="1"/>
        <v/>
      </c>
      <c r="C376" s="16"/>
      <c r="D376" s="40"/>
      <c r="E376" s="16"/>
      <c r="F376" s="41"/>
      <c r="G376" s="16"/>
      <c r="H376" s="16"/>
      <c r="I376" s="16"/>
      <c r="J376" s="22"/>
      <c r="K376" s="16"/>
      <c r="L376" s="16"/>
      <c r="M376" s="16"/>
      <c r="N376" s="19"/>
      <c r="O376" s="19"/>
      <c r="P376" s="19"/>
      <c r="Q376" s="19"/>
      <c r="R376" s="19"/>
      <c r="S376" s="19"/>
      <c r="T376" s="19"/>
      <c r="U376" s="19"/>
      <c r="V376" s="19"/>
      <c r="W376" s="20"/>
      <c r="X376" s="43"/>
    </row>
    <row r="377" spans="1:24" ht="15.75" hidden="1" customHeight="1" x14ac:dyDescent="0.25">
      <c r="A377" s="16"/>
      <c r="B377" s="16" t="str">
        <f t="shared" si="1"/>
        <v/>
      </c>
      <c r="C377" s="16"/>
      <c r="D377" s="40"/>
      <c r="E377" s="16"/>
      <c r="F377" s="41"/>
      <c r="G377" s="16"/>
      <c r="H377" s="16"/>
      <c r="I377" s="16"/>
      <c r="J377" s="22"/>
      <c r="K377" s="16"/>
      <c r="L377" s="16"/>
      <c r="M377" s="16"/>
      <c r="N377" s="19"/>
      <c r="O377" s="19"/>
      <c r="P377" s="19"/>
      <c r="Q377" s="19"/>
      <c r="R377" s="19"/>
      <c r="S377" s="19"/>
      <c r="T377" s="19"/>
      <c r="U377" s="19"/>
      <c r="V377" s="19"/>
      <c r="W377" s="20"/>
      <c r="X377" s="43"/>
    </row>
    <row r="378" spans="1:24" ht="15.75" hidden="1" customHeight="1" x14ac:dyDescent="0.25">
      <c r="A378" s="16"/>
      <c r="B378" s="16" t="str">
        <f t="shared" si="1"/>
        <v/>
      </c>
      <c r="C378" s="16"/>
      <c r="D378" s="40"/>
      <c r="E378" s="16"/>
      <c r="F378" s="41"/>
      <c r="G378" s="16"/>
      <c r="H378" s="16"/>
      <c r="I378" s="16"/>
      <c r="J378" s="22"/>
      <c r="K378" s="16"/>
      <c r="L378" s="16"/>
      <c r="M378" s="16"/>
      <c r="N378" s="19"/>
      <c r="O378" s="19"/>
      <c r="P378" s="19"/>
      <c r="Q378" s="19"/>
      <c r="R378" s="19"/>
      <c r="S378" s="19"/>
      <c r="T378" s="19"/>
      <c r="U378" s="19"/>
      <c r="V378" s="19"/>
      <c r="W378" s="20"/>
      <c r="X378" s="43"/>
    </row>
    <row r="379" spans="1:24" ht="15.75" hidden="1" customHeight="1" x14ac:dyDescent="0.25">
      <c r="A379" s="16"/>
      <c r="B379" s="16" t="str">
        <f t="shared" si="1"/>
        <v/>
      </c>
      <c r="C379" s="16"/>
      <c r="D379" s="40"/>
      <c r="E379" s="16"/>
      <c r="F379" s="41"/>
      <c r="G379" s="16"/>
      <c r="H379" s="16"/>
      <c r="I379" s="16"/>
      <c r="J379" s="22"/>
      <c r="K379" s="16"/>
      <c r="L379" s="16"/>
      <c r="M379" s="16"/>
      <c r="N379" s="19"/>
      <c r="O379" s="19"/>
      <c r="P379" s="19"/>
      <c r="Q379" s="19"/>
      <c r="R379" s="19"/>
      <c r="S379" s="19"/>
      <c r="T379" s="19"/>
      <c r="U379" s="19"/>
      <c r="V379" s="19"/>
      <c r="W379" s="20"/>
      <c r="X379" s="43"/>
    </row>
    <row r="380" spans="1:24" ht="15.75" hidden="1" customHeight="1" x14ac:dyDescent="0.25">
      <c r="A380" s="16"/>
      <c r="B380" s="16" t="str">
        <f t="shared" si="1"/>
        <v/>
      </c>
      <c r="C380" s="16"/>
      <c r="D380" s="40"/>
      <c r="E380" s="16"/>
      <c r="F380" s="41"/>
      <c r="G380" s="16"/>
      <c r="H380" s="16"/>
      <c r="I380" s="16"/>
      <c r="J380" s="22"/>
      <c r="K380" s="16"/>
      <c r="L380" s="16"/>
      <c r="M380" s="16"/>
      <c r="N380" s="19"/>
      <c r="O380" s="19"/>
      <c r="P380" s="19"/>
      <c r="Q380" s="19"/>
      <c r="R380" s="19"/>
      <c r="S380" s="19"/>
      <c r="T380" s="19"/>
      <c r="U380" s="19"/>
      <c r="V380" s="19"/>
      <c r="W380" s="20"/>
      <c r="X380" s="43"/>
    </row>
    <row r="381" spans="1:24" ht="15.75" hidden="1" customHeight="1" x14ac:dyDescent="0.25">
      <c r="A381" s="16"/>
      <c r="B381" s="16" t="str">
        <f t="shared" si="1"/>
        <v/>
      </c>
      <c r="C381" s="16"/>
      <c r="D381" s="40"/>
      <c r="E381" s="16"/>
      <c r="F381" s="41"/>
      <c r="G381" s="16"/>
      <c r="H381" s="16"/>
      <c r="I381" s="16"/>
      <c r="J381" s="22"/>
      <c r="K381" s="16"/>
      <c r="L381" s="16"/>
      <c r="M381" s="16"/>
      <c r="N381" s="19"/>
      <c r="O381" s="19"/>
      <c r="P381" s="19"/>
      <c r="Q381" s="19"/>
      <c r="R381" s="19"/>
      <c r="S381" s="19"/>
      <c r="T381" s="19"/>
      <c r="U381" s="19"/>
      <c r="V381" s="19"/>
      <c r="W381" s="20"/>
      <c r="X381" s="43"/>
    </row>
    <row r="382" spans="1:24" ht="15.75" hidden="1" customHeight="1" x14ac:dyDescent="0.25">
      <c r="A382" s="16"/>
      <c r="B382" s="16" t="str">
        <f t="shared" si="1"/>
        <v/>
      </c>
      <c r="C382" s="16"/>
      <c r="D382" s="40"/>
      <c r="E382" s="16"/>
      <c r="F382" s="41"/>
      <c r="G382" s="16"/>
      <c r="H382" s="16"/>
      <c r="I382" s="16"/>
      <c r="J382" s="22"/>
      <c r="K382" s="16"/>
      <c r="L382" s="16"/>
      <c r="M382" s="16"/>
      <c r="N382" s="19"/>
      <c r="O382" s="19"/>
      <c r="P382" s="19"/>
      <c r="Q382" s="19"/>
      <c r="R382" s="19"/>
      <c r="S382" s="19"/>
      <c r="T382" s="19"/>
      <c r="U382" s="19"/>
      <c r="V382" s="19"/>
      <c r="W382" s="20"/>
      <c r="X382" s="43"/>
    </row>
    <row r="383" spans="1:24" ht="15.75" hidden="1" customHeight="1" x14ac:dyDescent="0.25">
      <c r="A383" s="16"/>
      <c r="B383" s="16" t="str">
        <f t="shared" si="1"/>
        <v/>
      </c>
      <c r="C383" s="16"/>
      <c r="D383" s="40"/>
      <c r="E383" s="16"/>
      <c r="F383" s="41"/>
      <c r="G383" s="16"/>
      <c r="H383" s="16"/>
      <c r="I383" s="16"/>
      <c r="J383" s="22"/>
      <c r="K383" s="16"/>
      <c r="L383" s="16"/>
      <c r="M383" s="16"/>
      <c r="N383" s="19"/>
      <c r="O383" s="19"/>
      <c r="P383" s="19"/>
      <c r="Q383" s="19"/>
      <c r="R383" s="19"/>
      <c r="S383" s="19"/>
      <c r="T383" s="19"/>
      <c r="U383" s="19"/>
      <c r="V383" s="19"/>
      <c r="W383" s="20"/>
      <c r="X383" s="43"/>
    </row>
    <row r="384" spans="1:24" ht="15.75" hidden="1" customHeight="1" x14ac:dyDescent="0.25">
      <c r="A384" s="16"/>
      <c r="B384" s="16" t="str">
        <f t="shared" si="1"/>
        <v/>
      </c>
      <c r="C384" s="16"/>
      <c r="D384" s="40"/>
      <c r="E384" s="16"/>
      <c r="F384" s="41"/>
      <c r="G384" s="16"/>
      <c r="H384" s="16"/>
      <c r="I384" s="16"/>
      <c r="J384" s="22"/>
      <c r="K384" s="16"/>
      <c r="L384" s="16"/>
      <c r="M384" s="16"/>
      <c r="N384" s="19"/>
      <c r="O384" s="19"/>
      <c r="P384" s="19"/>
      <c r="Q384" s="19"/>
      <c r="R384" s="19"/>
      <c r="S384" s="19"/>
      <c r="T384" s="19"/>
      <c r="U384" s="19"/>
      <c r="V384" s="19"/>
      <c r="W384" s="20"/>
      <c r="X384" s="43"/>
    </row>
    <row r="385" spans="1:24" ht="15.75" hidden="1" customHeight="1" x14ac:dyDescent="0.25">
      <c r="A385" s="16"/>
      <c r="B385" s="16" t="str">
        <f t="shared" si="1"/>
        <v/>
      </c>
      <c r="C385" s="16"/>
      <c r="D385" s="40"/>
      <c r="E385" s="16"/>
      <c r="F385" s="41"/>
      <c r="G385" s="16"/>
      <c r="H385" s="16"/>
      <c r="I385" s="16"/>
      <c r="J385" s="22"/>
      <c r="K385" s="16"/>
      <c r="L385" s="16"/>
      <c r="M385" s="16"/>
      <c r="N385" s="19"/>
      <c r="O385" s="19"/>
      <c r="P385" s="19"/>
      <c r="Q385" s="19"/>
      <c r="R385" s="19"/>
      <c r="S385" s="19"/>
      <c r="T385" s="19"/>
      <c r="U385" s="19"/>
      <c r="V385" s="19"/>
      <c r="W385" s="20"/>
      <c r="X385" s="43"/>
    </row>
    <row r="386" spans="1:24" ht="15.75" hidden="1" customHeight="1" x14ac:dyDescent="0.25">
      <c r="A386" s="16"/>
      <c r="B386" s="16" t="str">
        <f t="shared" si="1"/>
        <v/>
      </c>
      <c r="C386" s="16"/>
      <c r="D386" s="40"/>
      <c r="E386" s="16"/>
      <c r="F386" s="41"/>
      <c r="G386" s="16"/>
      <c r="H386" s="16"/>
      <c r="I386" s="16"/>
      <c r="J386" s="22"/>
      <c r="K386" s="16"/>
      <c r="L386" s="16"/>
      <c r="M386" s="16"/>
      <c r="N386" s="19"/>
      <c r="O386" s="19"/>
      <c r="P386" s="19"/>
      <c r="Q386" s="19"/>
      <c r="R386" s="19"/>
      <c r="S386" s="19"/>
      <c r="T386" s="19"/>
      <c r="U386" s="19"/>
      <c r="V386" s="19"/>
      <c r="W386" s="20"/>
      <c r="X386" s="43"/>
    </row>
    <row r="387" spans="1:24" ht="15.75" hidden="1" customHeight="1" x14ac:dyDescent="0.25">
      <c r="A387" s="16"/>
      <c r="B387" s="16" t="str">
        <f t="shared" si="1"/>
        <v/>
      </c>
      <c r="C387" s="16"/>
      <c r="D387" s="40"/>
      <c r="E387" s="16"/>
      <c r="F387" s="41"/>
      <c r="G387" s="16"/>
      <c r="H387" s="16"/>
      <c r="I387" s="16"/>
      <c r="J387" s="22"/>
      <c r="K387" s="16"/>
      <c r="L387" s="16"/>
      <c r="M387" s="16"/>
      <c r="N387" s="19"/>
      <c r="O387" s="19"/>
      <c r="P387" s="19"/>
      <c r="Q387" s="19"/>
      <c r="R387" s="19"/>
      <c r="S387" s="19"/>
      <c r="T387" s="19"/>
      <c r="U387" s="19"/>
      <c r="V387" s="19"/>
      <c r="W387" s="20"/>
      <c r="X387" s="43"/>
    </row>
    <row r="388" spans="1:24" ht="15.75" hidden="1" customHeight="1" x14ac:dyDescent="0.25">
      <c r="A388" s="16"/>
      <c r="B388" s="16" t="str">
        <f t="shared" si="1"/>
        <v/>
      </c>
      <c r="C388" s="16"/>
      <c r="D388" s="40"/>
      <c r="E388" s="16"/>
      <c r="F388" s="41"/>
      <c r="G388" s="16"/>
      <c r="H388" s="16"/>
      <c r="I388" s="16"/>
      <c r="J388" s="22"/>
      <c r="K388" s="16"/>
      <c r="L388" s="16"/>
      <c r="M388" s="16"/>
      <c r="N388" s="19"/>
      <c r="O388" s="19"/>
      <c r="P388" s="19"/>
      <c r="Q388" s="19"/>
      <c r="R388" s="19"/>
      <c r="S388" s="19"/>
      <c r="T388" s="19"/>
      <c r="U388" s="19"/>
      <c r="V388" s="19"/>
      <c r="W388" s="20"/>
      <c r="X388" s="43"/>
    </row>
    <row r="389" spans="1:24" ht="15.75" hidden="1" customHeight="1" x14ac:dyDescent="0.25">
      <c r="A389" s="16"/>
      <c r="B389" s="16" t="str">
        <f t="shared" si="1"/>
        <v/>
      </c>
      <c r="C389" s="16"/>
      <c r="D389" s="40"/>
      <c r="E389" s="16"/>
      <c r="F389" s="41"/>
      <c r="G389" s="16"/>
      <c r="H389" s="16"/>
      <c r="I389" s="16"/>
      <c r="J389" s="22"/>
      <c r="K389" s="16"/>
      <c r="L389" s="16"/>
      <c r="M389" s="16"/>
      <c r="N389" s="19"/>
      <c r="O389" s="19"/>
      <c r="P389" s="19"/>
      <c r="Q389" s="19"/>
      <c r="R389" s="19"/>
      <c r="S389" s="19"/>
      <c r="T389" s="19"/>
      <c r="U389" s="19"/>
      <c r="V389" s="19"/>
      <c r="W389" s="20"/>
      <c r="X389" s="43"/>
    </row>
    <row r="390" spans="1:24" ht="15.75" hidden="1" customHeight="1" x14ac:dyDescent="0.25">
      <c r="A390" s="16"/>
      <c r="B390" s="16" t="str">
        <f t="shared" si="1"/>
        <v/>
      </c>
      <c r="C390" s="16"/>
      <c r="D390" s="40"/>
      <c r="E390" s="16"/>
      <c r="F390" s="41"/>
      <c r="G390" s="16"/>
      <c r="H390" s="16"/>
      <c r="I390" s="16"/>
      <c r="J390" s="22"/>
      <c r="K390" s="16"/>
      <c r="L390" s="16"/>
      <c r="M390" s="16"/>
      <c r="N390" s="19"/>
      <c r="O390" s="19"/>
      <c r="P390" s="19"/>
      <c r="Q390" s="19"/>
      <c r="R390" s="19"/>
      <c r="S390" s="19"/>
      <c r="T390" s="19"/>
      <c r="U390" s="19"/>
      <c r="V390" s="19"/>
      <c r="W390" s="20"/>
      <c r="X390" s="43"/>
    </row>
    <row r="391" spans="1:24" ht="15.75" hidden="1" customHeight="1" x14ac:dyDescent="0.25">
      <c r="A391" s="16"/>
      <c r="B391" s="16" t="str">
        <f t="shared" si="1"/>
        <v/>
      </c>
      <c r="C391" s="16"/>
      <c r="D391" s="40"/>
      <c r="E391" s="16"/>
      <c r="F391" s="41"/>
      <c r="G391" s="16"/>
      <c r="H391" s="16"/>
      <c r="I391" s="16"/>
      <c r="J391" s="22"/>
      <c r="K391" s="16"/>
      <c r="L391" s="16"/>
      <c r="M391" s="16"/>
      <c r="N391" s="19"/>
      <c r="O391" s="19"/>
      <c r="P391" s="19"/>
      <c r="Q391" s="19"/>
      <c r="R391" s="19"/>
      <c r="S391" s="19"/>
      <c r="T391" s="19"/>
      <c r="U391" s="19"/>
      <c r="V391" s="19"/>
      <c r="W391" s="20"/>
      <c r="X391" s="43"/>
    </row>
    <row r="392" spans="1:24" ht="15.75" hidden="1" customHeight="1" x14ac:dyDescent="0.25">
      <c r="A392" s="16"/>
      <c r="B392" s="16" t="str">
        <f t="shared" si="1"/>
        <v/>
      </c>
      <c r="C392" s="16"/>
      <c r="D392" s="40"/>
      <c r="E392" s="16"/>
      <c r="F392" s="41"/>
      <c r="G392" s="16"/>
      <c r="H392" s="16"/>
      <c r="I392" s="16"/>
      <c r="J392" s="22"/>
      <c r="K392" s="16"/>
      <c r="L392" s="16"/>
      <c r="M392" s="16"/>
      <c r="N392" s="19"/>
      <c r="O392" s="19"/>
      <c r="P392" s="19"/>
      <c r="Q392" s="19"/>
      <c r="R392" s="19"/>
      <c r="S392" s="19"/>
      <c r="T392" s="19"/>
      <c r="U392" s="19"/>
      <c r="V392" s="19"/>
      <c r="W392" s="20"/>
      <c r="X392" s="43"/>
    </row>
    <row r="393" spans="1:24" ht="15.75" hidden="1" customHeight="1" x14ac:dyDescent="0.25">
      <c r="A393" s="16"/>
      <c r="B393" s="16" t="str">
        <f t="shared" si="1"/>
        <v/>
      </c>
      <c r="C393" s="16"/>
      <c r="D393" s="40"/>
      <c r="E393" s="16"/>
      <c r="F393" s="41"/>
      <c r="G393" s="16"/>
      <c r="H393" s="16"/>
      <c r="I393" s="16"/>
      <c r="J393" s="22"/>
      <c r="K393" s="16"/>
      <c r="L393" s="16"/>
      <c r="M393" s="16"/>
      <c r="N393" s="19"/>
      <c r="O393" s="19"/>
      <c r="P393" s="19"/>
      <c r="Q393" s="19"/>
      <c r="R393" s="19"/>
      <c r="S393" s="19"/>
      <c r="T393" s="19"/>
      <c r="U393" s="19"/>
      <c r="V393" s="19"/>
      <c r="W393" s="20"/>
      <c r="X393" s="43"/>
    </row>
    <row r="394" spans="1:24" ht="15.75" hidden="1" customHeight="1" x14ac:dyDescent="0.25">
      <c r="A394" s="16"/>
      <c r="B394" s="16" t="str">
        <f t="shared" si="1"/>
        <v/>
      </c>
      <c r="C394" s="16"/>
      <c r="D394" s="40"/>
      <c r="E394" s="16"/>
      <c r="F394" s="41"/>
      <c r="G394" s="16"/>
      <c r="H394" s="16"/>
      <c r="I394" s="16"/>
      <c r="J394" s="22"/>
      <c r="K394" s="16"/>
      <c r="L394" s="16"/>
      <c r="M394" s="16"/>
      <c r="N394" s="19"/>
      <c r="O394" s="19"/>
      <c r="P394" s="19"/>
      <c r="Q394" s="19"/>
      <c r="R394" s="19"/>
      <c r="S394" s="19"/>
      <c r="T394" s="19"/>
      <c r="U394" s="19"/>
      <c r="V394" s="19"/>
      <c r="W394" s="20"/>
      <c r="X394" s="43"/>
    </row>
    <row r="395" spans="1:24" ht="15.75" hidden="1" customHeight="1" x14ac:dyDescent="0.25">
      <c r="A395" s="16"/>
      <c r="B395" s="16" t="str">
        <f t="shared" si="1"/>
        <v/>
      </c>
      <c r="C395" s="16"/>
      <c r="D395" s="40"/>
      <c r="E395" s="16"/>
      <c r="F395" s="41"/>
      <c r="G395" s="16"/>
      <c r="H395" s="16"/>
      <c r="I395" s="16"/>
      <c r="J395" s="22"/>
      <c r="K395" s="16"/>
      <c r="L395" s="16"/>
      <c r="M395" s="16"/>
      <c r="N395" s="19"/>
      <c r="O395" s="19"/>
      <c r="P395" s="19"/>
      <c r="Q395" s="19"/>
      <c r="R395" s="19"/>
      <c r="S395" s="19"/>
      <c r="T395" s="19"/>
      <c r="U395" s="19"/>
      <c r="V395" s="19"/>
      <c r="W395" s="20"/>
      <c r="X395" s="43"/>
    </row>
    <row r="396" spans="1:24" ht="15.75" hidden="1" customHeight="1" x14ac:dyDescent="0.25">
      <c r="A396" s="16"/>
      <c r="B396" s="16" t="str">
        <f t="shared" si="1"/>
        <v/>
      </c>
      <c r="C396" s="16"/>
      <c r="D396" s="40"/>
      <c r="E396" s="16"/>
      <c r="F396" s="41"/>
      <c r="G396" s="16"/>
      <c r="H396" s="16"/>
      <c r="I396" s="16"/>
      <c r="J396" s="22"/>
      <c r="K396" s="16"/>
      <c r="L396" s="16"/>
      <c r="M396" s="16"/>
      <c r="N396" s="19"/>
      <c r="O396" s="19"/>
      <c r="P396" s="19"/>
      <c r="Q396" s="19"/>
      <c r="R396" s="19"/>
      <c r="S396" s="19"/>
      <c r="T396" s="19"/>
      <c r="U396" s="19"/>
      <c r="V396" s="19"/>
      <c r="W396" s="20"/>
      <c r="X396" s="43"/>
    </row>
    <row r="397" spans="1:24" ht="15.75" hidden="1" customHeight="1" x14ac:dyDescent="0.25">
      <c r="A397" s="16"/>
      <c r="B397" s="16" t="str">
        <f t="shared" si="1"/>
        <v/>
      </c>
      <c r="C397" s="16"/>
      <c r="D397" s="40"/>
      <c r="E397" s="16"/>
      <c r="F397" s="41"/>
      <c r="G397" s="16"/>
      <c r="H397" s="16"/>
      <c r="I397" s="16"/>
      <c r="J397" s="22"/>
      <c r="K397" s="16"/>
      <c r="L397" s="16"/>
      <c r="M397" s="16"/>
      <c r="N397" s="19"/>
      <c r="O397" s="19"/>
      <c r="P397" s="19"/>
      <c r="Q397" s="19"/>
      <c r="R397" s="19"/>
      <c r="S397" s="19"/>
      <c r="T397" s="19"/>
      <c r="U397" s="19"/>
      <c r="V397" s="19"/>
      <c r="W397" s="20"/>
      <c r="X397" s="43"/>
    </row>
    <row r="398" spans="1:24" ht="15.75" hidden="1" customHeight="1" x14ac:dyDescent="0.25">
      <c r="A398" s="16"/>
      <c r="B398" s="16" t="str">
        <f t="shared" si="1"/>
        <v/>
      </c>
      <c r="C398" s="16"/>
      <c r="D398" s="40"/>
      <c r="E398" s="16"/>
      <c r="F398" s="41"/>
      <c r="G398" s="16"/>
      <c r="H398" s="16"/>
      <c r="I398" s="16"/>
      <c r="J398" s="22"/>
      <c r="K398" s="16"/>
      <c r="L398" s="16"/>
      <c r="M398" s="16"/>
      <c r="N398" s="19"/>
      <c r="O398" s="19"/>
      <c r="P398" s="19"/>
      <c r="Q398" s="19"/>
      <c r="R398" s="19"/>
      <c r="S398" s="19"/>
      <c r="T398" s="19"/>
      <c r="U398" s="19"/>
      <c r="V398" s="19"/>
      <c r="W398" s="20"/>
      <c r="X398" s="43"/>
    </row>
    <row r="399" spans="1:24" ht="15.75" hidden="1" customHeight="1" x14ac:dyDescent="0.25">
      <c r="A399" s="16"/>
      <c r="B399" s="16" t="str">
        <f t="shared" si="1"/>
        <v/>
      </c>
      <c r="C399" s="16"/>
      <c r="D399" s="40"/>
      <c r="E399" s="16"/>
      <c r="F399" s="41"/>
      <c r="G399" s="16"/>
      <c r="H399" s="16"/>
      <c r="I399" s="16"/>
      <c r="J399" s="22"/>
      <c r="K399" s="16"/>
      <c r="L399" s="16"/>
      <c r="M399" s="16"/>
      <c r="N399" s="19"/>
      <c r="O399" s="19"/>
      <c r="P399" s="19"/>
      <c r="Q399" s="19"/>
      <c r="R399" s="19"/>
      <c r="S399" s="19"/>
      <c r="T399" s="19"/>
      <c r="U399" s="19"/>
      <c r="V399" s="19"/>
      <c r="W399" s="20"/>
      <c r="X399" s="43"/>
    </row>
    <row r="400" spans="1:24" ht="15.75" hidden="1" customHeight="1" x14ac:dyDescent="0.25">
      <c r="A400" s="16"/>
      <c r="B400" s="16" t="str">
        <f t="shared" si="1"/>
        <v/>
      </c>
      <c r="C400" s="16"/>
      <c r="D400" s="40"/>
      <c r="E400" s="16"/>
      <c r="F400" s="41"/>
      <c r="G400" s="16"/>
      <c r="H400" s="16"/>
      <c r="I400" s="16"/>
      <c r="J400" s="22"/>
      <c r="K400" s="16"/>
      <c r="L400" s="16"/>
      <c r="M400" s="16"/>
      <c r="N400" s="19"/>
      <c r="O400" s="19"/>
      <c r="P400" s="19"/>
      <c r="Q400" s="19"/>
      <c r="R400" s="19"/>
      <c r="S400" s="19"/>
      <c r="T400" s="19"/>
      <c r="U400" s="19"/>
      <c r="V400" s="19"/>
      <c r="W400" s="20"/>
      <c r="X400" s="43"/>
    </row>
    <row r="401" spans="1:24" ht="15.75" hidden="1" customHeight="1" x14ac:dyDescent="0.25">
      <c r="A401" s="16"/>
      <c r="B401" s="16" t="str">
        <f t="shared" si="1"/>
        <v/>
      </c>
      <c r="C401" s="16"/>
      <c r="D401" s="40"/>
      <c r="E401" s="16"/>
      <c r="F401" s="41"/>
      <c r="G401" s="16"/>
      <c r="H401" s="16"/>
      <c r="I401" s="16"/>
      <c r="J401" s="22"/>
      <c r="K401" s="16"/>
      <c r="L401" s="16"/>
      <c r="M401" s="16"/>
      <c r="N401" s="19"/>
      <c r="O401" s="19"/>
      <c r="P401" s="19"/>
      <c r="Q401" s="19"/>
      <c r="R401" s="19"/>
      <c r="S401" s="19"/>
      <c r="T401" s="19"/>
      <c r="U401" s="19"/>
      <c r="V401" s="19"/>
      <c r="W401" s="20"/>
      <c r="X401" s="43"/>
    </row>
    <row r="402" spans="1:24" ht="15.75" hidden="1" customHeight="1" x14ac:dyDescent="0.25">
      <c r="A402" s="16"/>
      <c r="B402" s="16" t="str">
        <f t="shared" si="1"/>
        <v/>
      </c>
      <c r="C402" s="16"/>
      <c r="D402" s="40"/>
      <c r="E402" s="16"/>
      <c r="F402" s="41"/>
      <c r="G402" s="16"/>
      <c r="H402" s="16"/>
      <c r="I402" s="16"/>
      <c r="J402" s="22"/>
      <c r="K402" s="16"/>
      <c r="L402" s="16"/>
      <c r="M402" s="16"/>
      <c r="N402" s="19"/>
      <c r="O402" s="19"/>
      <c r="P402" s="19"/>
      <c r="Q402" s="19"/>
      <c r="R402" s="19"/>
      <c r="S402" s="19"/>
      <c r="T402" s="19"/>
      <c r="U402" s="19"/>
      <c r="V402" s="19"/>
      <c r="W402" s="20"/>
      <c r="X402" s="43"/>
    </row>
    <row r="403" spans="1:24" ht="15.75" hidden="1" customHeight="1" x14ac:dyDescent="0.25">
      <c r="A403" s="16"/>
      <c r="B403" s="16" t="str">
        <f t="shared" si="1"/>
        <v/>
      </c>
      <c r="C403" s="16"/>
      <c r="D403" s="40"/>
      <c r="E403" s="16"/>
      <c r="F403" s="41"/>
      <c r="G403" s="16"/>
      <c r="H403" s="16"/>
      <c r="I403" s="16"/>
      <c r="J403" s="22"/>
      <c r="K403" s="16"/>
      <c r="L403" s="16"/>
      <c r="M403" s="16"/>
      <c r="N403" s="19"/>
      <c r="O403" s="19"/>
      <c r="P403" s="19"/>
      <c r="Q403" s="19"/>
      <c r="R403" s="19"/>
      <c r="S403" s="19"/>
      <c r="T403" s="19"/>
      <c r="U403" s="19"/>
      <c r="V403" s="19"/>
      <c r="W403" s="20"/>
      <c r="X403" s="43"/>
    </row>
    <row r="404" spans="1:24" ht="15.75" hidden="1" customHeight="1" x14ac:dyDescent="0.25">
      <c r="A404" s="16"/>
      <c r="B404" s="16" t="str">
        <f t="shared" si="1"/>
        <v/>
      </c>
      <c r="C404" s="16"/>
      <c r="D404" s="40"/>
      <c r="E404" s="16"/>
      <c r="F404" s="41"/>
      <c r="G404" s="16"/>
      <c r="H404" s="16"/>
      <c r="I404" s="16"/>
      <c r="J404" s="22"/>
      <c r="K404" s="16"/>
      <c r="L404" s="16"/>
      <c r="M404" s="16"/>
      <c r="N404" s="19"/>
      <c r="O404" s="19"/>
      <c r="P404" s="19"/>
      <c r="Q404" s="19"/>
      <c r="R404" s="19"/>
      <c r="S404" s="19"/>
      <c r="T404" s="19"/>
      <c r="U404" s="19"/>
      <c r="V404" s="19"/>
      <c r="W404" s="20"/>
      <c r="X404" s="43"/>
    </row>
    <row r="405" spans="1:24" ht="15.75" hidden="1" customHeight="1" x14ac:dyDescent="0.25">
      <c r="A405" s="16"/>
      <c r="B405" s="16" t="str">
        <f t="shared" si="1"/>
        <v/>
      </c>
      <c r="C405" s="16"/>
      <c r="D405" s="40"/>
      <c r="E405" s="16"/>
      <c r="F405" s="41"/>
      <c r="G405" s="16"/>
      <c r="H405" s="16"/>
      <c r="I405" s="16"/>
      <c r="J405" s="22"/>
      <c r="K405" s="16"/>
      <c r="L405" s="16"/>
      <c r="M405" s="16"/>
      <c r="N405" s="19"/>
      <c r="O405" s="19"/>
      <c r="P405" s="19"/>
      <c r="Q405" s="19"/>
      <c r="R405" s="19"/>
      <c r="S405" s="19"/>
      <c r="T405" s="19"/>
      <c r="U405" s="19"/>
      <c r="V405" s="19"/>
      <c r="W405" s="20"/>
      <c r="X405" s="43"/>
    </row>
    <row r="406" spans="1:24" ht="15.75" hidden="1" customHeight="1" x14ac:dyDescent="0.25">
      <c r="A406" s="16"/>
      <c r="B406" s="16" t="str">
        <f t="shared" si="1"/>
        <v/>
      </c>
      <c r="C406" s="16"/>
      <c r="D406" s="40"/>
      <c r="E406" s="16"/>
      <c r="F406" s="41"/>
      <c r="G406" s="16"/>
      <c r="H406" s="16"/>
      <c r="I406" s="16"/>
      <c r="J406" s="22"/>
      <c r="K406" s="16"/>
      <c r="L406" s="16"/>
      <c r="M406" s="16"/>
      <c r="N406" s="19"/>
      <c r="O406" s="19"/>
      <c r="P406" s="19"/>
      <c r="Q406" s="19"/>
      <c r="R406" s="19"/>
      <c r="S406" s="19"/>
      <c r="T406" s="19"/>
      <c r="U406" s="19"/>
      <c r="V406" s="19"/>
      <c r="W406" s="20"/>
      <c r="X406" s="43"/>
    </row>
    <row r="407" spans="1:24" ht="15.75" hidden="1" customHeight="1" x14ac:dyDescent="0.25">
      <c r="A407" s="16"/>
      <c r="B407" s="16" t="str">
        <f t="shared" si="1"/>
        <v/>
      </c>
      <c r="C407" s="16"/>
      <c r="D407" s="40"/>
      <c r="E407" s="16"/>
      <c r="F407" s="41"/>
      <c r="G407" s="16"/>
      <c r="H407" s="16"/>
      <c r="I407" s="16"/>
      <c r="J407" s="22"/>
      <c r="K407" s="16"/>
      <c r="L407" s="16"/>
      <c r="M407" s="16"/>
      <c r="N407" s="19"/>
      <c r="O407" s="19"/>
      <c r="P407" s="19"/>
      <c r="Q407" s="19"/>
      <c r="R407" s="19"/>
      <c r="S407" s="19"/>
      <c r="T407" s="19"/>
      <c r="U407" s="19"/>
      <c r="V407" s="19"/>
      <c r="W407" s="20"/>
      <c r="X407" s="43"/>
    </row>
    <row r="408" spans="1:24" ht="15.75" hidden="1" customHeight="1" x14ac:dyDescent="0.25">
      <c r="A408" s="16"/>
      <c r="B408" s="16" t="str">
        <f t="shared" si="1"/>
        <v/>
      </c>
      <c r="C408" s="16"/>
      <c r="D408" s="40"/>
      <c r="E408" s="16"/>
      <c r="F408" s="41"/>
      <c r="G408" s="16"/>
      <c r="H408" s="16"/>
      <c r="I408" s="16"/>
      <c r="J408" s="22"/>
      <c r="K408" s="16"/>
      <c r="L408" s="16"/>
      <c r="M408" s="16"/>
      <c r="N408" s="19"/>
      <c r="O408" s="19"/>
      <c r="P408" s="19"/>
      <c r="Q408" s="19"/>
      <c r="R408" s="19"/>
      <c r="S408" s="19"/>
      <c r="T408" s="19"/>
      <c r="U408" s="19"/>
      <c r="V408" s="19"/>
      <c r="W408" s="20"/>
      <c r="X408" s="43"/>
    </row>
    <row r="409" spans="1:24" ht="15.75" hidden="1" customHeight="1" x14ac:dyDescent="0.25">
      <c r="A409" s="16"/>
      <c r="B409" s="16" t="str">
        <f t="shared" si="1"/>
        <v/>
      </c>
      <c r="C409" s="16"/>
      <c r="D409" s="40"/>
      <c r="E409" s="16"/>
      <c r="F409" s="41"/>
      <c r="G409" s="16"/>
      <c r="H409" s="16"/>
      <c r="I409" s="16"/>
      <c r="J409" s="22"/>
      <c r="K409" s="16"/>
      <c r="L409" s="16"/>
      <c r="M409" s="16"/>
      <c r="N409" s="19"/>
      <c r="O409" s="19"/>
      <c r="P409" s="19"/>
      <c r="Q409" s="19"/>
      <c r="R409" s="19"/>
      <c r="S409" s="19"/>
      <c r="T409" s="19"/>
      <c r="U409" s="19"/>
      <c r="V409" s="19"/>
      <c r="W409" s="20"/>
      <c r="X409" s="43"/>
    </row>
    <row r="410" spans="1:24" ht="15.75" hidden="1" customHeight="1" x14ac:dyDescent="0.25">
      <c r="A410" s="16"/>
      <c r="B410" s="16" t="str">
        <f t="shared" si="1"/>
        <v/>
      </c>
      <c r="C410" s="16"/>
      <c r="D410" s="40"/>
      <c r="E410" s="16"/>
      <c r="F410" s="41"/>
      <c r="G410" s="16"/>
      <c r="H410" s="16"/>
      <c r="I410" s="16"/>
      <c r="J410" s="22"/>
      <c r="K410" s="16"/>
      <c r="L410" s="16"/>
      <c r="M410" s="16"/>
      <c r="N410" s="19"/>
      <c r="O410" s="19"/>
      <c r="P410" s="19"/>
      <c r="Q410" s="19"/>
      <c r="R410" s="19"/>
      <c r="S410" s="19"/>
      <c r="T410" s="19"/>
      <c r="U410" s="19"/>
      <c r="V410" s="19"/>
      <c r="W410" s="20"/>
      <c r="X410" s="43"/>
    </row>
    <row r="411" spans="1:24" ht="15.75" hidden="1" customHeight="1" x14ac:dyDescent="0.25">
      <c r="A411" s="16"/>
      <c r="B411" s="16" t="str">
        <f t="shared" si="1"/>
        <v/>
      </c>
      <c r="C411" s="16"/>
      <c r="D411" s="40"/>
      <c r="E411" s="16"/>
      <c r="F411" s="41"/>
      <c r="G411" s="16"/>
      <c r="H411" s="16"/>
      <c r="I411" s="16"/>
      <c r="J411" s="22"/>
      <c r="K411" s="16"/>
      <c r="L411" s="16"/>
      <c r="M411" s="16"/>
      <c r="N411" s="19"/>
      <c r="O411" s="19"/>
      <c r="P411" s="19"/>
      <c r="Q411" s="19"/>
      <c r="R411" s="19"/>
      <c r="S411" s="19"/>
      <c r="T411" s="19"/>
      <c r="U411" s="19"/>
      <c r="V411" s="19"/>
      <c r="W411" s="20"/>
      <c r="X411" s="43"/>
    </row>
    <row r="412" spans="1:24" ht="15.75" hidden="1" customHeight="1" x14ac:dyDescent="0.25">
      <c r="A412" s="16"/>
      <c r="B412" s="16" t="str">
        <f t="shared" si="1"/>
        <v/>
      </c>
      <c r="C412" s="16"/>
      <c r="D412" s="40"/>
      <c r="E412" s="16"/>
      <c r="F412" s="41"/>
      <c r="G412" s="16"/>
      <c r="H412" s="16"/>
      <c r="I412" s="16"/>
      <c r="J412" s="22"/>
      <c r="K412" s="16"/>
      <c r="L412" s="16"/>
      <c r="M412" s="16"/>
      <c r="N412" s="19"/>
      <c r="O412" s="19"/>
      <c r="P412" s="19"/>
      <c r="Q412" s="19"/>
      <c r="R412" s="19"/>
      <c r="S412" s="19"/>
      <c r="T412" s="19"/>
      <c r="U412" s="19"/>
      <c r="V412" s="19"/>
      <c r="W412" s="20"/>
      <c r="X412" s="43"/>
    </row>
    <row r="413" spans="1:24" ht="15.75" hidden="1" customHeight="1" x14ac:dyDescent="0.25">
      <c r="A413" s="16"/>
      <c r="B413" s="16" t="str">
        <f t="shared" si="1"/>
        <v/>
      </c>
      <c r="C413" s="16"/>
      <c r="D413" s="40"/>
      <c r="E413" s="16"/>
      <c r="F413" s="41"/>
      <c r="G413" s="16"/>
      <c r="H413" s="16"/>
      <c r="I413" s="16"/>
      <c r="J413" s="22"/>
      <c r="K413" s="16"/>
      <c r="L413" s="16"/>
      <c r="M413" s="16"/>
      <c r="N413" s="19"/>
      <c r="O413" s="19"/>
      <c r="P413" s="19"/>
      <c r="Q413" s="19"/>
      <c r="R413" s="19"/>
      <c r="S413" s="19"/>
      <c r="T413" s="19"/>
      <c r="U413" s="19"/>
      <c r="V413" s="19"/>
      <c r="W413" s="20"/>
      <c r="X413" s="43"/>
    </row>
    <row r="414" spans="1:24" ht="15.75" hidden="1" customHeight="1" x14ac:dyDescent="0.25">
      <c r="A414" s="16"/>
      <c r="B414" s="16" t="str">
        <f t="shared" si="1"/>
        <v/>
      </c>
      <c r="C414" s="16"/>
      <c r="D414" s="40"/>
      <c r="E414" s="16"/>
      <c r="F414" s="41"/>
      <c r="G414" s="16"/>
      <c r="H414" s="16"/>
      <c r="I414" s="16"/>
      <c r="J414" s="22"/>
      <c r="K414" s="16"/>
      <c r="L414" s="16"/>
      <c r="M414" s="16"/>
      <c r="N414" s="19"/>
      <c r="O414" s="19"/>
      <c r="P414" s="19"/>
      <c r="Q414" s="19"/>
      <c r="R414" s="19"/>
      <c r="S414" s="19"/>
      <c r="T414" s="19"/>
      <c r="U414" s="19"/>
      <c r="V414" s="19"/>
      <c r="W414" s="20"/>
      <c r="X414" s="43"/>
    </row>
    <row r="415" spans="1:24" ht="15.75" hidden="1" customHeight="1" x14ac:dyDescent="0.25">
      <c r="A415" s="16"/>
      <c r="B415" s="16" t="str">
        <f t="shared" si="1"/>
        <v/>
      </c>
      <c r="C415" s="16"/>
      <c r="D415" s="40"/>
      <c r="E415" s="16"/>
      <c r="F415" s="41"/>
      <c r="G415" s="16"/>
      <c r="H415" s="16"/>
      <c r="I415" s="16"/>
      <c r="J415" s="22"/>
      <c r="K415" s="16"/>
      <c r="L415" s="16"/>
      <c r="M415" s="16"/>
      <c r="N415" s="19"/>
      <c r="O415" s="19"/>
      <c r="P415" s="19"/>
      <c r="Q415" s="19"/>
      <c r="R415" s="19"/>
      <c r="S415" s="19"/>
      <c r="T415" s="19"/>
      <c r="U415" s="19"/>
      <c r="V415" s="19"/>
      <c r="W415" s="20"/>
      <c r="X415" s="43"/>
    </row>
    <row r="416" spans="1:24" ht="15.75" hidden="1" customHeight="1" x14ac:dyDescent="0.25">
      <c r="A416" s="16"/>
      <c r="B416" s="16" t="str">
        <f t="shared" si="1"/>
        <v/>
      </c>
      <c r="C416" s="16"/>
      <c r="D416" s="40"/>
      <c r="E416" s="16"/>
      <c r="F416" s="41"/>
      <c r="G416" s="16"/>
      <c r="H416" s="16"/>
      <c r="I416" s="16"/>
      <c r="J416" s="22"/>
      <c r="K416" s="16"/>
      <c r="L416" s="16"/>
      <c r="M416" s="16"/>
      <c r="N416" s="19"/>
      <c r="O416" s="19"/>
      <c r="P416" s="19"/>
      <c r="Q416" s="19"/>
      <c r="R416" s="19"/>
      <c r="S416" s="19"/>
      <c r="T416" s="19"/>
      <c r="U416" s="19"/>
      <c r="V416" s="19"/>
      <c r="W416" s="20"/>
      <c r="X416" s="43"/>
    </row>
    <row r="417" spans="1:24" ht="15.75" hidden="1" customHeight="1" x14ac:dyDescent="0.25">
      <c r="A417" s="16"/>
      <c r="B417" s="16" t="str">
        <f t="shared" si="1"/>
        <v/>
      </c>
      <c r="C417" s="16"/>
      <c r="D417" s="40"/>
      <c r="E417" s="16"/>
      <c r="F417" s="41"/>
      <c r="G417" s="16"/>
      <c r="H417" s="16"/>
      <c r="I417" s="16"/>
      <c r="J417" s="22"/>
      <c r="K417" s="16"/>
      <c r="L417" s="16"/>
      <c r="M417" s="16"/>
      <c r="N417" s="19"/>
      <c r="O417" s="19"/>
      <c r="P417" s="19"/>
      <c r="Q417" s="19"/>
      <c r="R417" s="19"/>
      <c r="S417" s="19"/>
      <c r="T417" s="19"/>
      <c r="U417" s="19"/>
      <c r="V417" s="19"/>
      <c r="W417" s="20"/>
      <c r="X417" s="43"/>
    </row>
    <row r="418" spans="1:24" ht="15.75" hidden="1" customHeight="1" x14ac:dyDescent="0.25">
      <c r="A418" s="16"/>
      <c r="B418" s="16" t="str">
        <f t="shared" si="1"/>
        <v/>
      </c>
      <c r="C418" s="16"/>
      <c r="D418" s="40"/>
      <c r="E418" s="16"/>
      <c r="F418" s="41"/>
      <c r="G418" s="16"/>
      <c r="H418" s="16"/>
      <c r="I418" s="16"/>
      <c r="J418" s="22"/>
      <c r="K418" s="16"/>
      <c r="L418" s="16"/>
      <c r="M418" s="16"/>
      <c r="N418" s="19"/>
      <c r="O418" s="19"/>
      <c r="P418" s="19"/>
      <c r="Q418" s="19"/>
      <c r="R418" s="19"/>
      <c r="S418" s="19"/>
      <c r="T418" s="19"/>
      <c r="U418" s="19"/>
      <c r="V418" s="19"/>
      <c r="W418" s="20"/>
      <c r="X418" s="43"/>
    </row>
    <row r="419" spans="1:24" ht="15.75" hidden="1" customHeight="1" x14ac:dyDescent="0.25">
      <c r="A419" s="16"/>
      <c r="B419" s="16" t="str">
        <f t="shared" si="1"/>
        <v/>
      </c>
      <c r="C419" s="16"/>
      <c r="D419" s="40"/>
      <c r="E419" s="16"/>
      <c r="F419" s="41"/>
      <c r="G419" s="16"/>
      <c r="H419" s="16"/>
      <c r="I419" s="16"/>
      <c r="J419" s="22"/>
      <c r="K419" s="16"/>
      <c r="L419" s="16"/>
      <c r="M419" s="16"/>
      <c r="N419" s="19"/>
      <c r="O419" s="19"/>
      <c r="P419" s="19"/>
      <c r="Q419" s="19"/>
      <c r="R419" s="19"/>
      <c r="S419" s="19"/>
      <c r="T419" s="19"/>
      <c r="U419" s="19"/>
      <c r="V419" s="19"/>
      <c r="W419" s="20"/>
      <c r="X419" s="43"/>
    </row>
    <row r="420" spans="1:24" ht="15.75" hidden="1" customHeight="1" x14ac:dyDescent="0.25">
      <c r="A420" s="16"/>
      <c r="B420" s="16" t="str">
        <f t="shared" si="1"/>
        <v/>
      </c>
      <c r="C420" s="16"/>
      <c r="D420" s="40"/>
      <c r="E420" s="16"/>
      <c r="F420" s="41"/>
      <c r="G420" s="16"/>
      <c r="H420" s="16"/>
      <c r="I420" s="16"/>
      <c r="J420" s="22"/>
      <c r="K420" s="16"/>
      <c r="L420" s="16"/>
      <c r="M420" s="16"/>
      <c r="N420" s="19"/>
      <c r="O420" s="19"/>
      <c r="P420" s="19"/>
      <c r="Q420" s="19"/>
      <c r="R420" s="19"/>
      <c r="S420" s="19"/>
      <c r="T420" s="19"/>
      <c r="U420" s="19"/>
      <c r="V420" s="19"/>
      <c r="W420" s="20"/>
      <c r="X420" s="43"/>
    </row>
    <row r="421" spans="1:24" ht="15.75" hidden="1" customHeight="1" x14ac:dyDescent="0.25">
      <c r="A421" s="16"/>
      <c r="B421" s="16" t="str">
        <f t="shared" si="1"/>
        <v/>
      </c>
      <c r="C421" s="16"/>
      <c r="D421" s="40"/>
      <c r="E421" s="16"/>
      <c r="F421" s="41"/>
      <c r="G421" s="16"/>
      <c r="H421" s="16"/>
      <c r="I421" s="16"/>
      <c r="J421" s="22"/>
      <c r="K421" s="16"/>
      <c r="L421" s="16"/>
      <c r="M421" s="16"/>
      <c r="N421" s="19"/>
      <c r="O421" s="19"/>
      <c r="P421" s="19"/>
      <c r="Q421" s="19"/>
      <c r="R421" s="19"/>
      <c r="S421" s="19"/>
      <c r="T421" s="19"/>
      <c r="U421" s="19"/>
      <c r="V421" s="19"/>
      <c r="W421" s="20"/>
      <c r="X421" s="43"/>
    </row>
    <row r="422" spans="1:24" ht="15.75" hidden="1" customHeight="1" x14ac:dyDescent="0.25">
      <c r="A422" s="16"/>
      <c r="B422" s="16" t="str">
        <f t="shared" si="1"/>
        <v/>
      </c>
      <c r="C422" s="16"/>
      <c r="D422" s="40"/>
      <c r="E422" s="16"/>
      <c r="F422" s="41"/>
      <c r="G422" s="16"/>
      <c r="H422" s="16"/>
      <c r="I422" s="16"/>
      <c r="J422" s="22"/>
      <c r="K422" s="16"/>
      <c r="L422" s="16"/>
      <c r="M422" s="16"/>
      <c r="N422" s="19"/>
      <c r="O422" s="19"/>
      <c r="P422" s="19"/>
      <c r="Q422" s="19"/>
      <c r="R422" s="19"/>
      <c r="S422" s="19"/>
      <c r="T422" s="19"/>
      <c r="U422" s="19"/>
      <c r="V422" s="19"/>
      <c r="W422" s="20"/>
      <c r="X422" s="43"/>
    </row>
    <row r="423" spans="1:24" ht="15.75" hidden="1" customHeight="1" x14ac:dyDescent="0.25">
      <c r="A423" s="16"/>
      <c r="B423" s="16" t="str">
        <f t="shared" si="1"/>
        <v/>
      </c>
      <c r="C423" s="16"/>
      <c r="D423" s="40"/>
      <c r="E423" s="16"/>
      <c r="F423" s="41"/>
      <c r="G423" s="16"/>
      <c r="H423" s="16"/>
      <c r="I423" s="16"/>
      <c r="J423" s="22"/>
      <c r="K423" s="16"/>
      <c r="L423" s="16"/>
      <c r="M423" s="16"/>
      <c r="N423" s="19"/>
      <c r="O423" s="19"/>
      <c r="P423" s="19"/>
      <c r="Q423" s="19"/>
      <c r="R423" s="19"/>
      <c r="S423" s="19"/>
      <c r="T423" s="19"/>
      <c r="U423" s="19"/>
      <c r="V423" s="19"/>
      <c r="W423" s="20"/>
      <c r="X423" s="43"/>
    </row>
    <row r="424" spans="1:24" ht="15.75" hidden="1" customHeight="1" x14ac:dyDescent="0.25">
      <c r="A424" s="16"/>
      <c r="B424" s="16" t="str">
        <f t="shared" si="1"/>
        <v/>
      </c>
      <c r="C424" s="16"/>
      <c r="D424" s="40"/>
      <c r="E424" s="16"/>
      <c r="F424" s="41"/>
      <c r="G424" s="16"/>
      <c r="H424" s="16"/>
      <c r="I424" s="16"/>
      <c r="J424" s="22"/>
      <c r="K424" s="16"/>
      <c r="L424" s="16"/>
      <c r="M424" s="16"/>
      <c r="N424" s="19"/>
      <c r="O424" s="19"/>
      <c r="P424" s="19"/>
      <c r="Q424" s="19"/>
      <c r="R424" s="19"/>
      <c r="S424" s="19"/>
      <c r="T424" s="19"/>
      <c r="U424" s="19"/>
      <c r="V424" s="19"/>
      <c r="W424" s="20"/>
      <c r="X424" s="43"/>
    </row>
    <row r="425" spans="1:24" ht="15.75" hidden="1" customHeight="1" x14ac:dyDescent="0.25">
      <c r="A425" s="16"/>
      <c r="B425" s="16" t="str">
        <f t="shared" si="1"/>
        <v/>
      </c>
      <c r="C425" s="16"/>
      <c r="D425" s="40"/>
      <c r="E425" s="16"/>
      <c r="F425" s="41"/>
      <c r="G425" s="16"/>
      <c r="H425" s="16"/>
      <c r="I425" s="16"/>
      <c r="J425" s="22"/>
      <c r="K425" s="16"/>
      <c r="L425" s="16"/>
      <c r="M425" s="16"/>
      <c r="N425" s="19"/>
      <c r="O425" s="19"/>
      <c r="P425" s="19"/>
      <c r="Q425" s="19"/>
      <c r="R425" s="19"/>
      <c r="S425" s="19"/>
      <c r="T425" s="19"/>
      <c r="U425" s="19"/>
      <c r="V425" s="19"/>
      <c r="W425" s="20"/>
      <c r="X425" s="43"/>
    </row>
    <row r="426" spans="1:24" ht="15.75" hidden="1" customHeight="1" x14ac:dyDescent="0.25">
      <c r="A426" s="16"/>
      <c r="B426" s="16" t="str">
        <f t="shared" si="1"/>
        <v/>
      </c>
      <c r="C426" s="16"/>
      <c r="D426" s="40"/>
      <c r="E426" s="16"/>
      <c r="F426" s="41"/>
      <c r="G426" s="16"/>
      <c r="H426" s="16"/>
      <c r="I426" s="16"/>
      <c r="J426" s="22"/>
      <c r="K426" s="16"/>
      <c r="L426" s="16"/>
      <c r="M426" s="16"/>
      <c r="N426" s="19"/>
      <c r="O426" s="19"/>
      <c r="P426" s="19"/>
      <c r="Q426" s="19"/>
      <c r="R426" s="19"/>
      <c r="S426" s="19"/>
      <c r="T426" s="19"/>
      <c r="U426" s="19"/>
      <c r="V426" s="19"/>
      <c r="W426" s="20"/>
      <c r="X426" s="43"/>
    </row>
    <row r="427" spans="1:24" ht="15.75" hidden="1" customHeight="1" x14ac:dyDescent="0.25">
      <c r="A427" s="16"/>
      <c r="B427" s="16" t="str">
        <f t="shared" si="1"/>
        <v/>
      </c>
      <c r="C427" s="16"/>
      <c r="D427" s="40"/>
      <c r="E427" s="16"/>
      <c r="F427" s="41"/>
      <c r="G427" s="16"/>
      <c r="H427" s="16"/>
      <c r="I427" s="16"/>
      <c r="J427" s="22"/>
      <c r="K427" s="16"/>
      <c r="L427" s="16"/>
      <c r="M427" s="16"/>
      <c r="N427" s="19"/>
      <c r="O427" s="19"/>
      <c r="P427" s="19"/>
      <c r="Q427" s="19"/>
      <c r="R427" s="19"/>
      <c r="S427" s="19"/>
      <c r="T427" s="19"/>
      <c r="U427" s="19"/>
      <c r="V427" s="19"/>
      <c r="W427" s="20"/>
      <c r="X427" s="43"/>
    </row>
    <row r="428" spans="1:24" ht="15.75" hidden="1" customHeight="1" x14ac:dyDescent="0.25">
      <c r="A428" s="16"/>
      <c r="B428" s="16" t="str">
        <f t="shared" si="1"/>
        <v/>
      </c>
      <c r="C428" s="16"/>
      <c r="D428" s="40"/>
      <c r="E428" s="16"/>
      <c r="F428" s="41"/>
      <c r="G428" s="16"/>
      <c r="H428" s="16"/>
      <c r="I428" s="16"/>
      <c r="J428" s="22"/>
      <c r="K428" s="16"/>
      <c r="L428" s="16"/>
      <c r="M428" s="16"/>
      <c r="N428" s="19"/>
      <c r="O428" s="19"/>
      <c r="P428" s="19"/>
      <c r="Q428" s="19"/>
      <c r="R428" s="19"/>
      <c r="S428" s="19"/>
      <c r="T428" s="19"/>
      <c r="U428" s="19"/>
      <c r="V428" s="19"/>
      <c r="W428" s="20"/>
      <c r="X428" s="43"/>
    </row>
    <row r="429" spans="1:24" ht="15.75" hidden="1" customHeight="1" x14ac:dyDescent="0.25">
      <c r="A429" s="16"/>
      <c r="B429" s="16" t="str">
        <f t="shared" si="1"/>
        <v/>
      </c>
      <c r="C429" s="16"/>
      <c r="D429" s="40"/>
      <c r="E429" s="16"/>
      <c r="F429" s="41"/>
      <c r="G429" s="16"/>
      <c r="H429" s="16"/>
      <c r="I429" s="16"/>
      <c r="J429" s="22"/>
      <c r="K429" s="16"/>
      <c r="L429" s="16"/>
      <c r="M429" s="16"/>
      <c r="N429" s="19"/>
      <c r="O429" s="19"/>
      <c r="P429" s="19"/>
      <c r="Q429" s="19"/>
      <c r="R429" s="19"/>
      <c r="S429" s="19"/>
      <c r="T429" s="19"/>
      <c r="U429" s="19"/>
      <c r="V429" s="19"/>
      <c r="W429" s="20"/>
      <c r="X429" s="43"/>
    </row>
    <row r="430" spans="1:24" ht="15.75" hidden="1" customHeight="1" x14ac:dyDescent="0.25">
      <c r="A430" s="16"/>
      <c r="B430" s="16" t="str">
        <f t="shared" si="1"/>
        <v/>
      </c>
      <c r="C430" s="16"/>
      <c r="D430" s="40"/>
      <c r="E430" s="16"/>
      <c r="F430" s="41"/>
      <c r="G430" s="16"/>
      <c r="H430" s="16"/>
      <c r="I430" s="16"/>
      <c r="J430" s="22"/>
      <c r="K430" s="16"/>
      <c r="L430" s="16"/>
      <c r="M430" s="16"/>
      <c r="N430" s="19"/>
      <c r="O430" s="19"/>
      <c r="P430" s="19"/>
      <c r="Q430" s="19"/>
      <c r="R430" s="19"/>
      <c r="S430" s="19"/>
      <c r="T430" s="19"/>
      <c r="U430" s="19"/>
      <c r="V430" s="19"/>
      <c r="W430" s="20"/>
      <c r="X430" s="43"/>
    </row>
    <row r="431" spans="1:24" ht="15.75" hidden="1" customHeight="1" x14ac:dyDescent="0.25">
      <c r="A431" s="16"/>
      <c r="B431" s="16" t="str">
        <f t="shared" si="1"/>
        <v/>
      </c>
      <c r="C431" s="16"/>
      <c r="D431" s="40"/>
      <c r="E431" s="16"/>
      <c r="F431" s="41"/>
      <c r="G431" s="16"/>
      <c r="H431" s="16"/>
      <c r="I431" s="16"/>
      <c r="J431" s="22"/>
      <c r="K431" s="16"/>
      <c r="L431" s="16"/>
      <c r="M431" s="16"/>
      <c r="N431" s="19"/>
      <c r="O431" s="19"/>
      <c r="P431" s="19"/>
      <c r="Q431" s="19"/>
      <c r="R431" s="19"/>
      <c r="S431" s="19"/>
      <c r="T431" s="19"/>
      <c r="U431" s="19"/>
      <c r="V431" s="19"/>
      <c r="W431" s="20"/>
      <c r="X431" s="43"/>
    </row>
    <row r="432" spans="1:24" ht="15.75" hidden="1" customHeight="1" x14ac:dyDescent="0.25">
      <c r="A432" s="16"/>
      <c r="B432" s="16" t="str">
        <f t="shared" si="1"/>
        <v/>
      </c>
      <c r="C432" s="16"/>
      <c r="D432" s="40"/>
      <c r="E432" s="16"/>
      <c r="F432" s="41"/>
      <c r="G432" s="16"/>
      <c r="H432" s="16"/>
      <c r="I432" s="16"/>
      <c r="J432" s="22"/>
      <c r="K432" s="16"/>
      <c r="L432" s="16"/>
      <c r="M432" s="16"/>
      <c r="N432" s="19"/>
      <c r="O432" s="19"/>
      <c r="P432" s="19"/>
      <c r="Q432" s="19"/>
      <c r="R432" s="19"/>
      <c r="S432" s="19"/>
      <c r="T432" s="19"/>
      <c r="U432" s="19"/>
      <c r="V432" s="19"/>
      <c r="W432" s="20"/>
      <c r="X432" s="43"/>
    </row>
    <row r="433" spans="1:24" ht="15.75" hidden="1" customHeight="1" x14ac:dyDescent="0.25">
      <c r="A433" s="16"/>
      <c r="B433" s="16" t="str">
        <f t="shared" si="1"/>
        <v/>
      </c>
      <c r="C433" s="16"/>
      <c r="D433" s="40"/>
      <c r="E433" s="16"/>
      <c r="F433" s="41"/>
      <c r="G433" s="16"/>
      <c r="H433" s="16"/>
      <c r="I433" s="16"/>
      <c r="J433" s="22"/>
      <c r="K433" s="16"/>
      <c r="L433" s="16"/>
      <c r="M433" s="16"/>
      <c r="N433" s="19"/>
      <c r="O433" s="19"/>
      <c r="P433" s="19"/>
      <c r="Q433" s="19"/>
      <c r="R433" s="19"/>
      <c r="S433" s="19"/>
      <c r="T433" s="19"/>
      <c r="U433" s="19"/>
      <c r="V433" s="19"/>
      <c r="W433" s="20"/>
      <c r="X433" s="43"/>
    </row>
    <row r="434" spans="1:24" ht="15.75" hidden="1" customHeight="1" x14ac:dyDescent="0.25">
      <c r="A434" s="16"/>
      <c r="B434" s="16" t="str">
        <f t="shared" si="1"/>
        <v/>
      </c>
      <c r="C434" s="16"/>
      <c r="D434" s="40"/>
      <c r="E434" s="16"/>
      <c r="F434" s="41"/>
      <c r="G434" s="16"/>
      <c r="H434" s="16"/>
      <c r="I434" s="16"/>
      <c r="J434" s="22"/>
      <c r="K434" s="16"/>
      <c r="L434" s="16"/>
      <c r="M434" s="16"/>
      <c r="N434" s="19"/>
      <c r="O434" s="19"/>
      <c r="P434" s="19"/>
      <c r="Q434" s="19"/>
      <c r="R434" s="19"/>
      <c r="S434" s="19"/>
      <c r="T434" s="19"/>
      <c r="U434" s="19"/>
      <c r="V434" s="19"/>
      <c r="W434" s="20"/>
      <c r="X434" s="43"/>
    </row>
    <row r="435" spans="1:24" ht="15.75" hidden="1" customHeight="1" x14ac:dyDescent="0.25">
      <c r="A435" s="16"/>
      <c r="B435" s="16" t="str">
        <f t="shared" si="1"/>
        <v/>
      </c>
      <c r="C435" s="16"/>
      <c r="D435" s="40"/>
      <c r="E435" s="16"/>
      <c r="F435" s="41"/>
      <c r="G435" s="16"/>
      <c r="H435" s="16"/>
      <c r="I435" s="16"/>
      <c r="J435" s="22"/>
      <c r="K435" s="16"/>
      <c r="L435" s="16"/>
      <c r="M435" s="16"/>
      <c r="N435" s="19"/>
      <c r="O435" s="19"/>
      <c r="P435" s="19"/>
      <c r="Q435" s="19"/>
      <c r="R435" s="19"/>
      <c r="S435" s="19"/>
      <c r="T435" s="19"/>
      <c r="U435" s="19"/>
      <c r="V435" s="19"/>
      <c r="W435" s="20"/>
      <c r="X435" s="43"/>
    </row>
    <row r="436" spans="1:24" ht="15.75" hidden="1" customHeight="1" x14ac:dyDescent="0.25">
      <c r="A436" s="16"/>
      <c r="B436" s="16" t="str">
        <f t="shared" si="1"/>
        <v/>
      </c>
      <c r="C436" s="16"/>
      <c r="D436" s="40"/>
      <c r="E436" s="16"/>
      <c r="F436" s="41"/>
      <c r="G436" s="16"/>
      <c r="H436" s="16"/>
      <c r="I436" s="16"/>
      <c r="J436" s="22"/>
      <c r="K436" s="16"/>
      <c r="L436" s="16"/>
      <c r="M436" s="16"/>
      <c r="N436" s="19"/>
      <c r="O436" s="19"/>
      <c r="P436" s="19"/>
      <c r="Q436" s="19"/>
      <c r="R436" s="19"/>
      <c r="S436" s="19"/>
      <c r="T436" s="19"/>
      <c r="U436" s="19"/>
      <c r="V436" s="19"/>
      <c r="W436" s="20"/>
      <c r="X436" s="43"/>
    </row>
    <row r="437" spans="1:24" ht="15.75" hidden="1" customHeight="1" x14ac:dyDescent="0.25">
      <c r="A437" s="16"/>
      <c r="B437" s="16" t="str">
        <f t="shared" si="1"/>
        <v/>
      </c>
      <c r="C437" s="16"/>
      <c r="D437" s="40"/>
      <c r="E437" s="16"/>
      <c r="F437" s="41"/>
      <c r="G437" s="16"/>
      <c r="H437" s="16"/>
      <c r="I437" s="16"/>
      <c r="J437" s="22"/>
      <c r="K437" s="16"/>
      <c r="L437" s="16"/>
      <c r="M437" s="16"/>
      <c r="N437" s="19"/>
      <c r="O437" s="19"/>
      <c r="P437" s="19"/>
      <c r="Q437" s="19"/>
      <c r="R437" s="19"/>
      <c r="S437" s="19"/>
      <c r="T437" s="19"/>
      <c r="U437" s="19"/>
      <c r="V437" s="19"/>
      <c r="W437" s="20"/>
      <c r="X437" s="43"/>
    </row>
    <row r="438" spans="1:24" ht="15.75" hidden="1" customHeight="1" x14ac:dyDescent="0.25">
      <c r="A438" s="16"/>
      <c r="B438" s="16" t="str">
        <f t="shared" si="1"/>
        <v/>
      </c>
      <c r="C438" s="16"/>
      <c r="D438" s="40"/>
      <c r="E438" s="16"/>
      <c r="F438" s="41"/>
      <c r="G438" s="16"/>
      <c r="H438" s="16"/>
      <c r="I438" s="16"/>
      <c r="J438" s="22"/>
      <c r="K438" s="16"/>
      <c r="L438" s="16"/>
      <c r="M438" s="16"/>
      <c r="N438" s="19"/>
      <c r="O438" s="19"/>
      <c r="P438" s="19"/>
      <c r="Q438" s="19"/>
      <c r="R438" s="19"/>
      <c r="S438" s="19"/>
      <c r="T438" s="19"/>
      <c r="U438" s="19"/>
      <c r="V438" s="19"/>
      <c r="W438" s="20"/>
      <c r="X438" s="43"/>
    </row>
    <row r="439" spans="1:24" ht="15.75" hidden="1" customHeight="1" x14ac:dyDescent="0.25">
      <c r="A439" s="16"/>
      <c r="B439" s="16" t="str">
        <f t="shared" si="1"/>
        <v/>
      </c>
      <c r="C439" s="16"/>
      <c r="D439" s="40"/>
      <c r="E439" s="16"/>
      <c r="F439" s="41"/>
      <c r="G439" s="16"/>
      <c r="H439" s="16"/>
      <c r="I439" s="16"/>
      <c r="J439" s="22"/>
      <c r="K439" s="16"/>
      <c r="L439" s="16"/>
      <c r="M439" s="16"/>
      <c r="N439" s="19"/>
      <c r="O439" s="19"/>
      <c r="P439" s="19"/>
      <c r="Q439" s="19"/>
      <c r="R439" s="19"/>
      <c r="S439" s="19"/>
      <c r="T439" s="19"/>
      <c r="U439" s="19"/>
      <c r="V439" s="19"/>
      <c r="W439" s="20"/>
      <c r="X439" s="43"/>
    </row>
    <row r="440" spans="1:24" ht="15.75" hidden="1" customHeight="1" x14ac:dyDescent="0.25">
      <c r="A440" s="16"/>
      <c r="B440" s="16" t="str">
        <f t="shared" si="1"/>
        <v/>
      </c>
      <c r="C440" s="16"/>
      <c r="D440" s="40"/>
      <c r="E440" s="16"/>
      <c r="F440" s="41"/>
      <c r="G440" s="16"/>
      <c r="H440" s="16"/>
      <c r="I440" s="16"/>
      <c r="J440" s="22"/>
      <c r="K440" s="16"/>
      <c r="L440" s="16"/>
      <c r="M440" s="16"/>
      <c r="N440" s="19"/>
      <c r="O440" s="19"/>
      <c r="P440" s="19"/>
      <c r="Q440" s="19"/>
      <c r="R440" s="19"/>
      <c r="S440" s="19"/>
      <c r="T440" s="19"/>
      <c r="U440" s="19"/>
      <c r="V440" s="19"/>
      <c r="W440" s="20"/>
      <c r="X440" s="43"/>
    </row>
    <row r="441" spans="1:24" ht="15.75" hidden="1" customHeight="1" x14ac:dyDescent="0.25">
      <c r="A441" s="16"/>
      <c r="B441" s="16" t="str">
        <f t="shared" si="1"/>
        <v/>
      </c>
      <c r="C441" s="16"/>
      <c r="D441" s="40"/>
      <c r="E441" s="16"/>
      <c r="F441" s="41"/>
      <c r="G441" s="16"/>
      <c r="H441" s="16"/>
      <c r="I441" s="16"/>
      <c r="J441" s="22"/>
      <c r="K441" s="16"/>
      <c r="L441" s="16"/>
      <c r="M441" s="16"/>
      <c r="N441" s="19"/>
      <c r="O441" s="19"/>
      <c r="P441" s="19"/>
      <c r="Q441" s="19"/>
      <c r="R441" s="19"/>
      <c r="S441" s="19"/>
      <c r="T441" s="19"/>
      <c r="U441" s="19"/>
      <c r="V441" s="19"/>
      <c r="W441" s="20"/>
      <c r="X441" s="43"/>
    </row>
    <row r="442" spans="1:24" ht="15.75" hidden="1" customHeight="1" x14ac:dyDescent="0.25">
      <c r="A442" s="16"/>
      <c r="B442" s="16" t="str">
        <f t="shared" si="1"/>
        <v/>
      </c>
      <c r="C442" s="16"/>
      <c r="D442" s="40"/>
      <c r="E442" s="16"/>
      <c r="F442" s="41"/>
      <c r="G442" s="16"/>
      <c r="H442" s="16"/>
      <c r="I442" s="16"/>
      <c r="J442" s="22"/>
      <c r="K442" s="16"/>
      <c r="L442" s="16"/>
      <c r="M442" s="16"/>
      <c r="N442" s="19"/>
      <c r="O442" s="19"/>
      <c r="P442" s="19"/>
      <c r="Q442" s="19"/>
      <c r="R442" s="19"/>
      <c r="S442" s="19"/>
      <c r="T442" s="19"/>
      <c r="U442" s="19"/>
      <c r="V442" s="19"/>
      <c r="W442" s="20"/>
      <c r="X442" s="43"/>
    </row>
    <row r="443" spans="1:24" ht="15.75" hidden="1" customHeight="1" x14ac:dyDescent="0.25">
      <c r="A443" s="16"/>
      <c r="B443" s="16" t="str">
        <f t="shared" si="1"/>
        <v/>
      </c>
      <c r="C443" s="16"/>
      <c r="D443" s="40"/>
      <c r="E443" s="16"/>
      <c r="F443" s="41"/>
      <c r="G443" s="16"/>
      <c r="H443" s="16"/>
      <c r="I443" s="16"/>
      <c r="J443" s="22"/>
      <c r="K443" s="16"/>
      <c r="L443" s="16"/>
      <c r="M443" s="16"/>
      <c r="N443" s="19"/>
      <c r="O443" s="19"/>
      <c r="P443" s="19"/>
      <c r="Q443" s="19"/>
      <c r="R443" s="19"/>
      <c r="S443" s="19"/>
      <c r="T443" s="19"/>
      <c r="U443" s="19"/>
      <c r="V443" s="19"/>
      <c r="W443" s="20"/>
      <c r="X443" s="43"/>
    </row>
    <row r="444" spans="1:24" ht="15.75" hidden="1" customHeight="1" x14ac:dyDescent="0.25">
      <c r="A444" s="16"/>
      <c r="B444" s="16" t="str">
        <f t="shared" si="1"/>
        <v/>
      </c>
      <c r="C444" s="16"/>
      <c r="D444" s="40"/>
      <c r="E444" s="16"/>
      <c r="F444" s="41"/>
      <c r="G444" s="16"/>
      <c r="H444" s="16"/>
      <c r="I444" s="16"/>
      <c r="J444" s="22"/>
      <c r="K444" s="16"/>
      <c r="L444" s="16"/>
      <c r="M444" s="16"/>
      <c r="N444" s="19"/>
      <c r="O444" s="19"/>
      <c r="P444" s="19"/>
      <c r="Q444" s="19"/>
      <c r="R444" s="19"/>
      <c r="S444" s="19"/>
      <c r="T444" s="19"/>
      <c r="U444" s="19"/>
      <c r="V444" s="19"/>
      <c r="W444" s="20"/>
      <c r="X444" s="43"/>
    </row>
    <row r="445" spans="1:24" ht="15.75" hidden="1" customHeight="1" x14ac:dyDescent="0.25">
      <c r="A445" s="16"/>
      <c r="B445" s="16" t="str">
        <f t="shared" si="1"/>
        <v/>
      </c>
      <c r="C445" s="16"/>
      <c r="D445" s="40"/>
      <c r="E445" s="16"/>
      <c r="F445" s="41"/>
      <c r="G445" s="16"/>
      <c r="H445" s="16"/>
      <c r="I445" s="16"/>
      <c r="J445" s="22"/>
      <c r="K445" s="16"/>
      <c r="L445" s="16"/>
      <c r="M445" s="16"/>
      <c r="N445" s="19"/>
      <c r="O445" s="19"/>
      <c r="P445" s="19"/>
      <c r="Q445" s="19"/>
      <c r="R445" s="19"/>
      <c r="S445" s="19"/>
      <c r="T445" s="19"/>
      <c r="U445" s="19"/>
      <c r="V445" s="19"/>
      <c r="W445" s="20"/>
      <c r="X445" s="43"/>
    </row>
    <row r="446" spans="1:24" ht="15.75" hidden="1" customHeight="1" x14ac:dyDescent="0.25">
      <c r="A446" s="16"/>
      <c r="B446" s="16" t="str">
        <f t="shared" si="1"/>
        <v/>
      </c>
      <c r="C446" s="16"/>
      <c r="D446" s="40"/>
      <c r="E446" s="16"/>
      <c r="F446" s="41"/>
      <c r="G446" s="16"/>
      <c r="H446" s="16"/>
      <c r="I446" s="16"/>
      <c r="J446" s="22"/>
      <c r="K446" s="16"/>
      <c r="L446" s="16"/>
      <c r="M446" s="16"/>
      <c r="N446" s="19"/>
      <c r="O446" s="19"/>
      <c r="P446" s="19"/>
      <c r="Q446" s="19"/>
      <c r="R446" s="19"/>
      <c r="S446" s="19"/>
      <c r="T446" s="19"/>
      <c r="U446" s="19"/>
      <c r="V446" s="19"/>
      <c r="W446" s="20"/>
      <c r="X446" s="43"/>
    </row>
    <row r="447" spans="1:24" ht="15.75" hidden="1" customHeight="1" x14ac:dyDescent="0.25">
      <c r="A447" s="16"/>
      <c r="B447" s="16" t="str">
        <f t="shared" si="1"/>
        <v/>
      </c>
      <c r="C447" s="16"/>
      <c r="D447" s="40"/>
      <c r="E447" s="16"/>
      <c r="F447" s="41"/>
      <c r="G447" s="16"/>
      <c r="H447" s="16"/>
      <c r="I447" s="16"/>
      <c r="J447" s="22"/>
      <c r="K447" s="16"/>
      <c r="L447" s="16"/>
      <c r="M447" s="16"/>
      <c r="N447" s="19"/>
      <c r="O447" s="19"/>
      <c r="P447" s="19"/>
      <c r="Q447" s="19"/>
      <c r="R447" s="19"/>
      <c r="S447" s="19"/>
      <c r="T447" s="19"/>
      <c r="U447" s="19"/>
      <c r="V447" s="19"/>
      <c r="W447" s="20"/>
      <c r="X447" s="43"/>
    </row>
    <row r="448" spans="1:24" ht="15.75" hidden="1" customHeight="1" x14ac:dyDescent="0.25">
      <c r="A448" s="16"/>
      <c r="B448" s="16" t="str">
        <f t="shared" si="1"/>
        <v/>
      </c>
      <c r="C448" s="16"/>
      <c r="D448" s="40"/>
      <c r="E448" s="16"/>
      <c r="F448" s="41"/>
      <c r="G448" s="16"/>
      <c r="H448" s="16"/>
      <c r="I448" s="16"/>
      <c r="J448" s="22"/>
      <c r="K448" s="16"/>
      <c r="L448" s="16"/>
      <c r="M448" s="16"/>
      <c r="N448" s="19"/>
      <c r="O448" s="19"/>
      <c r="P448" s="19"/>
      <c r="Q448" s="19"/>
      <c r="R448" s="19"/>
      <c r="S448" s="19"/>
      <c r="T448" s="19"/>
      <c r="U448" s="19"/>
      <c r="V448" s="19"/>
      <c r="W448" s="20"/>
      <c r="X448" s="43"/>
    </row>
    <row r="449" spans="1:24" ht="15.75" hidden="1" customHeight="1" x14ac:dyDescent="0.25">
      <c r="A449" s="16"/>
      <c r="B449" s="16" t="str">
        <f t="shared" si="1"/>
        <v/>
      </c>
      <c r="C449" s="16"/>
      <c r="D449" s="40"/>
      <c r="E449" s="16"/>
      <c r="F449" s="41"/>
      <c r="G449" s="16"/>
      <c r="H449" s="16"/>
      <c r="I449" s="16"/>
      <c r="J449" s="22"/>
      <c r="K449" s="16"/>
      <c r="L449" s="16"/>
      <c r="M449" s="16"/>
      <c r="N449" s="19"/>
      <c r="O449" s="19"/>
      <c r="P449" s="19"/>
      <c r="Q449" s="19"/>
      <c r="R449" s="19"/>
      <c r="S449" s="19"/>
      <c r="T449" s="19"/>
      <c r="U449" s="19"/>
      <c r="V449" s="19"/>
      <c r="W449" s="20"/>
      <c r="X449" s="43"/>
    </row>
    <row r="450" spans="1:24" ht="15.75" hidden="1" customHeight="1" x14ac:dyDescent="0.25">
      <c r="A450" s="16"/>
      <c r="B450" s="16" t="str">
        <f t="shared" si="1"/>
        <v/>
      </c>
      <c r="C450" s="16"/>
      <c r="D450" s="40"/>
      <c r="E450" s="16"/>
      <c r="F450" s="41"/>
      <c r="G450" s="16"/>
      <c r="H450" s="16"/>
      <c r="I450" s="16"/>
      <c r="J450" s="22"/>
      <c r="K450" s="16"/>
      <c r="L450" s="16"/>
      <c r="M450" s="16"/>
      <c r="N450" s="19"/>
      <c r="O450" s="19"/>
      <c r="P450" s="19"/>
      <c r="Q450" s="19"/>
      <c r="R450" s="19"/>
      <c r="S450" s="19"/>
      <c r="T450" s="19"/>
      <c r="U450" s="19"/>
      <c r="V450" s="19"/>
      <c r="W450" s="20"/>
      <c r="X450" s="43"/>
    </row>
    <row r="451" spans="1:24" ht="15.75" hidden="1" customHeight="1" x14ac:dyDescent="0.25">
      <c r="A451" s="16"/>
      <c r="B451" s="16" t="str">
        <f t="shared" si="1"/>
        <v/>
      </c>
      <c r="C451" s="16"/>
      <c r="D451" s="40"/>
      <c r="E451" s="16"/>
      <c r="F451" s="41"/>
      <c r="G451" s="16"/>
      <c r="H451" s="16"/>
      <c r="I451" s="16"/>
      <c r="J451" s="22"/>
      <c r="K451" s="16"/>
      <c r="L451" s="16"/>
      <c r="M451" s="16"/>
      <c r="N451" s="19"/>
      <c r="O451" s="19"/>
      <c r="P451" s="19"/>
      <c r="Q451" s="19"/>
      <c r="R451" s="19"/>
      <c r="S451" s="19"/>
      <c r="T451" s="19"/>
      <c r="U451" s="19"/>
      <c r="V451" s="19"/>
      <c r="W451" s="20"/>
      <c r="X451" s="43"/>
    </row>
    <row r="452" spans="1:24" ht="15.75" hidden="1" customHeight="1" x14ac:dyDescent="0.25">
      <c r="A452" s="16"/>
      <c r="B452" s="16" t="str">
        <f t="shared" si="1"/>
        <v/>
      </c>
      <c r="C452" s="16"/>
      <c r="D452" s="40"/>
      <c r="E452" s="16"/>
      <c r="F452" s="41"/>
      <c r="G452" s="16"/>
      <c r="H452" s="16"/>
      <c r="I452" s="16"/>
      <c r="J452" s="22"/>
      <c r="K452" s="16"/>
      <c r="L452" s="16"/>
      <c r="M452" s="16"/>
      <c r="N452" s="19"/>
      <c r="O452" s="19"/>
      <c r="P452" s="19"/>
      <c r="Q452" s="19"/>
      <c r="R452" s="19"/>
      <c r="S452" s="19"/>
      <c r="T452" s="19"/>
      <c r="U452" s="19"/>
      <c r="V452" s="19"/>
      <c r="W452" s="20"/>
      <c r="X452" s="43"/>
    </row>
    <row r="453" spans="1:24" ht="15.75" hidden="1" customHeight="1" x14ac:dyDescent="0.25">
      <c r="A453" s="16"/>
      <c r="B453" s="16" t="str">
        <f t="shared" si="1"/>
        <v/>
      </c>
      <c r="C453" s="16"/>
      <c r="D453" s="40"/>
      <c r="E453" s="16"/>
      <c r="F453" s="41"/>
      <c r="G453" s="16"/>
      <c r="H453" s="16"/>
      <c r="I453" s="16"/>
      <c r="J453" s="22"/>
      <c r="K453" s="16"/>
      <c r="L453" s="16"/>
      <c r="M453" s="16"/>
      <c r="N453" s="19"/>
      <c r="O453" s="19"/>
      <c r="P453" s="19"/>
      <c r="Q453" s="19"/>
      <c r="R453" s="19"/>
      <c r="S453" s="19"/>
      <c r="T453" s="19"/>
      <c r="U453" s="19"/>
      <c r="V453" s="19"/>
      <c r="W453" s="20"/>
      <c r="X453" s="43"/>
    </row>
    <row r="454" spans="1:24" ht="15.75" hidden="1" customHeight="1" x14ac:dyDescent="0.25">
      <c r="A454" s="16"/>
      <c r="B454" s="16" t="str">
        <f t="shared" si="1"/>
        <v/>
      </c>
      <c r="C454" s="16"/>
      <c r="D454" s="40"/>
      <c r="E454" s="16"/>
      <c r="F454" s="41"/>
      <c r="G454" s="16"/>
      <c r="H454" s="16"/>
      <c r="I454" s="16"/>
      <c r="J454" s="22"/>
      <c r="K454" s="16"/>
      <c r="L454" s="16"/>
      <c r="M454" s="16"/>
      <c r="N454" s="19"/>
      <c r="O454" s="19"/>
      <c r="P454" s="19"/>
      <c r="Q454" s="19"/>
      <c r="R454" s="19"/>
      <c r="S454" s="19"/>
      <c r="T454" s="19"/>
      <c r="U454" s="19"/>
      <c r="V454" s="19"/>
      <c r="W454" s="20"/>
      <c r="X454" s="43"/>
    </row>
    <row r="455" spans="1:24" ht="15.75" hidden="1" customHeight="1" x14ac:dyDescent="0.25">
      <c r="A455" s="16"/>
      <c r="B455" s="16" t="str">
        <f t="shared" si="1"/>
        <v/>
      </c>
      <c r="C455" s="16"/>
      <c r="D455" s="40"/>
      <c r="E455" s="16"/>
      <c r="F455" s="41"/>
      <c r="G455" s="16"/>
      <c r="H455" s="16"/>
      <c r="I455" s="16"/>
      <c r="J455" s="22"/>
      <c r="K455" s="16"/>
      <c r="L455" s="16"/>
      <c r="M455" s="16"/>
      <c r="N455" s="19"/>
      <c r="O455" s="19"/>
      <c r="P455" s="19"/>
      <c r="Q455" s="19"/>
      <c r="R455" s="19"/>
      <c r="S455" s="19"/>
      <c r="T455" s="19"/>
      <c r="U455" s="19"/>
      <c r="V455" s="19"/>
      <c r="W455" s="20"/>
      <c r="X455" s="43"/>
    </row>
    <row r="456" spans="1:24" ht="15.75" hidden="1" customHeight="1" x14ac:dyDescent="0.25">
      <c r="A456" s="16"/>
      <c r="B456" s="16" t="str">
        <f t="shared" si="1"/>
        <v/>
      </c>
      <c r="C456" s="16"/>
      <c r="D456" s="40"/>
      <c r="E456" s="16"/>
      <c r="F456" s="41"/>
      <c r="G456" s="16"/>
      <c r="H456" s="16"/>
      <c r="I456" s="16"/>
      <c r="J456" s="22"/>
      <c r="K456" s="16"/>
      <c r="L456" s="16"/>
      <c r="M456" s="16"/>
      <c r="N456" s="19"/>
      <c r="O456" s="19"/>
      <c r="P456" s="19"/>
      <c r="Q456" s="19"/>
      <c r="R456" s="19"/>
      <c r="S456" s="19"/>
      <c r="T456" s="19"/>
      <c r="U456" s="19"/>
      <c r="V456" s="19"/>
      <c r="W456" s="20"/>
      <c r="X456" s="43"/>
    </row>
    <row r="457" spans="1:24" ht="15.75" hidden="1" customHeight="1" x14ac:dyDescent="0.25">
      <c r="A457" s="16"/>
      <c r="B457" s="16" t="str">
        <f t="shared" si="1"/>
        <v/>
      </c>
      <c r="C457" s="16"/>
      <c r="D457" s="40"/>
      <c r="E457" s="16"/>
      <c r="F457" s="41"/>
      <c r="G457" s="16"/>
      <c r="H457" s="16"/>
      <c r="I457" s="16"/>
      <c r="J457" s="22"/>
      <c r="K457" s="16"/>
      <c r="L457" s="16"/>
      <c r="M457" s="16"/>
      <c r="N457" s="19"/>
      <c r="O457" s="19"/>
      <c r="P457" s="19"/>
      <c r="Q457" s="19"/>
      <c r="R457" s="19"/>
      <c r="S457" s="19"/>
      <c r="T457" s="19"/>
      <c r="U457" s="19"/>
      <c r="V457" s="19"/>
      <c r="W457" s="20"/>
      <c r="X457" s="43"/>
    </row>
    <row r="458" spans="1:24" ht="15.75" hidden="1" customHeight="1" x14ac:dyDescent="0.25">
      <c r="A458" s="16"/>
      <c r="B458" s="16" t="str">
        <f t="shared" si="1"/>
        <v/>
      </c>
      <c r="C458" s="16"/>
      <c r="D458" s="40"/>
      <c r="E458" s="16"/>
      <c r="F458" s="41"/>
      <c r="G458" s="16"/>
      <c r="H458" s="16"/>
      <c r="I458" s="16"/>
      <c r="J458" s="22"/>
      <c r="K458" s="16"/>
      <c r="L458" s="16"/>
      <c r="M458" s="16"/>
      <c r="N458" s="19"/>
      <c r="O458" s="19"/>
      <c r="P458" s="19"/>
      <c r="Q458" s="19"/>
      <c r="R458" s="19"/>
      <c r="S458" s="19"/>
      <c r="T458" s="19"/>
      <c r="U458" s="19"/>
      <c r="V458" s="19"/>
      <c r="W458" s="20"/>
      <c r="X458" s="43"/>
    </row>
    <row r="459" spans="1:24" ht="15.75" hidden="1" customHeight="1" x14ac:dyDescent="0.25">
      <c r="A459" s="16"/>
      <c r="B459" s="16" t="str">
        <f t="shared" si="1"/>
        <v/>
      </c>
      <c r="C459" s="16"/>
      <c r="D459" s="40"/>
      <c r="E459" s="16"/>
      <c r="F459" s="41"/>
      <c r="G459" s="16"/>
      <c r="H459" s="16"/>
      <c r="I459" s="16"/>
      <c r="J459" s="22"/>
      <c r="K459" s="16"/>
      <c r="L459" s="16"/>
      <c r="M459" s="16"/>
      <c r="N459" s="19"/>
      <c r="O459" s="19"/>
      <c r="P459" s="19"/>
      <c r="Q459" s="19"/>
      <c r="R459" s="19"/>
      <c r="S459" s="19"/>
      <c r="T459" s="19"/>
      <c r="U459" s="19"/>
      <c r="V459" s="19"/>
      <c r="W459" s="20"/>
      <c r="X459" s="43"/>
    </row>
    <row r="460" spans="1:24" ht="15.75" hidden="1" customHeight="1" x14ac:dyDescent="0.25">
      <c r="A460" s="16"/>
      <c r="B460" s="16" t="str">
        <f t="shared" si="1"/>
        <v/>
      </c>
      <c r="C460" s="16"/>
      <c r="D460" s="40"/>
      <c r="E460" s="16"/>
      <c r="F460" s="41"/>
      <c r="G460" s="16"/>
      <c r="H460" s="16"/>
      <c r="I460" s="16"/>
      <c r="J460" s="22"/>
      <c r="K460" s="16"/>
      <c r="L460" s="16"/>
      <c r="M460" s="16"/>
      <c r="N460" s="19"/>
      <c r="O460" s="19"/>
      <c r="P460" s="19"/>
      <c r="Q460" s="19"/>
      <c r="R460" s="19"/>
      <c r="S460" s="19"/>
      <c r="T460" s="19"/>
      <c r="U460" s="19"/>
      <c r="V460" s="19"/>
      <c r="W460" s="20"/>
      <c r="X460" s="43"/>
    </row>
    <row r="461" spans="1:24" ht="15.75" hidden="1" customHeight="1" x14ac:dyDescent="0.25">
      <c r="A461" s="16"/>
      <c r="B461" s="16" t="str">
        <f t="shared" si="1"/>
        <v/>
      </c>
      <c r="C461" s="16"/>
      <c r="D461" s="40"/>
      <c r="E461" s="16"/>
      <c r="F461" s="41"/>
      <c r="G461" s="16"/>
      <c r="H461" s="16"/>
      <c r="I461" s="16"/>
      <c r="J461" s="22"/>
      <c r="K461" s="16"/>
      <c r="L461" s="16"/>
      <c r="M461" s="16"/>
      <c r="N461" s="19"/>
      <c r="O461" s="19"/>
      <c r="P461" s="19"/>
      <c r="Q461" s="19"/>
      <c r="R461" s="19"/>
      <c r="S461" s="19"/>
      <c r="T461" s="19"/>
      <c r="U461" s="19"/>
      <c r="V461" s="19"/>
      <c r="W461" s="20"/>
      <c r="X461" s="43"/>
    </row>
    <row r="462" spans="1:24" ht="15.75" hidden="1" customHeight="1" x14ac:dyDescent="0.25">
      <c r="A462" s="16"/>
      <c r="B462" s="16" t="str">
        <f t="shared" si="1"/>
        <v/>
      </c>
      <c r="C462" s="16"/>
      <c r="D462" s="40"/>
      <c r="E462" s="16"/>
      <c r="F462" s="41"/>
      <c r="G462" s="16"/>
      <c r="H462" s="16"/>
      <c r="I462" s="16"/>
      <c r="J462" s="22"/>
      <c r="K462" s="16"/>
      <c r="L462" s="16"/>
      <c r="M462" s="16"/>
      <c r="N462" s="19"/>
      <c r="O462" s="19"/>
      <c r="P462" s="19"/>
      <c r="Q462" s="19"/>
      <c r="R462" s="19"/>
      <c r="S462" s="19"/>
      <c r="T462" s="19"/>
      <c r="U462" s="19"/>
      <c r="V462" s="19"/>
      <c r="W462" s="20"/>
      <c r="X462" s="43"/>
    </row>
    <row r="463" spans="1:24" ht="15.75" hidden="1" customHeight="1" x14ac:dyDescent="0.25">
      <c r="A463" s="16"/>
      <c r="B463" s="16" t="str">
        <f t="shared" si="1"/>
        <v/>
      </c>
      <c r="C463" s="16"/>
      <c r="D463" s="40"/>
      <c r="E463" s="16"/>
      <c r="F463" s="41"/>
      <c r="G463" s="16"/>
      <c r="H463" s="16"/>
      <c r="I463" s="16"/>
      <c r="J463" s="22"/>
      <c r="K463" s="16"/>
      <c r="L463" s="16"/>
      <c r="M463" s="16"/>
      <c r="N463" s="19"/>
      <c r="O463" s="19"/>
      <c r="P463" s="19"/>
      <c r="Q463" s="19"/>
      <c r="R463" s="19"/>
      <c r="S463" s="19"/>
      <c r="T463" s="19"/>
      <c r="U463" s="19"/>
      <c r="V463" s="19"/>
      <c r="W463" s="20"/>
      <c r="X463" s="43"/>
    </row>
    <row r="464" spans="1:24" ht="15.75" hidden="1" customHeight="1" x14ac:dyDescent="0.25">
      <c r="A464" s="16"/>
      <c r="B464" s="16" t="str">
        <f t="shared" si="1"/>
        <v/>
      </c>
      <c r="C464" s="16"/>
      <c r="D464" s="40"/>
      <c r="E464" s="16"/>
      <c r="F464" s="41"/>
      <c r="G464" s="16"/>
      <c r="H464" s="16"/>
      <c r="I464" s="16"/>
      <c r="J464" s="22"/>
      <c r="K464" s="16"/>
      <c r="L464" s="16"/>
      <c r="M464" s="16"/>
      <c r="N464" s="19"/>
      <c r="O464" s="19"/>
      <c r="P464" s="19"/>
      <c r="Q464" s="19"/>
      <c r="R464" s="19"/>
      <c r="S464" s="19"/>
      <c r="T464" s="19"/>
      <c r="U464" s="19"/>
      <c r="V464" s="19"/>
      <c r="W464" s="20"/>
      <c r="X464" s="43"/>
    </row>
    <row r="465" spans="1:24" ht="15.75" hidden="1" customHeight="1" x14ac:dyDescent="0.25">
      <c r="A465" s="16"/>
      <c r="B465" s="16" t="str">
        <f t="shared" si="1"/>
        <v/>
      </c>
      <c r="C465" s="16"/>
      <c r="D465" s="40"/>
      <c r="E465" s="16"/>
      <c r="F465" s="41"/>
      <c r="G465" s="16"/>
      <c r="H465" s="16"/>
      <c r="I465" s="16"/>
      <c r="J465" s="22"/>
      <c r="K465" s="16"/>
      <c r="L465" s="16"/>
      <c r="M465" s="16"/>
      <c r="N465" s="19"/>
      <c r="O465" s="19"/>
      <c r="P465" s="19"/>
      <c r="Q465" s="19"/>
      <c r="R465" s="19"/>
      <c r="S465" s="19"/>
      <c r="T465" s="19"/>
      <c r="U465" s="19"/>
      <c r="V465" s="19"/>
      <c r="W465" s="20"/>
      <c r="X465" s="43"/>
    </row>
    <row r="466" spans="1:24" ht="15.75" hidden="1" customHeight="1" x14ac:dyDescent="0.25">
      <c r="A466" s="16"/>
      <c r="B466" s="16" t="str">
        <f t="shared" si="1"/>
        <v/>
      </c>
      <c r="C466" s="16"/>
      <c r="D466" s="40"/>
      <c r="E466" s="16"/>
      <c r="F466" s="41"/>
      <c r="G466" s="16"/>
      <c r="H466" s="16"/>
      <c r="I466" s="16"/>
      <c r="J466" s="22"/>
      <c r="K466" s="16"/>
      <c r="L466" s="16"/>
      <c r="M466" s="16"/>
      <c r="N466" s="19"/>
      <c r="O466" s="19"/>
      <c r="P466" s="19"/>
      <c r="Q466" s="19"/>
      <c r="R466" s="19"/>
      <c r="S466" s="19"/>
      <c r="T466" s="19"/>
      <c r="U466" s="19"/>
      <c r="V466" s="19"/>
      <c r="W466" s="20"/>
      <c r="X466" s="43"/>
    </row>
    <row r="467" spans="1:24" ht="15.75" hidden="1" customHeight="1" x14ac:dyDescent="0.25">
      <c r="A467" s="16"/>
      <c r="B467" s="16" t="str">
        <f t="shared" si="1"/>
        <v/>
      </c>
      <c r="C467" s="16"/>
      <c r="D467" s="40"/>
      <c r="E467" s="16"/>
      <c r="F467" s="41"/>
      <c r="G467" s="16"/>
      <c r="H467" s="16"/>
      <c r="I467" s="16"/>
      <c r="J467" s="22"/>
      <c r="K467" s="16"/>
      <c r="L467" s="16"/>
      <c r="M467" s="16"/>
      <c r="N467" s="19"/>
      <c r="O467" s="19"/>
      <c r="P467" s="19"/>
      <c r="Q467" s="19"/>
      <c r="R467" s="19"/>
      <c r="S467" s="19"/>
      <c r="T467" s="19"/>
      <c r="U467" s="19"/>
      <c r="V467" s="19"/>
      <c r="W467" s="20"/>
      <c r="X467" s="43"/>
    </row>
    <row r="468" spans="1:24" ht="15.75" hidden="1" customHeight="1" x14ac:dyDescent="0.25">
      <c r="A468" s="16"/>
      <c r="B468" s="16" t="str">
        <f t="shared" si="1"/>
        <v/>
      </c>
      <c r="C468" s="16"/>
      <c r="D468" s="40"/>
      <c r="E468" s="16"/>
      <c r="F468" s="41"/>
      <c r="G468" s="16"/>
      <c r="H468" s="16"/>
      <c r="I468" s="16"/>
      <c r="J468" s="22"/>
      <c r="K468" s="16"/>
      <c r="L468" s="16"/>
      <c r="M468" s="16"/>
      <c r="N468" s="19"/>
      <c r="O468" s="19"/>
      <c r="P468" s="19"/>
      <c r="Q468" s="19"/>
      <c r="R468" s="19"/>
      <c r="S468" s="19"/>
      <c r="T468" s="19"/>
      <c r="U468" s="19"/>
      <c r="V468" s="19"/>
      <c r="W468" s="20"/>
      <c r="X468" s="43"/>
    </row>
    <row r="469" spans="1:24" ht="15.75" hidden="1" customHeight="1" x14ac:dyDescent="0.25">
      <c r="A469" s="16"/>
      <c r="B469" s="16" t="str">
        <f t="shared" si="1"/>
        <v/>
      </c>
      <c r="C469" s="16"/>
      <c r="D469" s="40"/>
      <c r="E469" s="16"/>
      <c r="F469" s="41"/>
      <c r="G469" s="16"/>
      <c r="H469" s="16"/>
      <c r="I469" s="16"/>
      <c r="J469" s="22"/>
      <c r="K469" s="16"/>
      <c r="L469" s="16"/>
      <c r="M469" s="16"/>
      <c r="N469" s="19"/>
      <c r="O469" s="19"/>
      <c r="P469" s="19"/>
      <c r="Q469" s="19"/>
      <c r="R469" s="19"/>
      <c r="S469" s="19"/>
      <c r="T469" s="19"/>
      <c r="U469" s="19"/>
      <c r="V469" s="19"/>
      <c r="W469" s="20"/>
      <c r="X469" s="43"/>
    </row>
    <row r="470" spans="1:24" ht="15.75" hidden="1" customHeight="1" x14ac:dyDescent="0.25">
      <c r="A470" s="16"/>
      <c r="B470" s="16" t="str">
        <f t="shared" si="1"/>
        <v/>
      </c>
      <c r="C470" s="16"/>
      <c r="D470" s="40"/>
      <c r="E470" s="16"/>
      <c r="F470" s="41"/>
      <c r="G470" s="16"/>
      <c r="H470" s="16"/>
      <c r="I470" s="16"/>
      <c r="J470" s="22"/>
      <c r="K470" s="16"/>
      <c r="L470" s="16"/>
      <c r="M470" s="16"/>
      <c r="N470" s="19"/>
      <c r="O470" s="19"/>
      <c r="P470" s="19"/>
      <c r="Q470" s="19"/>
      <c r="R470" s="19"/>
      <c r="S470" s="19"/>
      <c r="T470" s="19"/>
      <c r="U470" s="19"/>
      <c r="V470" s="19"/>
      <c r="W470" s="20"/>
      <c r="X470" s="43"/>
    </row>
    <row r="471" spans="1:24" ht="15.75" hidden="1" customHeight="1" x14ac:dyDescent="0.25">
      <c r="A471" s="16"/>
      <c r="B471" s="16" t="str">
        <f t="shared" si="1"/>
        <v/>
      </c>
      <c r="C471" s="16"/>
      <c r="D471" s="40"/>
      <c r="E471" s="16"/>
      <c r="F471" s="41"/>
      <c r="G471" s="16"/>
      <c r="H471" s="16"/>
      <c r="I471" s="16"/>
      <c r="J471" s="22"/>
      <c r="K471" s="16"/>
      <c r="L471" s="16"/>
      <c r="M471" s="16"/>
      <c r="N471" s="19"/>
      <c r="O471" s="19"/>
      <c r="P471" s="19"/>
      <c r="Q471" s="19"/>
      <c r="R471" s="19"/>
      <c r="S471" s="19"/>
      <c r="T471" s="19"/>
      <c r="U471" s="19"/>
      <c r="V471" s="19"/>
      <c r="W471" s="20"/>
      <c r="X471" s="43"/>
    </row>
    <row r="472" spans="1:24" ht="15.75" hidden="1" customHeight="1" x14ac:dyDescent="0.25">
      <c r="A472" s="16"/>
      <c r="B472" s="16" t="str">
        <f t="shared" si="1"/>
        <v/>
      </c>
      <c r="C472" s="16"/>
      <c r="D472" s="40"/>
      <c r="E472" s="16"/>
      <c r="F472" s="41"/>
      <c r="G472" s="16"/>
      <c r="H472" s="16"/>
      <c r="I472" s="16"/>
      <c r="J472" s="22"/>
      <c r="K472" s="16"/>
      <c r="L472" s="16"/>
      <c r="M472" s="16"/>
      <c r="N472" s="19"/>
      <c r="O472" s="19"/>
      <c r="P472" s="19"/>
      <c r="Q472" s="19"/>
      <c r="R472" s="19"/>
      <c r="S472" s="19"/>
      <c r="T472" s="19"/>
      <c r="U472" s="19"/>
      <c r="V472" s="19"/>
      <c r="W472" s="20"/>
      <c r="X472" s="43"/>
    </row>
    <row r="473" spans="1:24" ht="15.75" hidden="1" customHeight="1" x14ac:dyDescent="0.25">
      <c r="A473" s="16"/>
      <c r="B473" s="16" t="str">
        <f t="shared" si="1"/>
        <v/>
      </c>
      <c r="C473" s="16"/>
      <c r="D473" s="40"/>
      <c r="E473" s="16"/>
      <c r="F473" s="41"/>
      <c r="G473" s="16"/>
      <c r="H473" s="16"/>
      <c r="I473" s="16"/>
      <c r="J473" s="22"/>
      <c r="K473" s="16"/>
      <c r="L473" s="16"/>
      <c r="M473" s="16"/>
      <c r="N473" s="19"/>
      <c r="O473" s="19"/>
      <c r="P473" s="19"/>
      <c r="Q473" s="19"/>
      <c r="R473" s="19"/>
      <c r="S473" s="19"/>
      <c r="T473" s="19"/>
      <c r="U473" s="19"/>
      <c r="V473" s="19"/>
      <c r="W473" s="20"/>
      <c r="X473" s="43"/>
    </row>
    <row r="474" spans="1:24" ht="15.75" hidden="1" customHeight="1" x14ac:dyDescent="0.25">
      <c r="A474" s="16"/>
      <c r="B474" s="16" t="str">
        <f t="shared" si="1"/>
        <v/>
      </c>
      <c r="C474" s="16"/>
      <c r="D474" s="40"/>
      <c r="E474" s="16"/>
      <c r="F474" s="41"/>
      <c r="G474" s="16"/>
      <c r="H474" s="16"/>
      <c r="I474" s="16"/>
      <c r="J474" s="22"/>
      <c r="K474" s="16"/>
      <c r="L474" s="16"/>
      <c r="M474" s="16"/>
      <c r="N474" s="19"/>
      <c r="O474" s="19"/>
      <c r="P474" s="19"/>
      <c r="Q474" s="19"/>
      <c r="R474" s="19"/>
      <c r="S474" s="19"/>
      <c r="T474" s="19"/>
      <c r="U474" s="19"/>
      <c r="V474" s="19"/>
      <c r="W474" s="20"/>
      <c r="X474" s="43"/>
    </row>
    <row r="475" spans="1:24" ht="15.75" hidden="1" customHeight="1" x14ac:dyDescent="0.25">
      <c r="A475" s="16"/>
      <c r="B475" s="16" t="str">
        <f t="shared" si="1"/>
        <v/>
      </c>
      <c r="C475" s="16"/>
      <c r="D475" s="40"/>
      <c r="E475" s="16"/>
      <c r="F475" s="41"/>
      <c r="G475" s="16"/>
      <c r="H475" s="16"/>
      <c r="I475" s="16"/>
      <c r="J475" s="22"/>
      <c r="K475" s="16"/>
      <c r="L475" s="16"/>
      <c r="M475" s="16"/>
      <c r="N475" s="19"/>
      <c r="O475" s="19"/>
      <c r="P475" s="19"/>
      <c r="Q475" s="19"/>
      <c r="R475" s="19"/>
      <c r="S475" s="19"/>
      <c r="T475" s="19"/>
      <c r="U475" s="19"/>
      <c r="V475" s="19"/>
      <c r="W475" s="20"/>
      <c r="X475" s="43"/>
    </row>
    <row r="476" spans="1:24" ht="15.75" hidden="1" customHeight="1" x14ac:dyDescent="0.25">
      <c r="A476" s="16"/>
      <c r="B476" s="16" t="str">
        <f t="shared" si="1"/>
        <v/>
      </c>
      <c r="C476" s="16"/>
      <c r="D476" s="40"/>
      <c r="E476" s="16"/>
      <c r="F476" s="41"/>
      <c r="G476" s="16"/>
      <c r="H476" s="16"/>
      <c r="I476" s="16"/>
      <c r="J476" s="22"/>
      <c r="K476" s="16"/>
      <c r="L476" s="16"/>
      <c r="M476" s="16"/>
      <c r="N476" s="19"/>
      <c r="O476" s="19"/>
      <c r="P476" s="19"/>
      <c r="Q476" s="19"/>
      <c r="R476" s="19"/>
      <c r="S476" s="19"/>
      <c r="T476" s="19"/>
      <c r="U476" s="19"/>
      <c r="V476" s="19"/>
      <c r="W476" s="20"/>
      <c r="X476" s="43"/>
    </row>
    <row r="477" spans="1:24" ht="15.75" hidden="1" customHeight="1" x14ac:dyDescent="0.25">
      <c r="A477" s="16"/>
      <c r="B477" s="16" t="str">
        <f t="shared" si="1"/>
        <v/>
      </c>
      <c r="C477" s="16"/>
      <c r="D477" s="40"/>
      <c r="E477" s="16"/>
      <c r="F477" s="41"/>
      <c r="G477" s="16"/>
      <c r="H477" s="16"/>
      <c r="I477" s="16"/>
      <c r="J477" s="22"/>
      <c r="K477" s="16"/>
      <c r="L477" s="16"/>
      <c r="M477" s="16"/>
      <c r="N477" s="19"/>
      <c r="O477" s="19"/>
      <c r="P477" s="19"/>
      <c r="Q477" s="19"/>
      <c r="R477" s="19"/>
      <c r="S477" s="19"/>
      <c r="T477" s="19"/>
      <c r="U477" s="19"/>
      <c r="V477" s="19"/>
      <c r="W477" s="20"/>
      <c r="X477" s="43"/>
    </row>
    <row r="478" spans="1:24" ht="15.75" hidden="1" customHeight="1" x14ac:dyDescent="0.25">
      <c r="A478" s="16"/>
      <c r="B478" s="16" t="str">
        <f t="shared" si="1"/>
        <v/>
      </c>
      <c r="C478" s="16"/>
      <c r="D478" s="40"/>
      <c r="E478" s="16"/>
      <c r="F478" s="41"/>
      <c r="G478" s="16"/>
      <c r="H478" s="16"/>
      <c r="I478" s="16"/>
      <c r="J478" s="22"/>
      <c r="K478" s="16"/>
      <c r="L478" s="16"/>
      <c r="M478" s="16"/>
      <c r="N478" s="19"/>
      <c r="O478" s="19"/>
      <c r="P478" s="19"/>
      <c r="Q478" s="19"/>
      <c r="R478" s="19"/>
      <c r="S478" s="19"/>
      <c r="T478" s="19"/>
      <c r="U478" s="19"/>
      <c r="V478" s="19"/>
      <c r="W478" s="20"/>
      <c r="X478" s="43"/>
    </row>
    <row r="479" spans="1:24" ht="15.75" hidden="1" customHeight="1" x14ac:dyDescent="0.25">
      <c r="A479" s="16"/>
      <c r="B479" s="16" t="str">
        <f t="shared" si="1"/>
        <v/>
      </c>
      <c r="C479" s="16"/>
      <c r="D479" s="40"/>
      <c r="E479" s="16"/>
      <c r="F479" s="41"/>
      <c r="G479" s="16"/>
      <c r="H479" s="16"/>
      <c r="I479" s="16"/>
      <c r="J479" s="22"/>
      <c r="K479" s="16"/>
      <c r="L479" s="16"/>
      <c r="M479" s="16"/>
      <c r="N479" s="19"/>
      <c r="O479" s="19"/>
      <c r="P479" s="19"/>
      <c r="Q479" s="19"/>
      <c r="R479" s="19"/>
      <c r="S479" s="19"/>
      <c r="T479" s="19"/>
      <c r="U479" s="19"/>
      <c r="V479" s="19"/>
      <c r="W479" s="20"/>
      <c r="X479" s="43"/>
    </row>
    <row r="480" spans="1:24" ht="15.75" hidden="1" customHeight="1" x14ac:dyDescent="0.25">
      <c r="A480" s="16"/>
      <c r="B480" s="16" t="str">
        <f t="shared" si="1"/>
        <v/>
      </c>
      <c r="C480" s="16"/>
      <c r="D480" s="40"/>
      <c r="E480" s="16"/>
      <c r="F480" s="41"/>
      <c r="G480" s="16"/>
      <c r="H480" s="16"/>
      <c r="I480" s="16"/>
      <c r="J480" s="22"/>
      <c r="K480" s="16"/>
      <c r="L480" s="16"/>
      <c r="M480" s="16"/>
      <c r="N480" s="19"/>
      <c r="O480" s="19"/>
      <c r="P480" s="19"/>
      <c r="Q480" s="19"/>
      <c r="R480" s="19"/>
      <c r="S480" s="19"/>
      <c r="T480" s="19"/>
      <c r="U480" s="19"/>
      <c r="V480" s="19"/>
      <c r="W480" s="20"/>
      <c r="X480" s="43"/>
    </row>
    <row r="481" spans="1:24" ht="15.75" hidden="1" customHeight="1" x14ac:dyDescent="0.25">
      <c r="A481" s="16"/>
      <c r="B481" s="16" t="str">
        <f t="shared" si="1"/>
        <v/>
      </c>
      <c r="C481" s="16"/>
      <c r="D481" s="40"/>
      <c r="E481" s="16"/>
      <c r="F481" s="41"/>
      <c r="G481" s="16"/>
      <c r="H481" s="16"/>
      <c r="I481" s="16"/>
      <c r="J481" s="22"/>
      <c r="K481" s="16"/>
      <c r="L481" s="16"/>
      <c r="M481" s="16"/>
      <c r="N481" s="19"/>
      <c r="O481" s="19"/>
      <c r="P481" s="19"/>
      <c r="Q481" s="19"/>
      <c r="R481" s="19"/>
      <c r="S481" s="19"/>
      <c r="T481" s="19"/>
      <c r="U481" s="19"/>
      <c r="V481" s="19"/>
      <c r="W481" s="20"/>
      <c r="X481" s="43"/>
    </row>
    <row r="482" spans="1:24" ht="15.75" hidden="1" customHeight="1" x14ac:dyDescent="0.25">
      <c r="A482" s="16"/>
      <c r="B482" s="16" t="str">
        <f t="shared" si="1"/>
        <v/>
      </c>
      <c r="C482" s="16"/>
      <c r="D482" s="40"/>
      <c r="E482" s="16"/>
      <c r="F482" s="41"/>
      <c r="G482" s="16"/>
      <c r="H482" s="16"/>
      <c r="I482" s="16"/>
      <c r="J482" s="22"/>
      <c r="K482" s="16"/>
      <c r="L482" s="16"/>
      <c r="M482" s="16"/>
      <c r="N482" s="19"/>
      <c r="O482" s="19"/>
      <c r="P482" s="19"/>
      <c r="Q482" s="19"/>
      <c r="R482" s="19"/>
      <c r="S482" s="19"/>
      <c r="T482" s="19"/>
      <c r="U482" s="19"/>
      <c r="V482" s="19"/>
      <c r="W482" s="20"/>
      <c r="X482" s="43"/>
    </row>
    <row r="483" spans="1:24" ht="15.75" hidden="1" customHeight="1" x14ac:dyDescent="0.25">
      <c r="A483" s="16"/>
      <c r="B483" s="16" t="str">
        <f t="shared" si="1"/>
        <v/>
      </c>
      <c r="C483" s="16"/>
      <c r="D483" s="40"/>
      <c r="E483" s="16"/>
      <c r="F483" s="41"/>
      <c r="G483" s="16"/>
      <c r="H483" s="16"/>
      <c r="I483" s="16"/>
      <c r="J483" s="22"/>
      <c r="K483" s="16"/>
      <c r="L483" s="16"/>
      <c r="M483" s="16"/>
      <c r="N483" s="19"/>
      <c r="O483" s="19"/>
      <c r="P483" s="19"/>
      <c r="Q483" s="19"/>
      <c r="R483" s="19"/>
      <c r="S483" s="19"/>
      <c r="T483" s="19"/>
      <c r="U483" s="19"/>
      <c r="V483" s="19"/>
      <c r="W483" s="20"/>
      <c r="X483" s="43"/>
    </row>
    <row r="484" spans="1:24" ht="15.75" hidden="1" customHeight="1" x14ac:dyDescent="0.25">
      <c r="A484" s="16"/>
      <c r="B484" s="16" t="str">
        <f t="shared" si="1"/>
        <v/>
      </c>
      <c r="C484" s="16"/>
      <c r="D484" s="40"/>
      <c r="E484" s="16"/>
      <c r="F484" s="41"/>
      <c r="G484" s="16"/>
      <c r="H484" s="16"/>
      <c r="I484" s="16"/>
      <c r="J484" s="22"/>
      <c r="K484" s="16"/>
      <c r="L484" s="16"/>
      <c r="M484" s="16"/>
      <c r="N484" s="19"/>
      <c r="O484" s="19"/>
      <c r="P484" s="19"/>
      <c r="Q484" s="19"/>
      <c r="R484" s="19"/>
      <c r="S484" s="19"/>
      <c r="T484" s="19"/>
      <c r="U484" s="19"/>
      <c r="V484" s="19"/>
      <c r="W484" s="20"/>
      <c r="X484" s="43"/>
    </row>
    <row r="485" spans="1:24" ht="15.75" hidden="1" customHeight="1" x14ac:dyDescent="0.25">
      <c r="A485" s="16"/>
      <c r="B485" s="16" t="str">
        <f t="shared" si="1"/>
        <v/>
      </c>
      <c r="C485" s="16"/>
      <c r="D485" s="40"/>
      <c r="E485" s="16"/>
      <c r="F485" s="41"/>
      <c r="G485" s="16"/>
      <c r="H485" s="16"/>
      <c r="I485" s="16"/>
      <c r="J485" s="22"/>
      <c r="K485" s="16"/>
      <c r="L485" s="16"/>
      <c r="M485" s="16"/>
      <c r="N485" s="19"/>
      <c r="O485" s="19"/>
      <c r="P485" s="19"/>
      <c r="Q485" s="19"/>
      <c r="R485" s="19"/>
      <c r="S485" s="19"/>
      <c r="T485" s="19"/>
      <c r="U485" s="19"/>
      <c r="V485" s="19"/>
      <c r="W485" s="20"/>
      <c r="X485" s="43"/>
    </row>
    <row r="486" spans="1:24" ht="15.75" hidden="1" customHeight="1" x14ac:dyDescent="0.25">
      <c r="A486" s="16"/>
      <c r="B486" s="16" t="str">
        <f t="shared" si="1"/>
        <v/>
      </c>
      <c r="C486" s="16"/>
      <c r="D486" s="40"/>
      <c r="E486" s="16"/>
      <c r="F486" s="41"/>
      <c r="G486" s="16"/>
      <c r="H486" s="16"/>
      <c r="I486" s="16"/>
      <c r="J486" s="22"/>
      <c r="K486" s="16"/>
      <c r="L486" s="16"/>
      <c r="M486" s="16"/>
      <c r="N486" s="19"/>
      <c r="O486" s="19"/>
      <c r="P486" s="19"/>
      <c r="Q486" s="19"/>
      <c r="R486" s="19"/>
      <c r="S486" s="19"/>
      <c r="T486" s="19"/>
      <c r="U486" s="19"/>
      <c r="V486" s="19"/>
      <c r="W486" s="20"/>
      <c r="X486" s="43"/>
    </row>
    <row r="487" spans="1:24" ht="15.75" hidden="1" customHeight="1" x14ac:dyDescent="0.25">
      <c r="A487" s="16"/>
      <c r="B487" s="16" t="str">
        <f t="shared" si="1"/>
        <v/>
      </c>
      <c r="C487" s="16"/>
      <c r="D487" s="40"/>
      <c r="E487" s="16"/>
      <c r="F487" s="41"/>
      <c r="G487" s="16"/>
      <c r="H487" s="16"/>
      <c r="I487" s="16"/>
      <c r="J487" s="22"/>
      <c r="K487" s="16"/>
      <c r="L487" s="16"/>
      <c r="M487" s="16"/>
      <c r="N487" s="19"/>
      <c r="O487" s="19"/>
      <c r="P487" s="19"/>
      <c r="Q487" s="19"/>
      <c r="R487" s="19"/>
      <c r="S487" s="19"/>
      <c r="T487" s="19"/>
      <c r="U487" s="19"/>
      <c r="V487" s="19"/>
      <c r="W487" s="20"/>
      <c r="X487" s="43"/>
    </row>
    <row r="488" spans="1:24" ht="15.75" hidden="1" customHeight="1" x14ac:dyDescent="0.25">
      <c r="A488" s="16"/>
      <c r="B488" s="16" t="str">
        <f t="shared" si="1"/>
        <v/>
      </c>
      <c r="C488" s="16"/>
      <c r="D488" s="40"/>
      <c r="E488" s="16"/>
      <c r="F488" s="41"/>
      <c r="G488" s="16"/>
      <c r="H488" s="16"/>
      <c r="I488" s="16"/>
      <c r="J488" s="22"/>
      <c r="K488" s="16"/>
      <c r="L488" s="16"/>
      <c r="M488" s="16"/>
      <c r="N488" s="19"/>
      <c r="O488" s="19"/>
      <c r="P488" s="19"/>
      <c r="Q488" s="19"/>
      <c r="R488" s="19"/>
      <c r="S488" s="19"/>
      <c r="T488" s="19"/>
      <c r="U488" s="19"/>
      <c r="V488" s="19"/>
      <c r="W488" s="20"/>
      <c r="X488" s="43"/>
    </row>
    <row r="489" spans="1:24" ht="15.75" hidden="1" customHeight="1" x14ac:dyDescent="0.25">
      <c r="A489" s="16"/>
      <c r="B489" s="16" t="str">
        <f t="shared" si="1"/>
        <v/>
      </c>
      <c r="C489" s="16"/>
      <c r="D489" s="40"/>
      <c r="E489" s="16"/>
      <c r="F489" s="41"/>
      <c r="G489" s="16"/>
      <c r="H489" s="16"/>
      <c r="I489" s="16"/>
      <c r="J489" s="22"/>
      <c r="K489" s="16"/>
      <c r="L489" s="16"/>
      <c r="M489" s="16"/>
      <c r="N489" s="19"/>
      <c r="O489" s="19"/>
      <c r="P489" s="19"/>
      <c r="Q489" s="19"/>
      <c r="R489" s="19"/>
      <c r="S489" s="19"/>
      <c r="T489" s="19"/>
      <c r="U489" s="19"/>
      <c r="V489" s="19"/>
      <c r="W489" s="20"/>
      <c r="X489" s="43"/>
    </row>
    <row r="490" spans="1:24" ht="15.75" hidden="1" customHeight="1" x14ac:dyDescent="0.25">
      <c r="A490" s="16"/>
      <c r="B490" s="16" t="str">
        <f t="shared" si="1"/>
        <v/>
      </c>
      <c r="C490" s="16"/>
      <c r="D490" s="40"/>
      <c r="E490" s="16"/>
      <c r="F490" s="41"/>
      <c r="G490" s="16"/>
      <c r="H490" s="16"/>
      <c r="I490" s="16"/>
      <c r="J490" s="22"/>
      <c r="K490" s="16"/>
      <c r="L490" s="16"/>
      <c r="M490" s="16"/>
      <c r="N490" s="19"/>
      <c r="O490" s="19"/>
      <c r="P490" s="19"/>
      <c r="Q490" s="19"/>
      <c r="R490" s="19"/>
      <c r="S490" s="19"/>
      <c r="T490" s="19"/>
      <c r="U490" s="19"/>
      <c r="V490" s="19"/>
      <c r="W490" s="20"/>
      <c r="X490" s="43"/>
    </row>
    <row r="491" spans="1:24" ht="15.75" hidden="1" customHeight="1" x14ac:dyDescent="0.25">
      <c r="A491" s="16"/>
      <c r="B491" s="16" t="str">
        <f t="shared" si="1"/>
        <v/>
      </c>
      <c r="C491" s="16"/>
      <c r="D491" s="40"/>
      <c r="E491" s="16"/>
      <c r="F491" s="41"/>
      <c r="G491" s="16"/>
      <c r="H491" s="16"/>
      <c r="I491" s="16"/>
      <c r="J491" s="22"/>
      <c r="K491" s="16"/>
      <c r="L491" s="16"/>
      <c r="M491" s="16"/>
      <c r="N491" s="19"/>
      <c r="O491" s="19"/>
      <c r="P491" s="19"/>
      <c r="Q491" s="19"/>
      <c r="R491" s="19"/>
      <c r="S491" s="19"/>
      <c r="T491" s="19"/>
      <c r="U491" s="19"/>
      <c r="V491" s="19"/>
      <c r="W491" s="20"/>
      <c r="X491" s="43"/>
    </row>
    <row r="492" spans="1:24" ht="15.75" hidden="1" customHeight="1" x14ac:dyDescent="0.25">
      <c r="A492" s="16"/>
      <c r="B492" s="16" t="str">
        <f t="shared" si="1"/>
        <v/>
      </c>
      <c r="C492" s="16"/>
      <c r="D492" s="40"/>
      <c r="E492" s="16"/>
      <c r="F492" s="41"/>
      <c r="G492" s="16"/>
      <c r="H492" s="16"/>
      <c r="I492" s="16"/>
      <c r="J492" s="22"/>
      <c r="K492" s="16"/>
      <c r="L492" s="16"/>
      <c r="M492" s="16"/>
      <c r="N492" s="19"/>
      <c r="O492" s="19"/>
      <c r="P492" s="19"/>
      <c r="Q492" s="19"/>
      <c r="R492" s="19"/>
      <c r="S492" s="19"/>
      <c r="T492" s="19"/>
      <c r="U492" s="19"/>
      <c r="V492" s="19"/>
      <c r="W492" s="20"/>
      <c r="X492" s="43"/>
    </row>
    <row r="493" spans="1:24" ht="15.75" hidden="1" customHeight="1" x14ac:dyDescent="0.25">
      <c r="A493" s="16"/>
      <c r="B493" s="16" t="str">
        <f t="shared" si="1"/>
        <v/>
      </c>
      <c r="C493" s="16"/>
      <c r="D493" s="40"/>
      <c r="E493" s="16"/>
      <c r="F493" s="41"/>
      <c r="G493" s="16"/>
      <c r="H493" s="16"/>
      <c r="I493" s="16"/>
      <c r="J493" s="22"/>
      <c r="K493" s="16"/>
      <c r="L493" s="16"/>
      <c r="M493" s="16"/>
      <c r="N493" s="19"/>
      <c r="O493" s="19"/>
      <c r="P493" s="19"/>
      <c r="Q493" s="19"/>
      <c r="R493" s="19"/>
      <c r="S493" s="19"/>
      <c r="T493" s="19"/>
      <c r="U493" s="19"/>
      <c r="V493" s="19"/>
      <c r="W493" s="20"/>
      <c r="X493" s="43"/>
    </row>
    <row r="494" spans="1:24" ht="15.75" hidden="1" customHeight="1" x14ac:dyDescent="0.25">
      <c r="A494" s="16"/>
      <c r="B494" s="16" t="str">
        <f t="shared" si="1"/>
        <v/>
      </c>
      <c r="C494" s="16"/>
      <c r="D494" s="40"/>
      <c r="E494" s="16"/>
      <c r="F494" s="41"/>
      <c r="G494" s="16"/>
      <c r="H494" s="16"/>
      <c r="I494" s="16"/>
      <c r="J494" s="22"/>
      <c r="K494" s="16"/>
      <c r="L494" s="16"/>
      <c r="M494" s="16"/>
      <c r="N494" s="19"/>
      <c r="O494" s="19"/>
      <c r="P494" s="19"/>
      <c r="Q494" s="19"/>
      <c r="R494" s="19"/>
      <c r="S494" s="19"/>
      <c r="T494" s="19"/>
      <c r="U494" s="19"/>
      <c r="V494" s="19"/>
      <c r="W494" s="20"/>
      <c r="X494" s="43"/>
    </row>
    <row r="495" spans="1:24" ht="15.75" hidden="1" customHeight="1" x14ac:dyDescent="0.25">
      <c r="A495" s="16"/>
      <c r="B495" s="16" t="str">
        <f t="shared" si="1"/>
        <v/>
      </c>
      <c r="C495" s="16"/>
      <c r="D495" s="40"/>
      <c r="E495" s="16"/>
      <c r="F495" s="41"/>
      <c r="G495" s="16"/>
      <c r="H495" s="16"/>
      <c r="I495" s="16"/>
      <c r="J495" s="22"/>
      <c r="K495" s="16"/>
      <c r="L495" s="16"/>
      <c r="M495" s="16"/>
      <c r="N495" s="19"/>
      <c r="O495" s="19"/>
      <c r="P495" s="19"/>
      <c r="Q495" s="19"/>
      <c r="R495" s="19"/>
      <c r="S495" s="19"/>
      <c r="T495" s="19"/>
      <c r="U495" s="19"/>
      <c r="V495" s="19"/>
      <c r="W495" s="20"/>
      <c r="X495" s="43"/>
    </row>
    <row r="496" spans="1:24" ht="15.75" hidden="1" customHeight="1" x14ac:dyDescent="0.25">
      <c r="A496" s="16"/>
      <c r="B496" s="16" t="str">
        <f t="shared" si="1"/>
        <v/>
      </c>
      <c r="C496" s="16"/>
      <c r="D496" s="40"/>
      <c r="E496" s="16"/>
      <c r="F496" s="41"/>
      <c r="G496" s="16"/>
      <c r="H496" s="16"/>
      <c r="I496" s="16"/>
      <c r="J496" s="22"/>
      <c r="K496" s="16"/>
      <c r="L496" s="16"/>
      <c r="M496" s="16"/>
      <c r="N496" s="19"/>
      <c r="O496" s="19"/>
      <c r="P496" s="19"/>
      <c r="Q496" s="19"/>
      <c r="R496" s="19"/>
      <c r="S496" s="19"/>
      <c r="T496" s="19"/>
      <c r="U496" s="19"/>
      <c r="V496" s="19"/>
      <c r="W496" s="20"/>
      <c r="X496" s="43"/>
    </row>
    <row r="497" spans="1:24" ht="15.75" hidden="1" customHeight="1" x14ac:dyDescent="0.25">
      <c r="A497" s="16"/>
      <c r="B497" s="16" t="str">
        <f t="shared" si="1"/>
        <v/>
      </c>
      <c r="C497" s="16"/>
      <c r="D497" s="40"/>
      <c r="E497" s="16"/>
      <c r="F497" s="41"/>
      <c r="G497" s="16"/>
      <c r="H497" s="16"/>
      <c r="I497" s="16"/>
      <c r="J497" s="22"/>
      <c r="K497" s="16"/>
      <c r="L497" s="16"/>
      <c r="M497" s="16"/>
      <c r="N497" s="19"/>
      <c r="O497" s="19"/>
      <c r="P497" s="19"/>
      <c r="Q497" s="19"/>
      <c r="R497" s="19"/>
      <c r="S497" s="19"/>
      <c r="T497" s="19"/>
      <c r="U497" s="19"/>
      <c r="V497" s="19"/>
      <c r="W497" s="20"/>
      <c r="X497" s="43"/>
    </row>
    <row r="498" spans="1:24" ht="15.75" hidden="1" customHeight="1" x14ac:dyDescent="0.25">
      <c r="A498" s="16"/>
      <c r="B498" s="16" t="str">
        <f t="shared" si="1"/>
        <v/>
      </c>
      <c r="C498" s="16"/>
      <c r="D498" s="40"/>
      <c r="E498" s="16"/>
      <c r="F498" s="41"/>
      <c r="G498" s="16"/>
      <c r="H498" s="16"/>
      <c r="I498" s="16"/>
      <c r="J498" s="22"/>
      <c r="K498" s="16"/>
      <c r="L498" s="16"/>
      <c r="M498" s="16"/>
      <c r="N498" s="19"/>
      <c r="O498" s="19"/>
      <c r="P498" s="19"/>
      <c r="Q498" s="19"/>
      <c r="R498" s="19"/>
      <c r="S498" s="19"/>
      <c r="T498" s="19"/>
      <c r="U498" s="19"/>
      <c r="V498" s="19"/>
      <c r="W498" s="20"/>
      <c r="X498" s="43"/>
    </row>
    <row r="499" spans="1:24" ht="15.75" hidden="1" customHeight="1" x14ac:dyDescent="0.25">
      <c r="A499" s="16"/>
      <c r="B499" s="16" t="str">
        <f t="shared" si="1"/>
        <v/>
      </c>
      <c r="C499" s="16"/>
      <c r="D499" s="40"/>
      <c r="E499" s="16"/>
      <c r="F499" s="41"/>
      <c r="G499" s="16"/>
      <c r="H499" s="16"/>
      <c r="I499" s="16"/>
      <c r="J499" s="22"/>
      <c r="K499" s="16"/>
      <c r="L499" s="16"/>
      <c r="M499" s="16"/>
      <c r="N499" s="19"/>
      <c r="O499" s="19"/>
      <c r="P499" s="19"/>
      <c r="Q499" s="19"/>
      <c r="R499" s="19"/>
      <c r="S499" s="19"/>
      <c r="T499" s="19"/>
      <c r="U499" s="19"/>
      <c r="V499" s="19"/>
      <c r="W499" s="20"/>
      <c r="X499" s="43"/>
    </row>
    <row r="500" spans="1:24" ht="15.75" hidden="1" customHeight="1" x14ac:dyDescent="0.25">
      <c r="A500" s="16"/>
      <c r="B500" s="16" t="str">
        <f t="shared" si="1"/>
        <v/>
      </c>
      <c r="C500" s="16"/>
      <c r="D500" s="40"/>
      <c r="E500" s="16"/>
      <c r="F500" s="41"/>
      <c r="G500" s="16"/>
      <c r="H500" s="16"/>
      <c r="I500" s="16"/>
      <c r="J500" s="22"/>
      <c r="K500" s="16"/>
      <c r="L500" s="16"/>
      <c r="M500" s="16"/>
      <c r="N500" s="19"/>
      <c r="O500" s="19"/>
      <c r="P500" s="19"/>
      <c r="Q500" s="19"/>
      <c r="R500" s="19"/>
      <c r="S500" s="19"/>
      <c r="T500" s="19"/>
      <c r="U500" s="19"/>
      <c r="V500" s="19"/>
      <c r="W500" s="20"/>
      <c r="X500" s="43"/>
    </row>
    <row r="501" spans="1:24" ht="15.75" hidden="1" customHeight="1" x14ac:dyDescent="0.25">
      <c r="A501" s="16"/>
      <c r="B501" s="16" t="str">
        <f t="shared" si="1"/>
        <v/>
      </c>
      <c r="C501" s="16"/>
      <c r="D501" s="40"/>
      <c r="E501" s="16"/>
      <c r="F501" s="41"/>
      <c r="G501" s="16"/>
      <c r="H501" s="16"/>
      <c r="I501" s="16"/>
      <c r="J501" s="22"/>
      <c r="K501" s="16"/>
      <c r="L501" s="16"/>
      <c r="M501" s="16"/>
      <c r="N501" s="19"/>
      <c r="O501" s="19"/>
      <c r="P501" s="19"/>
      <c r="Q501" s="19"/>
      <c r="R501" s="19"/>
      <c r="S501" s="19"/>
      <c r="T501" s="19"/>
      <c r="U501" s="19"/>
      <c r="V501" s="19"/>
      <c r="W501" s="20"/>
      <c r="X501" s="43"/>
    </row>
    <row r="502" spans="1:24" ht="15.75" hidden="1" customHeight="1" x14ac:dyDescent="0.25">
      <c r="A502" s="16"/>
      <c r="B502" s="16" t="str">
        <f t="shared" si="1"/>
        <v/>
      </c>
      <c r="C502" s="16"/>
      <c r="D502" s="40"/>
      <c r="E502" s="16"/>
      <c r="F502" s="41"/>
      <c r="G502" s="16"/>
      <c r="H502" s="16"/>
      <c r="I502" s="16"/>
      <c r="J502" s="22"/>
      <c r="K502" s="16"/>
      <c r="L502" s="16"/>
      <c r="M502" s="16"/>
      <c r="N502" s="19"/>
      <c r="O502" s="19"/>
      <c r="P502" s="19"/>
      <c r="Q502" s="19"/>
      <c r="R502" s="19"/>
      <c r="S502" s="19"/>
      <c r="T502" s="19"/>
      <c r="U502" s="19"/>
      <c r="V502" s="19"/>
      <c r="W502" s="20"/>
      <c r="X502" s="43"/>
    </row>
    <row r="503" spans="1:24" ht="15.75" hidden="1" customHeight="1" x14ac:dyDescent="0.25">
      <c r="A503" s="16"/>
      <c r="B503" s="16" t="str">
        <f t="shared" si="1"/>
        <v/>
      </c>
      <c r="C503" s="16"/>
      <c r="D503" s="40"/>
      <c r="E503" s="16"/>
      <c r="F503" s="41"/>
      <c r="G503" s="16"/>
      <c r="H503" s="16"/>
      <c r="I503" s="16"/>
      <c r="J503" s="22"/>
      <c r="K503" s="16"/>
      <c r="L503" s="16"/>
      <c r="M503" s="16"/>
      <c r="N503" s="19"/>
      <c r="O503" s="19"/>
      <c r="P503" s="19"/>
      <c r="Q503" s="19"/>
      <c r="R503" s="19"/>
      <c r="S503" s="19"/>
      <c r="T503" s="19"/>
      <c r="U503" s="19"/>
      <c r="V503" s="19"/>
      <c r="W503" s="20"/>
      <c r="X503" s="43"/>
    </row>
    <row r="504" spans="1:24" ht="15.75" hidden="1" customHeight="1" x14ac:dyDescent="0.25">
      <c r="A504" s="16"/>
      <c r="B504" s="16" t="str">
        <f t="shared" si="1"/>
        <v/>
      </c>
      <c r="C504" s="16"/>
      <c r="D504" s="40"/>
      <c r="E504" s="16"/>
      <c r="F504" s="41"/>
      <c r="G504" s="16"/>
      <c r="H504" s="16"/>
      <c r="I504" s="16"/>
      <c r="J504" s="22"/>
      <c r="K504" s="16"/>
      <c r="L504" s="16"/>
      <c r="M504" s="16"/>
      <c r="N504" s="19"/>
      <c r="O504" s="19"/>
      <c r="P504" s="19"/>
      <c r="Q504" s="19"/>
      <c r="R504" s="19"/>
      <c r="S504" s="19"/>
      <c r="T504" s="19"/>
      <c r="U504" s="19"/>
      <c r="V504" s="19"/>
      <c r="W504" s="20"/>
      <c r="X504" s="43"/>
    </row>
    <row r="505" spans="1:24" ht="15.75" hidden="1" customHeight="1" x14ac:dyDescent="0.25">
      <c r="A505" s="16"/>
      <c r="B505" s="16" t="str">
        <f t="shared" si="1"/>
        <v/>
      </c>
      <c r="C505" s="16"/>
      <c r="D505" s="40"/>
      <c r="E505" s="16"/>
      <c r="F505" s="41"/>
      <c r="G505" s="16"/>
      <c r="H505" s="16"/>
      <c r="I505" s="16"/>
      <c r="J505" s="22"/>
      <c r="K505" s="16"/>
      <c r="L505" s="16"/>
      <c r="M505" s="16"/>
      <c r="N505" s="19"/>
      <c r="O505" s="19"/>
      <c r="P505" s="19"/>
      <c r="Q505" s="19"/>
      <c r="R505" s="19"/>
      <c r="S505" s="19"/>
      <c r="T505" s="19"/>
      <c r="U505" s="19"/>
      <c r="V505" s="19"/>
      <c r="W505" s="20"/>
      <c r="X505" s="43"/>
    </row>
    <row r="506" spans="1:24" ht="15.75" hidden="1" customHeight="1" x14ac:dyDescent="0.25">
      <c r="A506" s="16"/>
      <c r="B506" s="16" t="str">
        <f t="shared" si="1"/>
        <v/>
      </c>
      <c r="C506" s="16"/>
      <c r="D506" s="40"/>
      <c r="E506" s="16"/>
      <c r="F506" s="41"/>
      <c r="G506" s="16"/>
      <c r="H506" s="16"/>
      <c r="I506" s="16"/>
      <c r="J506" s="22"/>
      <c r="K506" s="16"/>
      <c r="L506" s="16"/>
      <c r="M506" s="16"/>
      <c r="N506" s="19"/>
      <c r="O506" s="19"/>
      <c r="P506" s="19"/>
      <c r="Q506" s="19"/>
      <c r="R506" s="19"/>
      <c r="S506" s="19"/>
      <c r="T506" s="19"/>
      <c r="U506" s="19"/>
      <c r="V506" s="19"/>
      <c r="W506" s="20"/>
      <c r="X506" s="43"/>
    </row>
    <row r="507" spans="1:24" ht="15.75" hidden="1" customHeight="1" x14ac:dyDescent="0.25">
      <c r="A507" s="16"/>
      <c r="B507" s="16" t="str">
        <f t="shared" si="1"/>
        <v/>
      </c>
      <c r="C507" s="16"/>
      <c r="D507" s="40"/>
      <c r="E507" s="16"/>
      <c r="F507" s="41"/>
      <c r="G507" s="16"/>
      <c r="H507" s="16"/>
      <c r="I507" s="16"/>
      <c r="J507" s="22"/>
      <c r="K507" s="16"/>
      <c r="L507" s="16"/>
      <c r="M507" s="16"/>
      <c r="N507" s="19"/>
      <c r="O507" s="19"/>
      <c r="P507" s="19"/>
      <c r="Q507" s="19"/>
      <c r="R507" s="19"/>
      <c r="S507" s="19"/>
      <c r="T507" s="19"/>
      <c r="U507" s="19"/>
      <c r="V507" s="19"/>
      <c r="W507" s="20"/>
      <c r="X507" s="43"/>
    </row>
    <row r="508" spans="1:24" ht="15.75" hidden="1" customHeight="1" x14ac:dyDescent="0.25">
      <c r="A508" s="16"/>
      <c r="B508" s="16" t="str">
        <f t="shared" si="1"/>
        <v/>
      </c>
      <c r="C508" s="16"/>
      <c r="D508" s="40"/>
      <c r="E508" s="16"/>
      <c r="F508" s="41"/>
      <c r="G508" s="16"/>
      <c r="H508" s="16"/>
      <c r="I508" s="16"/>
      <c r="J508" s="22"/>
      <c r="K508" s="16"/>
      <c r="L508" s="16"/>
      <c r="M508" s="16"/>
      <c r="N508" s="19"/>
      <c r="O508" s="19"/>
      <c r="P508" s="19"/>
      <c r="Q508" s="19"/>
      <c r="R508" s="19"/>
      <c r="S508" s="19"/>
      <c r="T508" s="19"/>
      <c r="U508" s="19"/>
      <c r="V508" s="19"/>
      <c r="W508" s="20"/>
      <c r="X508" s="43"/>
    </row>
    <row r="509" spans="1:24" ht="15.75" hidden="1" customHeight="1" x14ac:dyDescent="0.25">
      <c r="A509" s="16"/>
      <c r="B509" s="16" t="str">
        <f t="shared" si="1"/>
        <v/>
      </c>
      <c r="C509" s="16"/>
      <c r="D509" s="40"/>
      <c r="E509" s="16"/>
      <c r="F509" s="41"/>
      <c r="G509" s="16"/>
      <c r="H509" s="16"/>
      <c r="I509" s="16"/>
      <c r="J509" s="22"/>
      <c r="K509" s="16"/>
      <c r="L509" s="16"/>
      <c r="M509" s="16"/>
      <c r="N509" s="19"/>
      <c r="O509" s="19"/>
      <c r="P509" s="19"/>
      <c r="Q509" s="19"/>
      <c r="R509" s="19"/>
      <c r="S509" s="19"/>
      <c r="T509" s="19"/>
      <c r="U509" s="19"/>
      <c r="V509" s="19"/>
      <c r="W509" s="20"/>
      <c r="X509" s="43"/>
    </row>
    <row r="510" spans="1:24" ht="15.75" hidden="1" customHeight="1" x14ac:dyDescent="0.25">
      <c r="A510" s="16"/>
      <c r="B510" s="16" t="str">
        <f t="shared" si="1"/>
        <v/>
      </c>
      <c r="C510" s="16"/>
      <c r="D510" s="40"/>
      <c r="E510" s="16"/>
      <c r="F510" s="41"/>
      <c r="G510" s="16"/>
      <c r="H510" s="16"/>
      <c r="I510" s="16"/>
      <c r="J510" s="22"/>
      <c r="K510" s="16"/>
      <c r="L510" s="16"/>
      <c r="M510" s="16"/>
      <c r="N510" s="19"/>
      <c r="O510" s="19"/>
      <c r="P510" s="19"/>
      <c r="Q510" s="19"/>
      <c r="R510" s="19"/>
      <c r="S510" s="19"/>
      <c r="T510" s="19"/>
      <c r="U510" s="19"/>
      <c r="V510" s="19"/>
      <c r="W510" s="20"/>
      <c r="X510" s="43"/>
    </row>
    <row r="511" spans="1:24" ht="15.75" hidden="1" customHeight="1" x14ac:dyDescent="0.25">
      <c r="A511" s="16"/>
      <c r="B511" s="16" t="str">
        <f t="shared" si="1"/>
        <v/>
      </c>
      <c r="C511" s="16"/>
      <c r="D511" s="40"/>
      <c r="E511" s="16"/>
      <c r="F511" s="41"/>
      <c r="G511" s="16"/>
      <c r="H511" s="16"/>
      <c r="I511" s="16"/>
      <c r="J511" s="22"/>
      <c r="K511" s="16"/>
      <c r="L511" s="16"/>
      <c r="M511" s="16"/>
      <c r="N511" s="19"/>
      <c r="O511" s="19"/>
      <c r="P511" s="19"/>
      <c r="Q511" s="19"/>
      <c r="R511" s="19"/>
      <c r="S511" s="19"/>
      <c r="T511" s="19"/>
      <c r="U511" s="19"/>
      <c r="V511" s="19"/>
      <c r="W511" s="20"/>
      <c r="X511" s="43"/>
    </row>
    <row r="512" spans="1:24" ht="15.75" hidden="1" customHeight="1" x14ac:dyDescent="0.25">
      <c r="A512" s="16"/>
      <c r="B512" s="16" t="str">
        <f t="shared" si="1"/>
        <v/>
      </c>
      <c r="C512" s="16"/>
      <c r="D512" s="40"/>
      <c r="E512" s="16"/>
      <c r="F512" s="41"/>
      <c r="G512" s="16"/>
      <c r="H512" s="16"/>
      <c r="I512" s="16"/>
      <c r="J512" s="22"/>
      <c r="K512" s="16"/>
      <c r="L512" s="16"/>
      <c r="M512" s="16"/>
      <c r="N512" s="19"/>
      <c r="O512" s="19"/>
      <c r="P512" s="19"/>
      <c r="Q512" s="19"/>
      <c r="R512" s="19"/>
      <c r="S512" s="19"/>
      <c r="T512" s="19"/>
      <c r="U512" s="19"/>
      <c r="V512" s="19"/>
      <c r="W512" s="20"/>
      <c r="X512" s="43"/>
    </row>
    <row r="513" spans="1:24" ht="15.75" hidden="1" customHeight="1" x14ac:dyDescent="0.25">
      <c r="A513" s="16"/>
      <c r="B513" s="16" t="str">
        <f t="shared" si="1"/>
        <v/>
      </c>
      <c r="C513" s="16"/>
      <c r="D513" s="40"/>
      <c r="E513" s="16"/>
      <c r="F513" s="41"/>
      <c r="G513" s="16"/>
      <c r="H513" s="16"/>
      <c r="I513" s="16"/>
      <c r="J513" s="22"/>
      <c r="K513" s="16"/>
      <c r="L513" s="16"/>
      <c r="M513" s="16"/>
      <c r="N513" s="19"/>
      <c r="O513" s="19"/>
      <c r="P513" s="19"/>
      <c r="Q513" s="19"/>
      <c r="R513" s="19"/>
      <c r="S513" s="19"/>
      <c r="T513" s="19"/>
      <c r="U513" s="19"/>
      <c r="V513" s="19"/>
      <c r="W513" s="20"/>
      <c r="X513" s="43"/>
    </row>
    <row r="514" spans="1:24" ht="15.75" hidden="1" customHeight="1" x14ac:dyDescent="0.25">
      <c r="A514" s="16"/>
      <c r="B514" s="16" t="str">
        <f t="shared" si="1"/>
        <v/>
      </c>
      <c r="C514" s="16"/>
      <c r="D514" s="40"/>
      <c r="E514" s="16"/>
      <c r="F514" s="41"/>
      <c r="G514" s="16"/>
      <c r="H514" s="16"/>
      <c r="I514" s="16"/>
      <c r="J514" s="22"/>
      <c r="K514" s="16"/>
      <c r="L514" s="16"/>
      <c r="M514" s="16"/>
      <c r="N514" s="19"/>
      <c r="O514" s="19"/>
      <c r="P514" s="19"/>
      <c r="Q514" s="19"/>
      <c r="R514" s="19"/>
      <c r="S514" s="19"/>
      <c r="T514" s="19"/>
      <c r="U514" s="19"/>
      <c r="V514" s="19"/>
      <c r="W514" s="20"/>
      <c r="X514" s="43"/>
    </row>
    <row r="515" spans="1:24" ht="15.75" hidden="1" customHeight="1" x14ac:dyDescent="0.25">
      <c r="A515" s="16"/>
      <c r="B515" s="16" t="str">
        <f t="shared" si="1"/>
        <v/>
      </c>
      <c r="C515" s="16"/>
      <c r="D515" s="40"/>
      <c r="E515" s="16"/>
      <c r="F515" s="41"/>
      <c r="G515" s="16"/>
      <c r="H515" s="16"/>
      <c r="I515" s="16"/>
      <c r="J515" s="22"/>
      <c r="K515" s="16"/>
      <c r="L515" s="16"/>
      <c r="M515" s="16"/>
      <c r="N515" s="19"/>
      <c r="O515" s="19"/>
      <c r="P515" s="19"/>
      <c r="Q515" s="19"/>
      <c r="R515" s="19"/>
      <c r="S515" s="19"/>
      <c r="T515" s="19"/>
      <c r="U515" s="19"/>
      <c r="V515" s="19"/>
      <c r="W515" s="20"/>
      <c r="X515" s="43"/>
    </row>
    <row r="516" spans="1:24" ht="15.75" hidden="1" customHeight="1" x14ac:dyDescent="0.25">
      <c r="A516" s="16"/>
      <c r="B516" s="16" t="str">
        <f t="shared" si="1"/>
        <v/>
      </c>
      <c r="C516" s="16"/>
      <c r="D516" s="40"/>
      <c r="E516" s="16"/>
      <c r="F516" s="41"/>
      <c r="G516" s="16"/>
      <c r="H516" s="16"/>
      <c r="I516" s="16"/>
      <c r="J516" s="22"/>
      <c r="K516" s="16"/>
      <c r="L516" s="16"/>
      <c r="M516" s="16"/>
      <c r="N516" s="19"/>
      <c r="O516" s="19"/>
      <c r="P516" s="19"/>
      <c r="Q516" s="19"/>
      <c r="R516" s="19"/>
      <c r="S516" s="19"/>
      <c r="T516" s="19"/>
      <c r="U516" s="19"/>
      <c r="V516" s="19"/>
      <c r="W516" s="20"/>
      <c r="X516" s="43"/>
    </row>
    <row r="517" spans="1:24" ht="15.75" hidden="1" customHeight="1" x14ac:dyDescent="0.25">
      <c r="A517" s="16"/>
      <c r="B517" s="16" t="str">
        <f t="shared" si="1"/>
        <v/>
      </c>
      <c r="C517" s="16"/>
      <c r="D517" s="40"/>
      <c r="E517" s="16"/>
      <c r="F517" s="41"/>
      <c r="G517" s="16"/>
      <c r="H517" s="16"/>
      <c r="I517" s="16"/>
      <c r="J517" s="22"/>
      <c r="K517" s="16"/>
      <c r="L517" s="16"/>
      <c r="M517" s="16"/>
      <c r="N517" s="19"/>
      <c r="O517" s="19"/>
      <c r="P517" s="19"/>
      <c r="Q517" s="19"/>
      <c r="R517" s="19"/>
      <c r="S517" s="19"/>
      <c r="T517" s="19"/>
      <c r="U517" s="19"/>
      <c r="V517" s="19"/>
      <c r="W517" s="20"/>
      <c r="X517" s="43"/>
    </row>
    <row r="518" spans="1:24" ht="15.75" hidden="1" customHeight="1" x14ac:dyDescent="0.25">
      <c r="A518" s="16"/>
      <c r="B518" s="16" t="str">
        <f t="shared" si="1"/>
        <v/>
      </c>
      <c r="C518" s="16"/>
      <c r="D518" s="40"/>
      <c r="E518" s="16"/>
      <c r="F518" s="41"/>
      <c r="G518" s="16"/>
      <c r="H518" s="16"/>
      <c r="I518" s="16"/>
      <c r="J518" s="22"/>
      <c r="K518" s="16"/>
      <c r="L518" s="16"/>
      <c r="M518" s="16"/>
      <c r="N518" s="19"/>
      <c r="O518" s="19"/>
      <c r="P518" s="19"/>
      <c r="Q518" s="19"/>
      <c r="R518" s="19"/>
      <c r="S518" s="19"/>
      <c r="T518" s="19"/>
      <c r="U518" s="19"/>
      <c r="V518" s="19"/>
      <c r="W518" s="20"/>
      <c r="X518" s="43"/>
    </row>
    <row r="519" spans="1:24" ht="15.75" hidden="1" customHeight="1" x14ac:dyDescent="0.25">
      <c r="A519" s="16"/>
      <c r="B519" s="16" t="str">
        <f t="shared" si="1"/>
        <v/>
      </c>
      <c r="C519" s="16"/>
      <c r="D519" s="40"/>
      <c r="E519" s="16"/>
      <c r="F519" s="41"/>
      <c r="G519" s="16"/>
      <c r="H519" s="16"/>
      <c r="I519" s="16"/>
      <c r="J519" s="22"/>
      <c r="K519" s="16"/>
      <c r="L519" s="16"/>
      <c r="M519" s="16"/>
      <c r="N519" s="19"/>
      <c r="O519" s="19"/>
      <c r="P519" s="19"/>
      <c r="Q519" s="19"/>
      <c r="R519" s="19"/>
      <c r="S519" s="19"/>
      <c r="T519" s="19"/>
      <c r="U519" s="19"/>
      <c r="V519" s="19"/>
      <c r="W519" s="20"/>
      <c r="X519" s="43"/>
    </row>
    <row r="520" spans="1:24" ht="15.75" hidden="1" customHeight="1" x14ac:dyDescent="0.25">
      <c r="A520" s="16"/>
      <c r="B520" s="16" t="str">
        <f t="shared" si="1"/>
        <v/>
      </c>
      <c r="C520" s="16"/>
      <c r="D520" s="40"/>
      <c r="E520" s="16"/>
      <c r="F520" s="41"/>
      <c r="G520" s="16"/>
      <c r="H520" s="16"/>
      <c r="I520" s="16"/>
      <c r="J520" s="22"/>
      <c r="K520" s="16"/>
      <c r="L520" s="16"/>
      <c r="M520" s="16"/>
      <c r="N520" s="19"/>
      <c r="O520" s="19"/>
      <c r="P520" s="19"/>
      <c r="Q520" s="19"/>
      <c r="R520" s="19"/>
      <c r="S520" s="19"/>
      <c r="T520" s="19"/>
      <c r="U520" s="19"/>
      <c r="V520" s="19"/>
      <c r="W520" s="20"/>
      <c r="X520" s="43"/>
    </row>
    <row r="521" spans="1:24" ht="15.75" hidden="1" customHeight="1" x14ac:dyDescent="0.25">
      <c r="A521" s="16"/>
      <c r="B521" s="16" t="str">
        <f t="shared" si="1"/>
        <v/>
      </c>
      <c r="C521" s="16"/>
      <c r="D521" s="40"/>
      <c r="E521" s="16"/>
      <c r="F521" s="41"/>
      <c r="G521" s="16"/>
      <c r="H521" s="16"/>
      <c r="I521" s="16"/>
      <c r="J521" s="22"/>
      <c r="K521" s="16"/>
      <c r="L521" s="16"/>
      <c r="M521" s="16"/>
      <c r="N521" s="19"/>
      <c r="O521" s="19"/>
      <c r="P521" s="19"/>
      <c r="Q521" s="19"/>
      <c r="R521" s="19"/>
      <c r="S521" s="19"/>
      <c r="T521" s="19"/>
      <c r="U521" s="19"/>
      <c r="V521" s="19"/>
      <c r="W521" s="20"/>
      <c r="X521" s="43"/>
    </row>
    <row r="522" spans="1:24" ht="15.75" hidden="1" customHeight="1" x14ac:dyDescent="0.25">
      <c r="A522" s="16"/>
      <c r="B522" s="16" t="str">
        <f t="shared" si="1"/>
        <v/>
      </c>
      <c r="C522" s="16"/>
      <c r="D522" s="40"/>
      <c r="E522" s="16"/>
      <c r="F522" s="41"/>
      <c r="G522" s="16"/>
      <c r="H522" s="16"/>
      <c r="I522" s="16"/>
      <c r="J522" s="22"/>
      <c r="K522" s="16"/>
      <c r="L522" s="16"/>
      <c r="M522" s="16"/>
      <c r="N522" s="19"/>
      <c r="O522" s="19"/>
      <c r="P522" s="19"/>
      <c r="Q522" s="19"/>
      <c r="R522" s="19"/>
      <c r="S522" s="19"/>
      <c r="T522" s="19"/>
      <c r="U522" s="19"/>
      <c r="V522" s="19"/>
      <c r="W522" s="20"/>
      <c r="X522" s="43"/>
    </row>
    <row r="523" spans="1:24" ht="15.75" hidden="1" customHeight="1" x14ac:dyDescent="0.25">
      <c r="A523" s="16"/>
      <c r="B523" s="16" t="str">
        <f t="shared" si="1"/>
        <v/>
      </c>
      <c r="C523" s="16"/>
      <c r="D523" s="40"/>
      <c r="E523" s="16"/>
      <c r="F523" s="41"/>
      <c r="G523" s="16"/>
      <c r="H523" s="16"/>
      <c r="I523" s="16"/>
      <c r="J523" s="22"/>
      <c r="K523" s="16"/>
      <c r="L523" s="16"/>
      <c r="M523" s="16"/>
      <c r="N523" s="19"/>
      <c r="O523" s="19"/>
      <c r="P523" s="19"/>
      <c r="Q523" s="19"/>
      <c r="R523" s="19"/>
      <c r="S523" s="19"/>
      <c r="T523" s="19"/>
      <c r="U523" s="19"/>
      <c r="V523" s="19"/>
      <c r="W523" s="20"/>
      <c r="X523" s="43"/>
    </row>
    <row r="524" spans="1:24" ht="15.75" hidden="1" customHeight="1" x14ac:dyDescent="0.25">
      <c r="A524" s="16"/>
      <c r="B524" s="16" t="str">
        <f t="shared" si="1"/>
        <v/>
      </c>
      <c r="C524" s="16"/>
      <c r="D524" s="40"/>
      <c r="E524" s="16"/>
      <c r="F524" s="41"/>
      <c r="G524" s="16"/>
      <c r="H524" s="16"/>
      <c r="I524" s="16"/>
      <c r="J524" s="22"/>
      <c r="K524" s="16"/>
      <c r="L524" s="16"/>
      <c r="M524" s="16"/>
      <c r="N524" s="19"/>
      <c r="O524" s="19"/>
      <c r="P524" s="19"/>
      <c r="Q524" s="19"/>
      <c r="R524" s="19"/>
      <c r="S524" s="19"/>
      <c r="T524" s="19"/>
      <c r="U524" s="19"/>
      <c r="V524" s="19"/>
      <c r="W524" s="20"/>
      <c r="X524" s="43"/>
    </row>
    <row r="525" spans="1:24" ht="15.75" hidden="1" customHeight="1" x14ac:dyDescent="0.25">
      <c r="A525" s="16"/>
      <c r="B525" s="16" t="str">
        <f t="shared" si="1"/>
        <v/>
      </c>
      <c r="C525" s="16"/>
      <c r="D525" s="40"/>
      <c r="E525" s="16"/>
      <c r="F525" s="41"/>
      <c r="G525" s="16"/>
      <c r="H525" s="16"/>
      <c r="I525" s="16"/>
      <c r="J525" s="22"/>
      <c r="K525" s="16"/>
      <c r="L525" s="16"/>
      <c r="M525" s="16"/>
      <c r="N525" s="19"/>
      <c r="O525" s="19"/>
      <c r="P525" s="19"/>
      <c r="Q525" s="19"/>
      <c r="R525" s="19"/>
      <c r="S525" s="19"/>
      <c r="T525" s="19"/>
      <c r="U525" s="19"/>
      <c r="V525" s="19"/>
      <c r="W525" s="20"/>
      <c r="X525" s="43"/>
    </row>
    <row r="526" spans="1:24" ht="15.75" hidden="1" customHeight="1" x14ac:dyDescent="0.25">
      <c r="A526" s="16"/>
      <c r="B526" s="16" t="str">
        <f t="shared" si="1"/>
        <v/>
      </c>
      <c r="C526" s="16"/>
      <c r="D526" s="40"/>
      <c r="E526" s="16"/>
      <c r="F526" s="41"/>
      <c r="G526" s="16"/>
      <c r="H526" s="16"/>
      <c r="I526" s="16"/>
      <c r="J526" s="22"/>
      <c r="K526" s="16"/>
      <c r="L526" s="16"/>
      <c r="M526" s="16"/>
      <c r="N526" s="19"/>
      <c r="O526" s="19"/>
      <c r="P526" s="19"/>
      <c r="Q526" s="19"/>
      <c r="R526" s="19"/>
      <c r="S526" s="19"/>
      <c r="T526" s="19"/>
      <c r="U526" s="19"/>
      <c r="V526" s="19"/>
      <c r="W526" s="20"/>
      <c r="X526" s="43"/>
    </row>
    <row r="527" spans="1:24" ht="15.75" hidden="1" customHeight="1" x14ac:dyDescent="0.25">
      <c r="A527" s="16"/>
      <c r="B527" s="16" t="str">
        <f t="shared" si="1"/>
        <v/>
      </c>
      <c r="C527" s="16"/>
      <c r="D527" s="40"/>
      <c r="E527" s="16"/>
      <c r="F527" s="41"/>
      <c r="G527" s="16"/>
      <c r="H527" s="16"/>
      <c r="I527" s="16"/>
      <c r="J527" s="22"/>
      <c r="K527" s="16"/>
      <c r="L527" s="16"/>
      <c r="M527" s="16"/>
      <c r="N527" s="19"/>
      <c r="O527" s="19"/>
      <c r="P527" s="19"/>
      <c r="Q527" s="19"/>
      <c r="R527" s="19"/>
      <c r="S527" s="19"/>
      <c r="T527" s="19"/>
      <c r="U527" s="19"/>
      <c r="V527" s="19"/>
      <c r="W527" s="20"/>
      <c r="X527" s="43"/>
    </row>
    <row r="528" spans="1:24" ht="15.75" hidden="1" customHeight="1" x14ac:dyDescent="0.25">
      <c r="A528" s="16"/>
      <c r="B528" s="16" t="str">
        <f t="shared" si="1"/>
        <v/>
      </c>
      <c r="C528" s="16"/>
      <c r="D528" s="40"/>
      <c r="E528" s="16"/>
      <c r="F528" s="41"/>
      <c r="G528" s="16"/>
      <c r="H528" s="16"/>
      <c r="I528" s="16"/>
      <c r="J528" s="22"/>
      <c r="K528" s="16"/>
      <c r="L528" s="16"/>
      <c r="M528" s="16"/>
      <c r="N528" s="19"/>
      <c r="O528" s="19"/>
      <c r="P528" s="19"/>
      <c r="Q528" s="19"/>
      <c r="R528" s="19"/>
      <c r="S528" s="19"/>
      <c r="T528" s="19"/>
      <c r="U528" s="19"/>
      <c r="V528" s="19"/>
      <c r="W528" s="20"/>
      <c r="X528" s="43"/>
    </row>
    <row r="529" spans="1:24" ht="15.75" hidden="1" customHeight="1" x14ac:dyDescent="0.25">
      <c r="A529" s="16"/>
      <c r="B529" s="16" t="str">
        <f t="shared" si="1"/>
        <v/>
      </c>
      <c r="C529" s="16"/>
      <c r="D529" s="40"/>
      <c r="E529" s="16"/>
      <c r="F529" s="41"/>
      <c r="G529" s="16"/>
      <c r="H529" s="16"/>
      <c r="I529" s="16"/>
      <c r="J529" s="22"/>
      <c r="K529" s="16"/>
      <c r="L529" s="16"/>
      <c r="M529" s="16"/>
      <c r="N529" s="19"/>
      <c r="O529" s="19"/>
      <c r="P529" s="19"/>
      <c r="Q529" s="19"/>
      <c r="R529" s="19"/>
      <c r="S529" s="19"/>
      <c r="T529" s="19"/>
      <c r="U529" s="19"/>
      <c r="V529" s="19"/>
      <c r="W529" s="20"/>
      <c r="X529" s="43"/>
    </row>
    <row r="530" spans="1:24" ht="15.75" hidden="1" customHeight="1" x14ac:dyDescent="0.25">
      <c r="A530" s="16"/>
      <c r="B530" s="16" t="str">
        <f t="shared" si="1"/>
        <v/>
      </c>
      <c r="C530" s="16"/>
      <c r="D530" s="40"/>
      <c r="E530" s="16"/>
      <c r="F530" s="41"/>
      <c r="G530" s="16"/>
      <c r="H530" s="16"/>
      <c r="I530" s="16"/>
      <c r="J530" s="22"/>
      <c r="K530" s="16"/>
      <c r="L530" s="16"/>
      <c r="M530" s="16"/>
      <c r="N530" s="19"/>
      <c r="O530" s="19"/>
      <c r="P530" s="19"/>
      <c r="Q530" s="19"/>
      <c r="R530" s="19"/>
      <c r="S530" s="19"/>
      <c r="T530" s="19"/>
      <c r="U530" s="19"/>
      <c r="V530" s="19"/>
      <c r="W530" s="20"/>
      <c r="X530" s="43"/>
    </row>
    <row r="531" spans="1:24" ht="15.75" hidden="1" customHeight="1" x14ac:dyDescent="0.25">
      <c r="A531" s="16"/>
      <c r="B531" s="16" t="str">
        <f t="shared" si="1"/>
        <v/>
      </c>
      <c r="C531" s="16"/>
      <c r="D531" s="40"/>
      <c r="E531" s="16"/>
      <c r="F531" s="41"/>
      <c r="G531" s="16"/>
      <c r="H531" s="16"/>
      <c r="I531" s="16"/>
      <c r="J531" s="22"/>
      <c r="K531" s="16"/>
      <c r="L531" s="16"/>
      <c r="M531" s="16"/>
      <c r="N531" s="19"/>
      <c r="O531" s="19"/>
      <c r="P531" s="19"/>
      <c r="Q531" s="19"/>
      <c r="R531" s="19"/>
      <c r="S531" s="19"/>
      <c r="T531" s="19"/>
      <c r="U531" s="19"/>
      <c r="V531" s="19"/>
      <c r="W531" s="20"/>
      <c r="X531" s="43"/>
    </row>
    <row r="532" spans="1:24" ht="15.75" hidden="1" customHeight="1" x14ac:dyDescent="0.25">
      <c r="A532" s="16"/>
      <c r="B532" s="16" t="str">
        <f t="shared" ref="B532:B786" si="2">MID(X532,17,30)</f>
        <v/>
      </c>
      <c r="C532" s="16"/>
      <c r="D532" s="40"/>
      <c r="E532" s="16"/>
      <c r="F532" s="41"/>
      <c r="G532" s="16"/>
      <c r="H532" s="16"/>
      <c r="I532" s="16"/>
      <c r="J532" s="22"/>
      <c r="K532" s="16"/>
      <c r="L532" s="16"/>
      <c r="M532" s="16"/>
      <c r="N532" s="19"/>
      <c r="O532" s="19"/>
      <c r="P532" s="19"/>
      <c r="Q532" s="19"/>
      <c r="R532" s="19"/>
      <c r="S532" s="19"/>
      <c r="T532" s="19"/>
      <c r="U532" s="19"/>
      <c r="V532" s="19"/>
      <c r="W532" s="20"/>
      <c r="X532" s="43"/>
    </row>
    <row r="533" spans="1:24" ht="15.75" hidden="1" customHeight="1" x14ac:dyDescent="0.25">
      <c r="A533" s="16"/>
      <c r="B533" s="16" t="str">
        <f t="shared" si="2"/>
        <v/>
      </c>
      <c r="C533" s="16"/>
      <c r="D533" s="40"/>
      <c r="E533" s="16"/>
      <c r="F533" s="41"/>
      <c r="G533" s="16"/>
      <c r="H533" s="16"/>
      <c r="I533" s="16"/>
      <c r="J533" s="22"/>
      <c r="K533" s="16"/>
      <c r="L533" s="16"/>
      <c r="M533" s="16"/>
      <c r="N533" s="19"/>
      <c r="O533" s="19"/>
      <c r="P533" s="19"/>
      <c r="Q533" s="19"/>
      <c r="R533" s="19"/>
      <c r="S533" s="19"/>
      <c r="T533" s="19"/>
      <c r="U533" s="19"/>
      <c r="V533" s="19"/>
      <c r="W533" s="20"/>
      <c r="X533" s="43"/>
    </row>
    <row r="534" spans="1:24" ht="15.75" hidden="1" customHeight="1" x14ac:dyDescent="0.25">
      <c r="A534" s="16"/>
      <c r="B534" s="16" t="str">
        <f t="shared" si="2"/>
        <v/>
      </c>
      <c r="C534" s="16"/>
      <c r="D534" s="40"/>
      <c r="E534" s="16"/>
      <c r="F534" s="41"/>
      <c r="G534" s="16"/>
      <c r="H534" s="16"/>
      <c r="I534" s="16"/>
      <c r="J534" s="22"/>
      <c r="K534" s="16"/>
      <c r="L534" s="16"/>
      <c r="M534" s="16"/>
      <c r="N534" s="19"/>
      <c r="O534" s="19"/>
      <c r="P534" s="19"/>
      <c r="Q534" s="19"/>
      <c r="R534" s="19"/>
      <c r="S534" s="19"/>
      <c r="T534" s="19"/>
      <c r="U534" s="19"/>
      <c r="V534" s="19"/>
      <c r="W534" s="20"/>
      <c r="X534" s="43"/>
    </row>
    <row r="535" spans="1:24" ht="15.75" hidden="1" customHeight="1" x14ac:dyDescent="0.25">
      <c r="A535" s="16"/>
      <c r="B535" s="16" t="str">
        <f t="shared" si="2"/>
        <v/>
      </c>
      <c r="C535" s="16"/>
      <c r="D535" s="40"/>
      <c r="E535" s="16"/>
      <c r="F535" s="41"/>
      <c r="G535" s="16"/>
      <c r="H535" s="16"/>
      <c r="I535" s="16"/>
      <c r="J535" s="22"/>
      <c r="K535" s="16"/>
      <c r="L535" s="16"/>
      <c r="M535" s="16"/>
      <c r="N535" s="19"/>
      <c r="O535" s="19"/>
      <c r="P535" s="19"/>
      <c r="Q535" s="19"/>
      <c r="R535" s="19"/>
      <c r="S535" s="19"/>
      <c r="T535" s="19"/>
      <c r="U535" s="19"/>
      <c r="V535" s="19"/>
      <c r="W535" s="20"/>
      <c r="X535" s="43"/>
    </row>
    <row r="536" spans="1:24" ht="15.75" hidden="1" customHeight="1" x14ac:dyDescent="0.25">
      <c r="A536" s="16"/>
      <c r="B536" s="16" t="str">
        <f t="shared" si="2"/>
        <v/>
      </c>
      <c r="C536" s="16"/>
      <c r="D536" s="40"/>
      <c r="E536" s="16"/>
      <c r="F536" s="41"/>
      <c r="G536" s="16"/>
      <c r="H536" s="16"/>
      <c r="I536" s="16"/>
      <c r="J536" s="22"/>
      <c r="K536" s="16"/>
      <c r="L536" s="16"/>
      <c r="M536" s="16"/>
      <c r="N536" s="19"/>
      <c r="O536" s="19"/>
      <c r="P536" s="19"/>
      <c r="Q536" s="19"/>
      <c r="R536" s="19"/>
      <c r="S536" s="19"/>
      <c r="T536" s="19"/>
      <c r="U536" s="19"/>
      <c r="V536" s="19"/>
      <c r="W536" s="20"/>
      <c r="X536" s="43"/>
    </row>
    <row r="537" spans="1:24" ht="15.75" hidden="1" customHeight="1" x14ac:dyDescent="0.25">
      <c r="A537" s="16"/>
      <c r="B537" s="16" t="str">
        <f t="shared" si="2"/>
        <v/>
      </c>
      <c r="C537" s="16"/>
      <c r="D537" s="40"/>
      <c r="E537" s="16"/>
      <c r="F537" s="41"/>
      <c r="G537" s="16"/>
      <c r="H537" s="16"/>
      <c r="I537" s="16"/>
      <c r="J537" s="22"/>
      <c r="K537" s="16"/>
      <c r="L537" s="16"/>
      <c r="M537" s="16"/>
      <c r="N537" s="19"/>
      <c r="O537" s="19"/>
      <c r="P537" s="19"/>
      <c r="Q537" s="19"/>
      <c r="R537" s="19"/>
      <c r="S537" s="19"/>
      <c r="T537" s="19"/>
      <c r="U537" s="19"/>
      <c r="V537" s="19"/>
      <c r="W537" s="20"/>
      <c r="X537" s="43"/>
    </row>
    <row r="538" spans="1:24" ht="15.75" hidden="1" customHeight="1" x14ac:dyDescent="0.25">
      <c r="A538" s="16"/>
      <c r="B538" s="16" t="str">
        <f t="shared" si="2"/>
        <v/>
      </c>
      <c r="C538" s="16"/>
      <c r="D538" s="40"/>
      <c r="E538" s="16"/>
      <c r="F538" s="41"/>
      <c r="G538" s="16"/>
      <c r="H538" s="16"/>
      <c r="I538" s="16"/>
      <c r="J538" s="22"/>
      <c r="K538" s="16"/>
      <c r="L538" s="16"/>
      <c r="M538" s="16"/>
      <c r="N538" s="19"/>
      <c r="O538" s="19"/>
      <c r="P538" s="19"/>
      <c r="Q538" s="19"/>
      <c r="R538" s="19"/>
      <c r="S538" s="19"/>
      <c r="T538" s="19"/>
      <c r="U538" s="19"/>
      <c r="V538" s="19"/>
      <c r="W538" s="20"/>
      <c r="X538" s="43"/>
    </row>
    <row r="539" spans="1:24" ht="15.75" hidden="1" customHeight="1" x14ac:dyDescent="0.25">
      <c r="A539" s="16"/>
      <c r="B539" s="16" t="str">
        <f t="shared" si="2"/>
        <v/>
      </c>
      <c r="C539" s="16"/>
      <c r="D539" s="40"/>
      <c r="E539" s="16"/>
      <c r="F539" s="41"/>
      <c r="G539" s="16"/>
      <c r="H539" s="16"/>
      <c r="I539" s="16"/>
      <c r="J539" s="22"/>
      <c r="K539" s="16"/>
      <c r="L539" s="16"/>
      <c r="M539" s="16"/>
      <c r="N539" s="19"/>
      <c r="O539" s="19"/>
      <c r="P539" s="19"/>
      <c r="Q539" s="19"/>
      <c r="R539" s="19"/>
      <c r="S539" s="19"/>
      <c r="T539" s="19"/>
      <c r="U539" s="19"/>
      <c r="V539" s="19"/>
      <c r="W539" s="20"/>
      <c r="X539" s="43"/>
    </row>
    <row r="540" spans="1:24" ht="15.75" hidden="1" customHeight="1" x14ac:dyDescent="0.25">
      <c r="A540" s="16"/>
      <c r="B540" s="16" t="str">
        <f t="shared" si="2"/>
        <v/>
      </c>
      <c r="C540" s="16"/>
      <c r="D540" s="40"/>
      <c r="E540" s="16"/>
      <c r="F540" s="41"/>
      <c r="G540" s="16"/>
      <c r="H540" s="16"/>
      <c r="I540" s="16"/>
      <c r="J540" s="22"/>
      <c r="K540" s="16"/>
      <c r="L540" s="16"/>
      <c r="M540" s="16"/>
      <c r="N540" s="19"/>
      <c r="O540" s="19"/>
      <c r="P540" s="19"/>
      <c r="Q540" s="19"/>
      <c r="R540" s="19"/>
      <c r="S540" s="19"/>
      <c r="T540" s="19"/>
      <c r="U540" s="19"/>
      <c r="V540" s="19"/>
      <c r="W540" s="20"/>
      <c r="X540" s="43"/>
    </row>
    <row r="541" spans="1:24" ht="15.75" hidden="1" customHeight="1" x14ac:dyDescent="0.25">
      <c r="A541" s="16"/>
      <c r="B541" s="16" t="str">
        <f t="shared" si="2"/>
        <v/>
      </c>
      <c r="C541" s="16"/>
      <c r="D541" s="40"/>
      <c r="E541" s="16"/>
      <c r="F541" s="41"/>
      <c r="G541" s="16"/>
      <c r="H541" s="16"/>
      <c r="I541" s="16"/>
      <c r="J541" s="22"/>
      <c r="K541" s="16"/>
      <c r="L541" s="16"/>
      <c r="M541" s="16"/>
      <c r="N541" s="19"/>
      <c r="O541" s="19"/>
      <c r="P541" s="19"/>
      <c r="Q541" s="19"/>
      <c r="R541" s="19"/>
      <c r="S541" s="19"/>
      <c r="T541" s="19"/>
      <c r="U541" s="19"/>
      <c r="V541" s="19"/>
      <c r="W541" s="20"/>
      <c r="X541" s="43"/>
    </row>
    <row r="542" spans="1:24" ht="15.75" hidden="1" customHeight="1" x14ac:dyDescent="0.25">
      <c r="A542" s="16"/>
      <c r="B542" s="16" t="str">
        <f t="shared" si="2"/>
        <v/>
      </c>
      <c r="C542" s="16"/>
      <c r="D542" s="40"/>
      <c r="E542" s="16"/>
      <c r="F542" s="41"/>
      <c r="G542" s="16"/>
      <c r="H542" s="16"/>
      <c r="I542" s="16"/>
      <c r="J542" s="22"/>
      <c r="K542" s="16"/>
      <c r="L542" s="16"/>
      <c r="M542" s="16"/>
      <c r="N542" s="19"/>
      <c r="O542" s="19"/>
      <c r="P542" s="19"/>
      <c r="Q542" s="19"/>
      <c r="R542" s="19"/>
      <c r="S542" s="19"/>
      <c r="T542" s="19"/>
      <c r="U542" s="19"/>
      <c r="V542" s="19"/>
      <c r="W542" s="20"/>
      <c r="X542" s="43"/>
    </row>
    <row r="543" spans="1:24" ht="15.75" hidden="1" customHeight="1" x14ac:dyDescent="0.25">
      <c r="A543" s="16"/>
      <c r="B543" s="16" t="str">
        <f t="shared" si="2"/>
        <v/>
      </c>
      <c r="C543" s="16"/>
      <c r="D543" s="40"/>
      <c r="E543" s="16"/>
      <c r="F543" s="41"/>
      <c r="G543" s="16"/>
      <c r="H543" s="16"/>
      <c r="I543" s="16"/>
      <c r="J543" s="22"/>
      <c r="K543" s="16"/>
      <c r="L543" s="16"/>
      <c r="M543" s="16"/>
      <c r="N543" s="19"/>
      <c r="O543" s="19"/>
      <c r="P543" s="19"/>
      <c r="Q543" s="19"/>
      <c r="R543" s="19"/>
      <c r="S543" s="19"/>
      <c r="T543" s="19"/>
      <c r="U543" s="19"/>
      <c r="V543" s="19"/>
      <c r="W543" s="20"/>
      <c r="X543" s="43"/>
    </row>
    <row r="544" spans="1:24" ht="15.75" hidden="1" customHeight="1" x14ac:dyDescent="0.25">
      <c r="A544" s="16"/>
      <c r="B544" s="16" t="str">
        <f t="shared" si="2"/>
        <v/>
      </c>
      <c r="C544" s="16"/>
      <c r="D544" s="40"/>
      <c r="E544" s="16"/>
      <c r="F544" s="41"/>
      <c r="G544" s="16"/>
      <c r="H544" s="16"/>
      <c r="I544" s="16"/>
      <c r="J544" s="22"/>
      <c r="K544" s="16"/>
      <c r="L544" s="16"/>
      <c r="M544" s="16"/>
      <c r="N544" s="19"/>
      <c r="O544" s="19"/>
      <c r="P544" s="19"/>
      <c r="Q544" s="19"/>
      <c r="R544" s="19"/>
      <c r="S544" s="19"/>
      <c r="T544" s="19"/>
      <c r="U544" s="19"/>
      <c r="V544" s="19"/>
      <c r="W544" s="20"/>
      <c r="X544" s="43"/>
    </row>
    <row r="545" spans="1:24" ht="15.75" hidden="1" customHeight="1" x14ac:dyDescent="0.25">
      <c r="A545" s="16"/>
      <c r="B545" s="16" t="str">
        <f t="shared" si="2"/>
        <v/>
      </c>
      <c r="C545" s="16"/>
      <c r="D545" s="40"/>
      <c r="E545" s="16"/>
      <c r="F545" s="41"/>
      <c r="G545" s="16"/>
      <c r="H545" s="16"/>
      <c r="I545" s="16"/>
      <c r="J545" s="22"/>
      <c r="K545" s="16"/>
      <c r="L545" s="16"/>
      <c r="M545" s="16"/>
      <c r="N545" s="19"/>
      <c r="O545" s="19"/>
      <c r="P545" s="19"/>
      <c r="Q545" s="19"/>
      <c r="R545" s="19"/>
      <c r="S545" s="19"/>
      <c r="T545" s="19"/>
      <c r="U545" s="19"/>
      <c r="V545" s="19"/>
      <c r="W545" s="20"/>
      <c r="X545" s="43"/>
    </row>
    <row r="546" spans="1:24" ht="15.75" hidden="1" customHeight="1" x14ac:dyDescent="0.25">
      <c r="A546" s="16"/>
      <c r="B546" s="16" t="str">
        <f t="shared" si="2"/>
        <v/>
      </c>
      <c r="C546" s="16"/>
      <c r="D546" s="40"/>
      <c r="E546" s="16"/>
      <c r="F546" s="41"/>
      <c r="G546" s="16"/>
      <c r="H546" s="16"/>
      <c r="I546" s="16"/>
      <c r="J546" s="22"/>
      <c r="K546" s="16"/>
      <c r="L546" s="16"/>
      <c r="M546" s="16"/>
      <c r="N546" s="19"/>
      <c r="O546" s="19"/>
      <c r="P546" s="19"/>
      <c r="Q546" s="19"/>
      <c r="R546" s="19"/>
      <c r="S546" s="19"/>
      <c r="T546" s="19"/>
      <c r="U546" s="19"/>
      <c r="V546" s="19"/>
      <c r="W546" s="20"/>
      <c r="X546" s="43"/>
    </row>
    <row r="547" spans="1:24" ht="15.75" hidden="1" customHeight="1" x14ac:dyDescent="0.25">
      <c r="A547" s="16"/>
      <c r="B547" s="16" t="str">
        <f t="shared" si="2"/>
        <v/>
      </c>
      <c r="C547" s="16"/>
      <c r="D547" s="40"/>
      <c r="E547" s="16"/>
      <c r="F547" s="41"/>
      <c r="G547" s="16"/>
      <c r="H547" s="16"/>
      <c r="I547" s="16"/>
      <c r="J547" s="22"/>
      <c r="K547" s="16"/>
      <c r="L547" s="16"/>
      <c r="M547" s="16"/>
      <c r="N547" s="19"/>
      <c r="O547" s="19"/>
      <c r="P547" s="19"/>
      <c r="Q547" s="19"/>
      <c r="R547" s="19"/>
      <c r="S547" s="19"/>
      <c r="T547" s="19"/>
      <c r="U547" s="19"/>
      <c r="V547" s="19"/>
      <c r="W547" s="20"/>
      <c r="X547" s="43"/>
    </row>
    <row r="548" spans="1:24" ht="15.75" hidden="1" customHeight="1" x14ac:dyDescent="0.25">
      <c r="A548" s="16"/>
      <c r="B548" s="16" t="str">
        <f t="shared" si="2"/>
        <v/>
      </c>
      <c r="C548" s="16"/>
      <c r="D548" s="40"/>
      <c r="E548" s="16"/>
      <c r="F548" s="41"/>
      <c r="G548" s="16"/>
      <c r="H548" s="16"/>
      <c r="I548" s="16"/>
      <c r="J548" s="22"/>
      <c r="K548" s="16"/>
      <c r="L548" s="16"/>
      <c r="M548" s="16"/>
      <c r="N548" s="19"/>
      <c r="O548" s="19"/>
      <c r="P548" s="19"/>
      <c r="Q548" s="19"/>
      <c r="R548" s="19"/>
      <c r="S548" s="19"/>
      <c r="T548" s="19"/>
      <c r="U548" s="19"/>
      <c r="V548" s="19"/>
      <c r="W548" s="20"/>
      <c r="X548" s="43"/>
    </row>
    <row r="549" spans="1:24" ht="15.75" hidden="1" customHeight="1" x14ac:dyDescent="0.25">
      <c r="A549" s="16"/>
      <c r="B549" s="16" t="str">
        <f t="shared" si="2"/>
        <v/>
      </c>
      <c r="C549" s="16"/>
      <c r="D549" s="40"/>
      <c r="E549" s="16"/>
      <c r="F549" s="41"/>
      <c r="G549" s="16"/>
      <c r="H549" s="16"/>
      <c r="I549" s="16"/>
      <c r="J549" s="22"/>
      <c r="K549" s="16"/>
      <c r="L549" s="16"/>
      <c r="M549" s="16"/>
      <c r="N549" s="19"/>
      <c r="O549" s="19"/>
      <c r="P549" s="19"/>
      <c r="Q549" s="19"/>
      <c r="R549" s="19"/>
      <c r="S549" s="19"/>
      <c r="T549" s="19"/>
      <c r="U549" s="19"/>
      <c r="V549" s="19"/>
      <c r="W549" s="20"/>
      <c r="X549" s="43"/>
    </row>
    <row r="550" spans="1:24" ht="15.75" hidden="1" customHeight="1" x14ac:dyDescent="0.25">
      <c r="A550" s="16"/>
      <c r="B550" s="16" t="str">
        <f t="shared" si="2"/>
        <v/>
      </c>
      <c r="C550" s="16"/>
      <c r="D550" s="40"/>
      <c r="E550" s="16"/>
      <c r="F550" s="41"/>
      <c r="G550" s="16"/>
      <c r="H550" s="16"/>
      <c r="I550" s="16"/>
      <c r="J550" s="22"/>
      <c r="K550" s="16"/>
      <c r="L550" s="16"/>
      <c r="M550" s="16"/>
      <c r="N550" s="19"/>
      <c r="O550" s="19"/>
      <c r="P550" s="19"/>
      <c r="Q550" s="19"/>
      <c r="R550" s="19"/>
      <c r="S550" s="19"/>
      <c r="T550" s="19"/>
      <c r="U550" s="19"/>
      <c r="V550" s="19"/>
      <c r="W550" s="20"/>
      <c r="X550" s="43"/>
    </row>
    <row r="551" spans="1:24" ht="15.75" hidden="1" customHeight="1" x14ac:dyDescent="0.25">
      <c r="A551" s="16"/>
      <c r="B551" s="16" t="str">
        <f t="shared" si="2"/>
        <v/>
      </c>
      <c r="C551" s="16"/>
      <c r="D551" s="40"/>
      <c r="E551" s="16"/>
      <c r="F551" s="41"/>
      <c r="G551" s="16"/>
      <c r="H551" s="16"/>
      <c r="I551" s="16"/>
      <c r="J551" s="22"/>
      <c r="K551" s="16"/>
      <c r="L551" s="16"/>
      <c r="M551" s="16"/>
      <c r="N551" s="19"/>
      <c r="O551" s="19"/>
      <c r="P551" s="19"/>
      <c r="Q551" s="19"/>
      <c r="R551" s="19"/>
      <c r="S551" s="19"/>
      <c r="T551" s="19"/>
      <c r="U551" s="19"/>
      <c r="V551" s="19"/>
      <c r="W551" s="20"/>
      <c r="X551" s="43"/>
    </row>
    <row r="552" spans="1:24" ht="15.75" hidden="1" customHeight="1" x14ac:dyDescent="0.25">
      <c r="A552" s="16"/>
      <c r="B552" s="16" t="str">
        <f t="shared" si="2"/>
        <v/>
      </c>
      <c r="C552" s="16"/>
      <c r="D552" s="40"/>
      <c r="E552" s="16"/>
      <c r="F552" s="41"/>
      <c r="G552" s="16"/>
      <c r="H552" s="16"/>
      <c r="I552" s="16"/>
      <c r="J552" s="22"/>
      <c r="K552" s="16"/>
      <c r="L552" s="16"/>
      <c r="M552" s="16"/>
      <c r="N552" s="19"/>
      <c r="O552" s="19"/>
      <c r="P552" s="19"/>
      <c r="Q552" s="19"/>
      <c r="R552" s="19"/>
      <c r="S552" s="19"/>
      <c r="T552" s="19"/>
      <c r="U552" s="19"/>
      <c r="V552" s="19"/>
      <c r="W552" s="20"/>
      <c r="X552" s="43"/>
    </row>
    <row r="553" spans="1:24" ht="15.75" hidden="1" customHeight="1" x14ac:dyDescent="0.25">
      <c r="A553" s="16"/>
      <c r="B553" s="16" t="str">
        <f t="shared" si="2"/>
        <v/>
      </c>
      <c r="C553" s="16"/>
      <c r="D553" s="40"/>
      <c r="E553" s="16"/>
      <c r="F553" s="41"/>
      <c r="G553" s="16"/>
      <c r="H553" s="16"/>
      <c r="I553" s="16"/>
      <c r="J553" s="22"/>
      <c r="K553" s="16"/>
      <c r="L553" s="16"/>
      <c r="M553" s="16"/>
      <c r="N553" s="19"/>
      <c r="O553" s="19"/>
      <c r="P553" s="19"/>
      <c r="Q553" s="19"/>
      <c r="R553" s="19"/>
      <c r="S553" s="19"/>
      <c r="T553" s="19"/>
      <c r="U553" s="19"/>
      <c r="V553" s="19"/>
      <c r="W553" s="20"/>
      <c r="X553" s="43"/>
    </row>
    <row r="554" spans="1:24" ht="15.75" hidden="1" customHeight="1" x14ac:dyDescent="0.25">
      <c r="A554" s="16"/>
      <c r="B554" s="16" t="str">
        <f t="shared" si="2"/>
        <v/>
      </c>
      <c r="C554" s="16"/>
      <c r="D554" s="40"/>
      <c r="E554" s="16"/>
      <c r="F554" s="41"/>
      <c r="G554" s="16"/>
      <c r="H554" s="16"/>
      <c r="I554" s="16"/>
      <c r="J554" s="22"/>
      <c r="K554" s="16"/>
      <c r="L554" s="16"/>
      <c r="M554" s="16"/>
      <c r="N554" s="19"/>
      <c r="O554" s="19"/>
      <c r="P554" s="19"/>
      <c r="Q554" s="19"/>
      <c r="R554" s="19"/>
      <c r="S554" s="19"/>
      <c r="T554" s="19"/>
      <c r="U554" s="19"/>
      <c r="V554" s="19"/>
      <c r="W554" s="20"/>
      <c r="X554" s="43"/>
    </row>
    <row r="555" spans="1:24" ht="15.75" hidden="1" customHeight="1" x14ac:dyDescent="0.25">
      <c r="A555" s="16"/>
      <c r="B555" s="16" t="str">
        <f t="shared" si="2"/>
        <v/>
      </c>
      <c r="C555" s="16"/>
      <c r="D555" s="40"/>
      <c r="E555" s="16"/>
      <c r="F555" s="41"/>
      <c r="G555" s="16"/>
      <c r="H555" s="16"/>
      <c r="I555" s="16"/>
      <c r="J555" s="22"/>
      <c r="K555" s="16"/>
      <c r="L555" s="16"/>
      <c r="M555" s="16"/>
      <c r="N555" s="19"/>
      <c r="O555" s="19"/>
      <c r="P555" s="19"/>
      <c r="Q555" s="19"/>
      <c r="R555" s="19"/>
      <c r="S555" s="19"/>
      <c r="T555" s="19"/>
      <c r="U555" s="19"/>
      <c r="V555" s="19"/>
      <c r="W555" s="20"/>
      <c r="X555" s="43"/>
    </row>
    <row r="556" spans="1:24" ht="15.75" hidden="1" customHeight="1" x14ac:dyDescent="0.25">
      <c r="A556" s="16"/>
      <c r="B556" s="16" t="str">
        <f t="shared" si="2"/>
        <v/>
      </c>
      <c r="C556" s="16"/>
      <c r="D556" s="40"/>
      <c r="E556" s="16"/>
      <c r="F556" s="41"/>
      <c r="G556" s="16"/>
      <c r="H556" s="16"/>
      <c r="I556" s="16"/>
      <c r="J556" s="22"/>
      <c r="K556" s="16"/>
      <c r="L556" s="16"/>
      <c r="M556" s="16"/>
      <c r="N556" s="19"/>
      <c r="O556" s="19"/>
      <c r="P556" s="19"/>
      <c r="Q556" s="19"/>
      <c r="R556" s="19"/>
      <c r="S556" s="19"/>
      <c r="T556" s="19"/>
      <c r="U556" s="19"/>
      <c r="V556" s="19"/>
      <c r="W556" s="20"/>
      <c r="X556" s="43"/>
    </row>
    <row r="557" spans="1:24" ht="15.75" hidden="1" customHeight="1" x14ac:dyDescent="0.25">
      <c r="A557" s="16"/>
      <c r="B557" s="16" t="str">
        <f t="shared" si="2"/>
        <v/>
      </c>
      <c r="C557" s="16"/>
      <c r="D557" s="40"/>
      <c r="E557" s="16"/>
      <c r="F557" s="41"/>
      <c r="G557" s="16"/>
      <c r="H557" s="16"/>
      <c r="I557" s="16"/>
      <c r="J557" s="22"/>
      <c r="K557" s="16"/>
      <c r="L557" s="16"/>
      <c r="M557" s="16"/>
      <c r="N557" s="19"/>
      <c r="O557" s="19"/>
      <c r="P557" s="19"/>
      <c r="Q557" s="19"/>
      <c r="R557" s="19"/>
      <c r="S557" s="19"/>
      <c r="T557" s="19"/>
      <c r="U557" s="19"/>
      <c r="V557" s="19"/>
      <c r="W557" s="20"/>
      <c r="X557" s="43"/>
    </row>
    <row r="558" spans="1:24" ht="15.75" hidden="1" customHeight="1" x14ac:dyDescent="0.25">
      <c r="A558" s="16"/>
      <c r="B558" s="16" t="str">
        <f t="shared" si="2"/>
        <v/>
      </c>
      <c r="C558" s="16"/>
      <c r="D558" s="40"/>
      <c r="E558" s="16"/>
      <c r="F558" s="41"/>
      <c r="G558" s="16"/>
      <c r="H558" s="16"/>
      <c r="I558" s="16"/>
      <c r="J558" s="22"/>
      <c r="K558" s="16"/>
      <c r="L558" s="16"/>
      <c r="M558" s="16"/>
      <c r="N558" s="19"/>
      <c r="O558" s="19"/>
      <c r="P558" s="19"/>
      <c r="Q558" s="19"/>
      <c r="R558" s="19"/>
      <c r="S558" s="19"/>
      <c r="T558" s="19"/>
      <c r="U558" s="19"/>
      <c r="V558" s="19"/>
      <c r="W558" s="20"/>
      <c r="X558" s="43"/>
    </row>
    <row r="559" spans="1:24" ht="15.75" hidden="1" customHeight="1" x14ac:dyDescent="0.25">
      <c r="A559" s="16"/>
      <c r="B559" s="16" t="str">
        <f t="shared" si="2"/>
        <v/>
      </c>
      <c r="C559" s="16"/>
      <c r="D559" s="40"/>
      <c r="E559" s="16"/>
      <c r="F559" s="41"/>
      <c r="G559" s="16"/>
      <c r="H559" s="16"/>
      <c r="I559" s="16"/>
      <c r="J559" s="22"/>
      <c r="K559" s="16"/>
      <c r="L559" s="16"/>
      <c r="M559" s="16"/>
      <c r="N559" s="19"/>
      <c r="O559" s="19"/>
      <c r="P559" s="19"/>
      <c r="Q559" s="19"/>
      <c r="R559" s="19"/>
      <c r="S559" s="19"/>
      <c r="T559" s="19"/>
      <c r="U559" s="19"/>
      <c r="V559" s="19"/>
      <c r="W559" s="20"/>
      <c r="X559" s="43"/>
    </row>
    <row r="560" spans="1:24" ht="15.75" hidden="1" customHeight="1" x14ac:dyDescent="0.25">
      <c r="A560" s="16"/>
      <c r="B560" s="16" t="str">
        <f t="shared" si="2"/>
        <v/>
      </c>
      <c r="C560" s="16"/>
      <c r="D560" s="40"/>
      <c r="E560" s="16"/>
      <c r="F560" s="41"/>
      <c r="G560" s="16"/>
      <c r="H560" s="16"/>
      <c r="I560" s="16"/>
      <c r="J560" s="22"/>
      <c r="K560" s="16"/>
      <c r="L560" s="16"/>
      <c r="M560" s="16"/>
      <c r="N560" s="19"/>
      <c r="O560" s="19"/>
      <c r="P560" s="19"/>
      <c r="Q560" s="19"/>
      <c r="R560" s="19"/>
      <c r="S560" s="19"/>
      <c r="T560" s="19"/>
      <c r="U560" s="19"/>
      <c r="V560" s="19"/>
      <c r="W560" s="20"/>
      <c r="X560" s="43"/>
    </row>
    <row r="561" spans="1:24" ht="15.75" hidden="1" customHeight="1" x14ac:dyDescent="0.25">
      <c r="A561" s="16"/>
      <c r="B561" s="16" t="str">
        <f t="shared" si="2"/>
        <v/>
      </c>
      <c r="C561" s="16"/>
      <c r="D561" s="40"/>
      <c r="E561" s="16"/>
      <c r="F561" s="41"/>
      <c r="G561" s="16"/>
      <c r="H561" s="16"/>
      <c r="I561" s="16"/>
      <c r="J561" s="22"/>
      <c r="K561" s="16"/>
      <c r="L561" s="16"/>
      <c r="M561" s="16"/>
      <c r="N561" s="19"/>
      <c r="O561" s="19"/>
      <c r="P561" s="19"/>
      <c r="Q561" s="19"/>
      <c r="R561" s="19"/>
      <c r="S561" s="19"/>
      <c r="T561" s="19"/>
      <c r="U561" s="19"/>
      <c r="V561" s="19"/>
      <c r="W561" s="20"/>
      <c r="X561" s="43"/>
    </row>
    <row r="562" spans="1:24" ht="15.75" hidden="1" customHeight="1" x14ac:dyDescent="0.25">
      <c r="A562" s="16"/>
      <c r="B562" s="16" t="str">
        <f t="shared" si="2"/>
        <v/>
      </c>
      <c r="C562" s="16"/>
      <c r="D562" s="40"/>
      <c r="E562" s="16"/>
      <c r="F562" s="41"/>
      <c r="G562" s="16"/>
      <c r="H562" s="16"/>
      <c r="I562" s="16"/>
      <c r="J562" s="22"/>
      <c r="K562" s="16"/>
      <c r="L562" s="16"/>
      <c r="M562" s="16"/>
      <c r="N562" s="19"/>
      <c r="O562" s="19"/>
      <c r="P562" s="19"/>
      <c r="Q562" s="19"/>
      <c r="R562" s="19"/>
      <c r="S562" s="19"/>
      <c r="T562" s="19"/>
      <c r="U562" s="19"/>
      <c r="V562" s="19"/>
      <c r="W562" s="20"/>
      <c r="X562" s="43"/>
    </row>
    <row r="563" spans="1:24" ht="15.75" hidden="1" customHeight="1" x14ac:dyDescent="0.25">
      <c r="A563" s="16"/>
      <c r="B563" s="16" t="str">
        <f t="shared" si="2"/>
        <v/>
      </c>
      <c r="C563" s="16"/>
      <c r="D563" s="40"/>
      <c r="E563" s="16"/>
      <c r="F563" s="41"/>
      <c r="G563" s="16"/>
      <c r="H563" s="16"/>
      <c r="I563" s="16"/>
      <c r="J563" s="22"/>
      <c r="K563" s="16"/>
      <c r="L563" s="16"/>
      <c r="M563" s="16"/>
      <c r="N563" s="19"/>
      <c r="O563" s="19"/>
      <c r="P563" s="19"/>
      <c r="Q563" s="19"/>
      <c r="R563" s="19"/>
      <c r="S563" s="19"/>
      <c r="T563" s="19"/>
      <c r="U563" s="19"/>
      <c r="V563" s="19"/>
      <c r="W563" s="20"/>
      <c r="X563" s="43"/>
    </row>
    <row r="564" spans="1:24" ht="15.75" hidden="1" customHeight="1" x14ac:dyDescent="0.25">
      <c r="A564" s="16"/>
      <c r="B564" s="16" t="str">
        <f t="shared" si="2"/>
        <v/>
      </c>
      <c r="C564" s="16"/>
      <c r="D564" s="40"/>
      <c r="E564" s="16"/>
      <c r="F564" s="41"/>
      <c r="G564" s="16"/>
      <c r="H564" s="16"/>
      <c r="I564" s="16"/>
      <c r="J564" s="22"/>
      <c r="K564" s="16"/>
      <c r="L564" s="16"/>
      <c r="M564" s="16"/>
      <c r="N564" s="19"/>
      <c r="O564" s="19"/>
      <c r="P564" s="19"/>
      <c r="Q564" s="19"/>
      <c r="R564" s="19"/>
      <c r="S564" s="19"/>
      <c r="T564" s="19"/>
      <c r="U564" s="19"/>
      <c r="V564" s="19"/>
      <c r="W564" s="20"/>
      <c r="X564" s="43"/>
    </row>
    <row r="565" spans="1:24" ht="15.75" hidden="1" customHeight="1" x14ac:dyDescent="0.25">
      <c r="A565" s="16"/>
      <c r="B565" s="16" t="str">
        <f t="shared" si="2"/>
        <v/>
      </c>
      <c r="C565" s="16"/>
      <c r="D565" s="40"/>
      <c r="E565" s="16"/>
      <c r="F565" s="41"/>
      <c r="G565" s="16"/>
      <c r="H565" s="16"/>
      <c r="I565" s="16"/>
      <c r="J565" s="22"/>
      <c r="K565" s="16"/>
      <c r="L565" s="16"/>
      <c r="M565" s="16"/>
      <c r="N565" s="19"/>
      <c r="O565" s="19"/>
      <c r="P565" s="19"/>
      <c r="Q565" s="19"/>
      <c r="R565" s="19"/>
      <c r="S565" s="19"/>
      <c r="T565" s="19"/>
      <c r="U565" s="19"/>
      <c r="V565" s="19"/>
      <c r="W565" s="20"/>
      <c r="X565" s="43"/>
    </row>
    <row r="566" spans="1:24" ht="15.75" hidden="1" customHeight="1" x14ac:dyDescent="0.25">
      <c r="A566" s="16"/>
      <c r="B566" s="16" t="str">
        <f t="shared" si="2"/>
        <v/>
      </c>
      <c r="C566" s="16"/>
      <c r="D566" s="40"/>
      <c r="E566" s="16"/>
      <c r="F566" s="41"/>
      <c r="G566" s="16"/>
      <c r="H566" s="16"/>
      <c r="I566" s="16"/>
      <c r="J566" s="22"/>
      <c r="K566" s="16"/>
      <c r="L566" s="16"/>
      <c r="M566" s="16"/>
      <c r="N566" s="19"/>
      <c r="O566" s="19"/>
      <c r="P566" s="19"/>
      <c r="Q566" s="19"/>
      <c r="R566" s="19"/>
      <c r="S566" s="19"/>
      <c r="T566" s="19"/>
      <c r="U566" s="19"/>
      <c r="V566" s="19"/>
      <c r="W566" s="20"/>
      <c r="X566" s="43"/>
    </row>
    <row r="567" spans="1:24" ht="15.75" hidden="1" customHeight="1" x14ac:dyDescent="0.25">
      <c r="A567" s="16"/>
      <c r="B567" s="16" t="str">
        <f t="shared" si="2"/>
        <v/>
      </c>
      <c r="C567" s="16"/>
      <c r="D567" s="40"/>
      <c r="E567" s="16"/>
      <c r="F567" s="41"/>
      <c r="G567" s="16"/>
      <c r="H567" s="16"/>
      <c r="I567" s="16"/>
      <c r="J567" s="22"/>
      <c r="K567" s="16"/>
      <c r="L567" s="16"/>
      <c r="M567" s="16"/>
      <c r="N567" s="19"/>
      <c r="O567" s="19"/>
      <c r="P567" s="19"/>
      <c r="Q567" s="19"/>
      <c r="R567" s="19"/>
      <c r="S567" s="19"/>
      <c r="T567" s="19"/>
      <c r="U567" s="19"/>
      <c r="V567" s="19"/>
      <c r="W567" s="20"/>
      <c r="X567" s="43"/>
    </row>
    <row r="568" spans="1:24" ht="15.75" hidden="1" customHeight="1" x14ac:dyDescent="0.25">
      <c r="A568" s="16"/>
      <c r="B568" s="16" t="str">
        <f t="shared" si="2"/>
        <v/>
      </c>
      <c r="C568" s="16"/>
      <c r="D568" s="40"/>
      <c r="E568" s="16"/>
      <c r="F568" s="41"/>
      <c r="G568" s="16"/>
      <c r="H568" s="16"/>
      <c r="I568" s="16"/>
      <c r="J568" s="22"/>
      <c r="K568" s="16"/>
      <c r="L568" s="16"/>
      <c r="M568" s="16"/>
      <c r="N568" s="19"/>
      <c r="O568" s="19"/>
      <c r="P568" s="19"/>
      <c r="Q568" s="19"/>
      <c r="R568" s="19"/>
      <c r="S568" s="19"/>
      <c r="T568" s="19"/>
      <c r="U568" s="19"/>
      <c r="V568" s="19"/>
      <c r="W568" s="20"/>
      <c r="X568" s="43"/>
    </row>
    <row r="569" spans="1:24" ht="15.75" hidden="1" customHeight="1" x14ac:dyDescent="0.25">
      <c r="A569" s="16"/>
      <c r="B569" s="16" t="str">
        <f t="shared" si="2"/>
        <v/>
      </c>
      <c r="C569" s="16"/>
      <c r="D569" s="40"/>
      <c r="E569" s="16"/>
      <c r="F569" s="41"/>
      <c r="G569" s="16"/>
      <c r="H569" s="16"/>
      <c r="I569" s="16"/>
      <c r="J569" s="22"/>
      <c r="K569" s="16"/>
      <c r="L569" s="16"/>
      <c r="M569" s="16"/>
      <c r="N569" s="19"/>
      <c r="O569" s="19"/>
      <c r="P569" s="19"/>
      <c r="Q569" s="19"/>
      <c r="R569" s="19"/>
      <c r="S569" s="19"/>
      <c r="T569" s="19"/>
      <c r="U569" s="19"/>
      <c r="V569" s="19"/>
      <c r="W569" s="20"/>
      <c r="X569" s="43"/>
    </row>
    <row r="570" spans="1:24" ht="15.75" hidden="1" customHeight="1" x14ac:dyDescent="0.25">
      <c r="A570" s="16"/>
      <c r="B570" s="16" t="str">
        <f t="shared" si="2"/>
        <v/>
      </c>
      <c r="C570" s="16"/>
      <c r="D570" s="40"/>
      <c r="E570" s="16"/>
      <c r="F570" s="41"/>
      <c r="G570" s="16"/>
      <c r="H570" s="16"/>
      <c r="I570" s="16"/>
      <c r="J570" s="22"/>
      <c r="K570" s="16"/>
      <c r="L570" s="16"/>
      <c r="M570" s="16"/>
      <c r="N570" s="19"/>
      <c r="O570" s="19"/>
      <c r="P570" s="19"/>
      <c r="Q570" s="19"/>
      <c r="R570" s="19"/>
      <c r="S570" s="19"/>
      <c r="T570" s="19"/>
      <c r="U570" s="19"/>
      <c r="V570" s="19"/>
      <c r="W570" s="20"/>
      <c r="X570" s="43"/>
    </row>
    <row r="571" spans="1:24" ht="15.75" hidden="1" customHeight="1" x14ac:dyDescent="0.25">
      <c r="A571" s="16"/>
      <c r="B571" s="16" t="str">
        <f t="shared" si="2"/>
        <v/>
      </c>
      <c r="C571" s="16"/>
      <c r="D571" s="40"/>
      <c r="E571" s="16"/>
      <c r="F571" s="41"/>
      <c r="G571" s="16"/>
      <c r="H571" s="16"/>
      <c r="I571" s="16"/>
      <c r="J571" s="22"/>
      <c r="K571" s="16"/>
      <c r="L571" s="16"/>
      <c r="M571" s="16"/>
      <c r="N571" s="19"/>
      <c r="O571" s="19"/>
      <c r="P571" s="19"/>
      <c r="Q571" s="19"/>
      <c r="R571" s="19"/>
      <c r="S571" s="19"/>
      <c r="T571" s="19"/>
      <c r="U571" s="19"/>
      <c r="V571" s="19"/>
      <c r="W571" s="20"/>
      <c r="X571" s="43"/>
    </row>
    <row r="572" spans="1:24" ht="15.75" hidden="1" customHeight="1" x14ac:dyDescent="0.25">
      <c r="A572" s="16"/>
      <c r="B572" s="16" t="str">
        <f t="shared" si="2"/>
        <v/>
      </c>
      <c r="C572" s="16"/>
      <c r="D572" s="40"/>
      <c r="E572" s="16"/>
      <c r="F572" s="41"/>
      <c r="G572" s="16"/>
      <c r="H572" s="16"/>
      <c r="I572" s="16"/>
      <c r="J572" s="22"/>
      <c r="K572" s="16"/>
      <c r="L572" s="16"/>
      <c r="M572" s="16"/>
      <c r="N572" s="19"/>
      <c r="O572" s="19"/>
      <c r="P572" s="19"/>
      <c r="Q572" s="19"/>
      <c r="R572" s="19"/>
      <c r="S572" s="19"/>
      <c r="T572" s="19"/>
      <c r="U572" s="19"/>
      <c r="V572" s="19"/>
      <c r="W572" s="20"/>
      <c r="X572" s="43"/>
    </row>
    <row r="573" spans="1:24" ht="15.75" hidden="1" customHeight="1" x14ac:dyDescent="0.25">
      <c r="A573" s="16"/>
      <c r="B573" s="16" t="str">
        <f t="shared" si="2"/>
        <v/>
      </c>
      <c r="C573" s="16"/>
      <c r="D573" s="40"/>
      <c r="E573" s="16"/>
      <c r="F573" s="41"/>
      <c r="G573" s="16"/>
      <c r="H573" s="16"/>
      <c r="I573" s="16"/>
      <c r="J573" s="22"/>
      <c r="K573" s="16"/>
      <c r="L573" s="16"/>
      <c r="M573" s="16"/>
      <c r="N573" s="19"/>
      <c r="O573" s="19"/>
      <c r="P573" s="19"/>
      <c r="Q573" s="19"/>
      <c r="R573" s="19"/>
      <c r="S573" s="19"/>
      <c r="T573" s="19"/>
      <c r="U573" s="19"/>
      <c r="V573" s="19"/>
      <c r="W573" s="20"/>
      <c r="X573" s="43"/>
    </row>
    <row r="574" spans="1:24" ht="15.75" hidden="1" customHeight="1" x14ac:dyDescent="0.25">
      <c r="A574" s="16"/>
      <c r="B574" s="16" t="str">
        <f t="shared" si="2"/>
        <v/>
      </c>
      <c r="C574" s="16"/>
      <c r="D574" s="40"/>
      <c r="E574" s="16"/>
      <c r="F574" s="41"/>
      <c r="G574" s="16"/>
      <c r="H574" s="16"/>
      <c r="I574" s="16"/>
      <c r="J574" s="22"/>
      <c r="K574" s="16"/>
      <c r="L574" s="16"/>
      <c r="M574" s="16"/>
      <c r="N574" s="19"/>
      <c r="O574" s="19"/>
      <c r="P574" s="19"/>
      <c r="Q574" s="19"/>
      <c r="R574" s="19"/>
      <c r="S574" s="19"/>
      <c r="T574" s="19"/>
      <c r="U574" s="19"/>
      <c r="V574" s="19"/>
      <c r="W574" s="20"/>
      <c r="X574" s="43"/>
    </row>
    <row r="575" spans="1:24" ht="15.75" hidden="1" customHeight="1" x14ac:dyDescent="0.25">
      <c r="A575" s="16"/>
      <c r="B575" s="16" t="str">
        <f t="shared" si="2"/>
        <v/>
      </c>
      <c r="C575" s="16"/>
      <c r="D575" s="40"/>
      <c r="E575" s="16"/>
      <c r="F575" s="41"/>
      <c r="G575" s="16"/>
      <c r="H575" s="16"/>
      <c r="I575" s="16"/>
      <c r="J575" s="22"/>
      <c r="K575" s="16"/>
      <c r="L575" s="16"/>
      <c r="M575" s="16"/>
      <c r="N575" s="19"/>
      <c r="O575" s="19"/>
      <c r="P575" s="19"/>
      <c r="Q575" s="19"/>
      <c r="R575" s="19"/>
      <c r="S575" s="19"/>
      <c r="T575" s="19"/>
      <c r="U575" s="19"/>
      <c r="V575" s="19"/>
      <c r="W575" s="20"/>
      <c r="X575" s="43"/>
    </row>
    <row r="576" spans="1:24" ht="15.75" hidden="1" customHeight="1" x14ac:dyDescent="0.25">
      <c r="A576" s="16"/>
      <c r="B576" s="16" t="str">
        <f t="shared" si="2"/>
        <v/>
      </c>
      <c r="C576" s="16"/>
      <c r="D576" s="40"/>
      <c r="E576" s="16"/>
      <c r="F576" s="41"/>
      <c r="G576" s="16"/>
      <c r="H576" s="16"/>
      <c r="I576" s="16"/>
      <c r="J576" s="22"/>
      <c r="K576" s="16"/>
      <c r="L576" s="16"/>
      <c r="M576" s="16"/>
      <c r="N576" s="19"/>
      <c r="O576" s="19"/>
      <c r="P576" s="19"/>
      <c r="Q576" s="19"/>
      <c r="R576" s="19"/>
      <c r="S576" s="19"/>
      <c r="T576" s="19"/>
      <c r="U576" s="19"/>
      <c r="V576" s="19"/>
      <c r="W576" s="20"/>
      <c r="X576" s="43"/>
    </row>
    <row r="577" spans="1:24" ht="15.75" hidden="1" customHeight="1" x14ac:dyDescent="0.25">
      <c r="A577" s="16"/>
      <c r="B577" s="16" t="str">
        <f t="shared" si="2"/>
        <v/>
      </c>
      <c r="C577" s="16"/>
      <c r="D577" s="40"/>
      <c r="E577" s="16"/>
      <c r="F577" s="41"/>
      <c r="G577" s="16"/>
      <c r="H577" s="16"/>
      <c r="I577" s="16"/>
      <c r="J577" s="22"/>
      <c r="K577" s="16"/>
      <c r="L577" s="16"/>
      <c r="M577" s="16"/>
      <c r="N577" s="19"/>
      <c r="O577" s="19"/>
      <c r="P577" s="19"/>
      <c r="Q577" s="19"/>
      <c r="R577" s="19"/>
      <c r="S577" s="19"/>
      <c r="T577" s="19"/>
      <c r="U577" s="19"/>
      <c r="V577" s="19"/>
      <c r="W577" s="20"/>
      <c r="X577" s="43"/>
    </row>
    <row r="578" spans="1:24" ht="15.75" hidden="1" customHeight="1" x14ac:dyDescent="0.25">
      <c r="A578" s="16"/>
      <c r="B578" s="16" t="str">
        <f t="shared" si="2"/>
        <v/>
      </c>
      <c r="C578" s="16"/>
      <c r="D578" s="40"/>
      <c r="E578" s="16"/>
      <c r="F578" s="41"/>
      <c r="G578" s="16"/>
      <c r="H578" s="16"/>
      <c r="I578" s="16"/>
      <c r="J578" s="22"/>
      <c r="K578" s="16"/>
      <c r="L578" s="16"/>
      <c r="M578" s="16"/>
      <c r="N578" s="19"/>
      <c r="O578" s="19"/>
      <c r="P578" s="19"/>
      <c r="Q578" s="19"/>
      <c r="R578" s="19"/>
      <c r="S578" s="19"/>
      <c r="T578" s="19"/>
      <c r="U578" s="19"/>
      <c r="V578" s="19"/>
      <c r="W578" s="20"/>
      <c r="X578" s="43"/>
    </row>
    <row r="579" spans="1:24" ht="15.75" hidden="1" customHeight="1" x14ac:dyDescent="0.25">
      <c r="A579" s="16"/>
      <c r="B579" s="16" t="str">
        <f t="shared" si="2"/>
        <v/>
      </c>
      <c r="C579" s="16"/>
      <c r="D579" s="40"/>
      <c r="E579" s="16"/>
      <c r="F579" s="41"/>
      <c r="G579" s="16"/>
      <c r="H579" s="16"/>
      <c r="I579" s="16"/>
      <c r="J579" s="22"/>
      <c r="K579" s="16"/>
      <c r="L579" s="16"/>
      <c r="M579" s="16"/>
      <c r="N579" s="19"/>
      <c r="O579" s="19"/>
      <c r="P579" s="19"/>
      <c r="Q579" s="19"/>
      <c r="R579" s="19"/>
      <c r="S579" s="19"/>
      <c r="T579" s="19"/>
      <c r="U579" s="19"/>
      <c r="V579" s="19"/>
      <c r="W579" s="20"/>
      <c r="X579" s="43"/>
    </row>
    <row r="580" spans="1:24" ht="15.75" hidden="1" customHeight="1" x14ac:dyDescent="0.25">
      <c r="A580" s="16"/>
      <c r="B580" s="16" t="str">
        <f t="shared" si="2"/>
        <v/>
      </c>
      <c r="C580" s="16"/>
      <c r="D580" s="40"/>
      <c r="E580" s="16"/>
      <c r="F580" s="41"/>
      <c r="G580" s="16"/>
      <c r="H580" s="16"/>
      <c r="I580" s="16"/>
      <c r="J580" s="22"/>
      <c r="K580" s="16"/>
      <c r="L580" s="16"/>
      <c r="M580" s="16"/>
      <c r="N580" s="19"/>
      <c r="O580" s="19"/>
      <c r="P580" s="19"/>
      <c r="Q580" s="19"/>
      <c r="R580" s="19"/>
      <c r="S580" s="19"/>
      <c r="T580" s="19"/>
      <c r="U580" s="19"/>
      <c r="V580" s="19"/>
      <c r="W580" s="20"/>
      <c r="X580" s="43"/>
    </row>
    <row r="581" spans="1:24" ht="15.75" hidden="1" customHeight="1" x14ac:dyDescent="0.25">
      <c r="A581" s="16"/>
      <c r="B581" s="16" t="str">
        <f t="shared" si="2"/>
        <v/>
      </c>
      <c r="C581" s="16"/>
      <c r="D581" s="40"/>
      <c r="E581" s="16"/>
      <c r="F581" s="41"/>
      <c r="G581" s="16"/>
      <c r="H581" s="16"/>
      <c r="I581" s="16"/>
      <c r="J581" s="22"/>
      <c r="K581" s="16"/>
      <c r="L581" s="16"/>
      <c r="M581" s="16"/>
      <c r="N581" s="19"/>
      <c r="O581" s="19"/>
      <c r="P581" s="19"/>
      <c r="Q581" s="19"/>
      <c r="R581" s="19"/>
      <c r="S581" s="19"/>
      <c r="T581" s="19"/>
      <c r="U581" s="19"/>
      <c r="V581" s="19"/>
      <c r="W581" s="20"/>
      <c r="X581" s="43"/>
    </row>
    <row r="582" spans="1:24" ht="15.75" hidden="1" customHeight="1" x14ac:dyDescent="0.25">
      <c r="A582" s="16"/>
      <c r="B582" s="16" t="str">
        <f t="shared" si="2"/>
        <v/>
      </c>
      <c r="C582" s="16"/>
      <c r="D582" s="40"/>
      <c r="E582" s="16"/>
      <c r="F582" s="41"/>
      <c r="G582" s="16"/>
      <c r="H582" s="16"/>
      <c r="I582" s="16"/>
      <c r="J582" s="22"/>
      <c r="K582" s="16"/>
      <c r="L582" s="16"/>
      <c r="M582" s="16"/>
      <c r="N582" s="19"/>
      <c r="O582" s="19"/>
      <c r="P582" s="19"/>
      <c r="Q582" s="19"/>
      <c r="R582" s="19"/>
      <c r="S582" s="19"/>
      <c r="T582" s="19"/>
      <c r="U582" s="19"/>
      <c r="V582" s="19"/>
      <c r="W582" s="20"/>
      <c r="X582" s="43"/>
    </row>
    <row r="583" spans="1:24" ht="15.75" hidden="1" customHeight="1" x14ac:dyDescent="0.25">
      <c r="A583" s="16"/>
      <c r="B583" s="16" t="str">
        <f t="shared" si="2"/>
        <v/>
      </c>
      <c r="C583" s="16"/>
      <c r="D583" s="40"/>
      <c r="E583" s="16"/>
      <c r="F583" s="41"/>
      <c r="G583" s="16"/>
      <c r="H583" s="16"/>
      <c r="I583" s="16"/>
      <c r="J583" s="22"/>
      <c r="K583" s="16"/>
      <c r="L583" s="16"/>
      <c r="M583" s="16"/>
      <c r="N583" s="19"/>
      <c r="O583" s="19"/>
      <c r="P583" s="19"/>
      <c r="Q583" s="19"/>
      <c r="R583" s="19"/>
      <c r="S583" s="19"/>
      <c r="T583" s="19"/>
      <c r="U583" s="19"/>
      <c r="V583" s="19"/>
      <c r="W583" s="20"/>
      <c r="X583" s="43"/>
    </row>
    <row r="584" spans="1:24" ht="15.75" hidden="1" customHeight="1" x14ac:dyDescent="0.25">
      <c r="A584" s="16"/>
      <c r="B584" s="16" t="str">
        <f t="shared" si="2"/>
        <v/>
      </c>
      <c r="C584" s="16"/>
      <c r="D584" s="40"/>
      <c r="E584" s="16"/>
      <c r="F584" s="41"/>
      <c r="G584" s="16"/>
      <c r="H584" s="16"/>
      <c r="I584" s="16"/>
      <c r="J584" s="22"/>
      <c r="K584" s="16"/>
      <c r="L584" s="16"/>
      <c r="M584" s="16"/>
      <c r="N584" s="19"/>
      <c r="O584" s="19"/>
      <c r="P584" s="19"/>
      <c r="Q584" s="19"/>
      <c r="R584" s="19"/>
      <c r="S584" s="19"/>
      <c r="T584" s="19"/>
      <c r="U584" s="19"/>
      <c r="V584" s="19"/>
      <c r="W584" s="20"/>
      <c r="X584" s="43"/>
    </row>
    <row r="585" spans="1:24" ht="15.75" hidden="1" customHeight="1" x14ac:dyDescent="0.25">
      <c r="A585" s="16"/>
      <c r="B585" s="16" t="str">
        <f t="shared" si="2"/>
        <v/>
      </c>
      <c r="C585" s="16"/>
      <c r="D585" s="40"/>
      <c r="E585" s="16"/>
      <c r="F585" s="41"/>
      <c r="G585" s="16"/>
      <c r="H585" s="16"/>
      <c r="I585" s="16"/>
      <c r="J585" s="22"/>
      <c r="K585" s="16"/>
      <c r="L585" s="16"/>
      <c r="M585" s="16"/>
      <c r="N585" s="19"/>
      <c r="O585" s="19"/>
      <c r="P585" s="19"/>
      <c r="Q585" s="19"/>
      <c r="R585" s="19"/>
      <c r="S585" s="19"/>
      <c r="T585" s="19"/>
      <c r="U585" s="19"/>
      <c r="V585" s="19"/>
      <c r="W585" s="20"/>
      <c r="X585" s="43"/>
    </row>
    <row r="586" spans="1:24" ht="15.75" hidden="1" customHeight="1" x14ac:dyDescent="0.25">
      <c r="A586" s="16"/>
      <c r="B586" s="16" t="str">
        <f t="shared" si="2"/>
        <v/>
      </c>
      <c r="C586" s="16"/>
      <c r="D586" s="40"/>
      <c r="E586" s="16"/>
      <c r="F586" s="41"/>
      <c r="G586" s="16"/>
      <c r="H586" s="16"/>
      <c r="I586" s="16"/>
      <c r="J586" s="22"/>
      <c r="K586" s="16"/>
      <c r="L586" s="16"/>
      <c r="M586" s="16"/>
      <c r="N586" s="19"/>
      <c r="O586" s="19"/>
      <c r="P586" s="19"/>
      <c r="Q586" s="19"/>
      <c r="R586" s="19"/>
      <c r="S586" s="19"/>
      <c r="T586" s="19"/>
      <c r="U586" s="19"/>
      <c r="V586" s="19"/>
      <c r="W586" s="20"/>
      <c r="X586" s="43"/>
    </row>
    <row r="587" spans="1:24" ht="15.75" hidden="1" customHeight="1" x14ac:dyDescent="0.25">
      <c r="A587" s="16"/>
      <c r="B587" s="16" t="str">
        <f t="shared" si="2"/>
        <v/>
      </c>
      <c r="C587" s="16"/>
      <c r="D587" s="40"/>
      <c r="E587" s="16"/>
      <c r="F587" s="41"/>
      <c r="G587" s="16"/>
      <c r="H587" s="16"/>
      <c r="I587" s="16"/>
      <c r="J587" s="22"/>
      <c r="K587" s="16"/>
      <c r="L587" s="16"/>
      <c r="M587" s="16"/>
      <c r="N587" s="19"/>
      <c r="O587" s="19"/>
      <c r="P587" s="19"/>
      <c r="Q587" s="19"/>
      <c r="R587" s="19"/>
      <c r="S587" s="19"/>
      <c r="T587" s="19"/>
      <c r="U587" s="19"/>
      <c r="V587" s="19"/>
      <c r="W587" s="20"/>
      <c r="X587" s="43"/>
    </row>
    <row r="588" spans="1:24" ht="15.75" hidden="1" customHeight="1" x14ac:dyDescent="0.25">
      <c r="A588" s="16"/>
      <c r="B588" s="16" t="str">
        <f t="shared" si="2"/>
        <v/>
      </c>
      <c r="C588" s="16"/>
      <c r="D588" s="40"/>
      <c r="E588" s="16"/>
      <c r="F588" s="41"/>
      <c r="G588" s="16"/>
      <c r="H588" s="16"/>
      <c r="I588" s="16"/>
      <c r="J588" s="22"/>
      <c r="K588" s="16"/>
      <c r="L588" s="16"/>
      <c r="M588" s="16"/>
      <c r="N588" s="19"/>
      <c r="O588" s="19"/>
      <c r="P588" s="19"/>
      <c r="Q588" s="19"/>
      <c r="R588" s="19"/>
      <c r="S588" s="19"/>
      <c r="T588" s="19"/>
      <c r="U588" s="19"/>
      <c r="V588" s="19"/>
      <c r="W588" s="20"/>
      <c r="X588" s="43"/>
    </row>
    <row r="589" spans="1:24" ht="15.75" hidden="1" customHeight="1" x14ac:dyDescent="0.25">
      <c r="A589" s="16"/>
      <c r="B589" s="16" t="str">
        <f t="shared" si="2"/>
        <v/>
      </c>
      <c r="C589" s="16"/>
      <c r="D589" s="40"/>
      <c r="E589" s="16"/>
      <c r="F589" s="41"/>
      <c r="G589" s="16"/>
      <c r="H589" s="16"/>
      <c r="I589" s="16"/>
      <c r="J589" s="22"/>
      <c r="K589" s="16"/>
      <c r="L589" s="16"/>
      <c r="M589" s="16"/>
      <c r="N589" s="19"/>
      <c r="O589" s="19"/>
      <c r="P589" s="19"/>
      <c r="Q589" s="19"/>
      <c r="R589" s="19"/>
      <c r="S589" s="19"/>
      <c r="T589" s="19"/>
      <c r="U589" s="19"/>
      <c r="V589" s="19"/>
      <c r="W589" s="20"/>
      <c r="X589" s="43"/>
    </row>
    <row r="590" spans="1:24" ht="15.75" hidden="1" customHeight="1" x14ac:dyDescent="0.25">
      <c r="A590" s="16"/>
      <c r="B590" s="16" t="str">
        <f t="shared" si="2"/>
        <v/>
      </c>
      <c r="C590" s="16"/>
      <c r="D590" s="40"/>
      <c r="E590" s="16"/>
      <c r="F590" s="41"/>
      <c r="G590" s="16"/>
      <c r="H590" s="16"/>
      <c r="I590" s="16"/>
      <c r="J590" s="22"/>
      <c r="K590" s="16"/>
      <c r="L590" s="16"/>
      <c r="M590" s="16"/>
      <c r="N590" s="19"/>
      <c r="O590" s="19"/>
      <c r="P590" s="19"/>
      <c r="Q590" s="19"/>
      <c r="R590" s="19"/>
      <c r="S590" s="19"/>
      <c r="T590" s="19"/>
      <c r="U590" s="19"/>
      <c r="V590" s="19"/>
      <c r="W590" s="20"/>
      <c r="X590" s="43"/>
    </row>
    <row r="591" spans="1:24" ht="15.75" hidden="1" customHeight="1" x14ac:dyDescent="0.25">
      <c r="A591" s="16"/>
      <c r="B591" s="16" t="str">
        <f t="shared" si="2"/>
        <v/>
      </c>
      <c r="C591" s="16"/>
      <c r="D591" s="40"/>
      <c r="E591" s="16"/>
      <c r="F591" s="41"/>
      <c r="G591" s="16"/>
      <c r="H591" s="16"/>
      <c r="I591" s="16"/>
      <c r="J591" s="22"/>
      <c r="K591" s="16"/>
      <c r="L591" s="16"/>
      <c r="M591" s="16"/>
      <c r="N591" s="19"/>
      <c r="O591" s="19"/>
      <c r="P591" s="19"/>
      <c r="Q591" s="19"/>
      <c r="R591" s="19"/>
      <c r="S591" s="19"/>
      <c r="T591" s="19"/>
      <c r="U591" s="19"/>
      <c r="V591" s="19"/>
      <c r="W591" s="20"/>
      <c r="X591" s="43"/>
    </row>
    <row r="592" spans="1:24" ht="15.75" hidden="1" customHeight="1" x14ac:dyDescent="0.25">
      <c r="A592" s="16"/>
      <c r="B592" s="16" t="str">
        <f t="shared" si="2"/>
        <v/>
      </c>
      <c r="C592" s="16"/>
      <c r="D592" s="40"/>
      <c r="E592" s="16"/>
      <c r="F592" s="41"/>
      <c r="G592" s="16"/>
      <c r="H592" s="16"/>
      <c r="I592" s="16"/>
      <c r="J592" s="22"/>
      <c r="K592" s="16"/>
      <c r="L592" s="16"/>
      <c r="M592" s="16"/>
      <c r="N592" s="19"/>
      <c r="O592" s="19"/>
      <c r="P592" s="19"/>
      <c r="Q592" s="19"/>
      <c r="R592" s="19"/>
      <c r="S592" s="19"/>
      <c r="T592" s="19"/>
      <c r="U592" s="19"/>
      <c r="V592" s="19"/>
      <c r="W592" s="20"/>
      <c r="X592" s="43"/>
    </row>
    <row r="593" spans="1:24" ht="15.75" hidden="1" customHeight="1" x14ac:dyDescent="0.25">
      <c r="A593" s="16"/>
      <c r="B593" s="16" t="str">
        <f t="shared" si="2"/>
        <v/>
      </c>
      <c r="C593" s="16"/>
      <c r="D593" s="40"/>
      <c r="E593" s="16"/>
      <c r="F593" s="41"/>
      <c r="G593" s="16"/>
      <c r="H593" s="16"/>
      <c r="I593" s="16"/>
      <c r="J593" s="22"/>
      <c r="K593" s="16"/>
      <c r="L593" s="16"/>
      <c r="M593" s="16"/>
      <c r="N593" s="19"/>
      <c r="O593" s="19"/>
      <c r="P593" s="19"/>
      <c r="Q593" s="19"/>
      <c r="R593" s="19"/>
      <c r="S593" s="19"/>
      <c r="T593" s="19"/>
      <c r="U593" s="19"/>
      <c r="V593" s="19"/>
      <c r="W593" s="20"/>
      <c r="X593" s="43"/>
    </row>
    <row r="594" spans="1:24" ht="15.75" hidden="1" customHeight="1" x14ac:dyDescent="0.25">
      <c r="A594" s="16"/>
      <c r="B594" s="16" t="str">
        <f t="shared" si="2"/>
        <v/>
      </c>
      <c r="C594" s="16"/>
      <c r="D594" s="40"/>
      <c r="E594" s="16"/>
      <c r="F594" s="41"/>
      <c r="G594" s="16"/>
      <c r="H594" s="16"/>
      <c r="I594" s="16"/>
      <c r="J594" s="22"/>
      <c r="K594" s="16"/>
      <c r="L594" s="16"/>
      <c r="M594" s="16"/>
      <c r="N594" s="19"/>
      <c r="O594" s="19"/>
      <c r="P594" s="19"/>
      <c r="Q594" s="19"/>
      <c r="R594" s="19"/>
      <c r="S594" s="19"/>
      <c r="T594" s="19"/>
      <c r="U594" s="19"/>
      <c r="V594" s="19"/>
      <c r="W594" s="20"/>
      <c r="X594" s="43"/>
    </row>
    <row r="595" spans="1:24" ht="15.75" hidden="1" customHeight="1" x14ac:dyDescent="0.25">
      <c r="A595" s="16"/>
      <c r="B595" s="16" t="str">
        <f t="shared" si="2"/>
        <v/>
      </c>
      <c r="C595" s="16"/>
      <c r="D595" s="40"/>
      <c r="E595" s="16"/>
      <c r="F595" s="41"/>
      <c r="G595" s="16"/>
      <c r="H595" s="16"/>
      <c r="I595" s="16"/>
      <c r="J595" s="22"/>
      <c r="K595" s="16"/>
      <c r="L595" s="16"/>
      <c r="M595" s="16"/>
      <c r="N595" s="19"/>
      <c r="O595" s="19"/>
      <c r="P595" s="19"/>
      <c r="Q595" s="19"/>
      <c r="R595" s="19"/>
      <c r="S595" s="19"/>
      <c r="T595" s="19"/>
      <c r="U595" s="19"/>
      <c r="V595" s="19"/>
      <c r="W595" s="20"/>
      <c r="X595" s="43"/>
    </row>
    <row r="596" spans="1:24" ht="15.75" hidden="1" customHeight="1" x14ac:dyDescent="0.25">
      <c r="A596" s="16"/>
      <c r="B596" s="16" t="str">
        <f t="shared" si="2"/>
        <v/>
      </c>
      <c r="C596" s="16"/>
      <c r="D596" s="40"/>
      <c r="E596" s="16"/>
      <c r="F596" s="41"/>
      <c r="G596" s="16"/>
      <c r="H596" s="16"/>
      <c r="I596" s="16"/>
      <c r="J596" s="22"/>
      <c r="K596" s="16"/>
      <c r="L596" s="16"/>
      <c r="M596" s="16"/>
      <c r="N596" s="19"/>
      <c r="O596" s="19"/>
      <c r="P596" s="19"/>
      <c r="Q596" s="19"/>
      <c r="R596" s="19"/>
      <c r="S596" s="19"/>
      <c r="T596" s="19"/>
      <c r="U596" s="19"/>
      <c r="V596" s="19"/>
      <c r="W596" s="20"/>
      <c r="X596" s="43"/>
    </row>
    <row r="597" spans="1:24" ht="15.75" hidden="1" customHeight="1" x14ac:dyDescent="0.25">
      <c r="A597" s="16"/>
      <c r="B597" s="16" t="str">
        <f t="shared" si="2"/>
        <v/>
      </c>
      <c r="C597" s="16"/>
      <c r="D597" s="40"/>
      <c r="E597" s="16"/>
      <c r="F597" s="41"/>
      <c r="G597" s="16"/>
      <c r="H597" s="16"/>
      <c r="I597" s="16"/>
      <c r="J597" s="22"/>
      <c r="K597" s="16"/>
      <c r="L597" s="16"/>
      <c r="M597" s="16"/>
      <c r="N597" s="19"/>
      <c r="O597" s="19"/>
      <c r="P597" s="19"/>
      <c r="Q597" s="19"/>
      <c r="R597" s="19"/>
      <c r="S597" s="19"/>
      <c r="T597" s="19"/>
      <c r="U597" s="19"/>
      <c r="V597" s="19"/>
      <c r="W597" s="20"/>
      <c r="X597" s="43"/>
    </row>
    <row r="598" spans="1:24" ht="15.75" hidden="1" customHeight="1" x14ac:dyDescent="0.25">
      <c r="A598" s="16"/>
      <c r="B598" s="16" t="str">
        <f t="shared" si="2"/>
        <v/>
      </c>
      <c r="C598" s="16"/>
      <c r="D598" s="40"/>
      <c r="E598" s="16"/>
      <c r="F598" s="41"/>
      <c r="G598" s="16"/>
      <c r="H598" s="16"/>
      <c r="I598" s="16"/>
      <c r="J598" s="22"/>
      <c r="K598" s="16"/>
      <c r="L598" s="16"/>
      <c r="M598" s="16"/>
      <c r="N598" s="19"/>
      <c r="O598" s="19"/>
      <c r="P598" s="19"/>
      <c r="Q598" s="19"/>
      <c r="R598" s="19"/>
      <c r="S598" s="19"/>
      <c r="T598" s="19"/>
      <c r="U598" s="19"/>
      <c r="V598" s="19"/>
      <c r="W598" s="20"/>
      <c r="X598" s="43"/>
    </row>
    <row r="599" spans="1:24" ht="15.75" hidden="1" customHeight="1" x14ac:dyDescent="0.25">
      <c r="A599" s="16"/>
      <c r="B599" s="16" t="str">
        <f t="shared" si="2"/>
        <v/>
      </c>
      <c r="C599" s="16"/>
      <c r="D599" s="40"/>
      <c r="E599" s="16"/>
      <c r="F599" s="41"/>
      <c r="G599" s="16"/>
      <c r="H599" s="16"/>
      <c r="I599" s="16"/>
      <c r="J599" s="22"/>
      <c r="K599" s="16"/>
      <c r="L599" s="16"/>
      <c r="M599" s="16"/>
      <c r="N599" s="19"/>
      <c r="O599" s="19"/>
      <c r="P599" s="19"/>
      <c r="Q599" s="19"/>
      <c r="R599" s="19"/>
      <c r="S599" s="19"/>
      <c r="T599" s="19"/>
      <c r="U599" s="19"/>
      <c r="V599" s="19"/>
      <c r="W599" s="20"/>
      <c r="X599" s="43"/>
    </row>
    <row r="600" spans="1:24" ht="15.75" hidden="1" customHeight="1" x14ac:dyDescent="0.25">
      <c r="A600" s="16"/>
      <c r="B600" s="16" t="str">
        <f t="shared" si="2"/>
        <v/>
      </c>
      <c r="C600" s="16"/>
      <c r="D600" s="40"/>
      <c r="E600" s="16"/>
      <c r="F600" s="41"/>
      <c r="G600" s="16"/>
      <c r="H600" s="16"/>
      <c r="I600" s="16"/>
      <c r="J600" s="22"/>
      <c r="K600" s="16"/>
      <c r="L600" s="16"/>
      <c r="M600" s="16"/>
      <c r="N600" s="19"/>
      <c r="O600" s="19"/>
      <c r="P600" s="19"/>
      <c r="Q600" s="19"/>
      <c r="R600" s="19"/>
      <c r="S600" s="19"/>
      <c r="T600" s="19"/>
      <c r="U600" s="19"/>
      <c r="V600" s="19"/>
      <c r="W600" s="20"/>
      <c r="X600" s="43"/>
    </row>
    <row r="601" spans="1:24" ht="15.75" hidden="1" customHeight="1" x14ac:dyDescent="0.25">
      <c r="A601" s="16"/>
      <c r="B601" s="16" t="str">
        <f t="shared" si="2"/>
        <v/>
      </c>
      <c r="C601" s="16"/>
      <c r="D601" s="40"/>
      <c r="E601" s="16"/>
      <c r="F601" s="41"/>
      <c r="G601" s="16"/>
      <c r="H601" s="16"/>
      <c r="I601" s="16"/>
      <c r="J601" s="22"/>
      <c r="K601" s="16"/>
      <c r="L601" s="16"/>
      <c r="M601" s="16"/>
      <c r="N601" s="19"/>
      <c r="O601" s="19"/>
      <c r="P601" s="19"/>
      <c r="Q601" s="19"/>
      <c r="R601" s="19"/>
      <c r="S601" s="19"/>
      <c r="T601" s="19"/>
      <c r="U601" s="19"/>
      <c r="V601" s="19"/>
      <c r="W601" s="20"/>
      <c r="X601" s="43"/>
    </row>
    <row r="602" spans="1:24" ht="15.75" hidden="1" customHeight="1" x14ac:dyDescent="0.25">
      <c r="A602" s="16"/>
      <c r="B602" s="16" t="str">
        <f t="shared" si="2"/>
        <v/>
      </c>
      <c r="C602" s="16"/>
      <c r="D602" s="40"/>
      <c r="E602" s="16"/>
      <c r="F602" s="41"/>
      <c r="G602" s="16"/>
      <c r="H602" s="16"/>
      <c r="I602" s="16"/>
      <c r="J602" s="22"/>
      <c r="K602" s="16"/>
      <c r="L602" s="16"/>
      <c r="M602" s="16"/>
      <c r="N602" s="19"/>
      <c r="O602" s="19"/>
      <c r="P602" s="19"/>
      <c r="Q602" s="19"/>
      <c r="R602" s="19"/>
      <c r="S602" s="19"/>
      <c r="T602" s="19"/>
      <c r="U602" s="19"/>
      <c r="V602" s="19"/>
      <c r="W602" s="20"/>
      <c r="X602" s="43"/>
    </row>
    <row r="603" spans="1:24" ht="15.75" hidden="1" customHeight="1" x14ac:dyDescent="0.25">
      <c r="A603" s="16"/>
      <c r="B603" s="16" t="str">
        <f t="shared" si="2"/>
        <v/>
      </c>
      <c r="C603" s="16"/>
      <c r="D603" s="40"/>
      <c r="E603" s="16"/>
      <c r="F603" s="41"/>
      <c r="G603" s="16"/>
      <c r="H603" s="16"/>
      <c r="I603" s="16"/>
      <c r="J603" s="22"/>
      <c r="K603" s="16"/>
      <c r="L603" s="16"/>
      <c r="M603" s="16"/>
      <c r="N603" s="19"/>
      <c r="O603" s="19"/>
      <c r="P603" s="19"/>
      <c r="Q603" s="19"/>
      <c r="R603" s="19"/>
      <c r="S603" s="19"/>
      <c r="T603" s="19"/>
      <c r="U603" s="19"/>
      <c r="V603" s="19"/>
      <c r="W603" s="20"/>
      <c r="X603" s="43"/>
    </row>
    <row r="604" spans="1:24" ht="15.75" hidden="1" customHeight="1" x14ac:dyDescent="0.25">
      <c r="A604" s="16"/>
      <c r="B604" s="16" t="str">
        <f t="shared" si="2"/>
        <v/>
      </c>
      <c r="C604" s="16"/>
      <c r="D604" s="40"/>
      <c r="E604" s="16"/>
      <c r="F604" s="41"/>
      <c r="G604" s="16"/>
      <c r="H604" s="16"/>
      <c r="I604" s="16"/>
      <c r="J604" s="22"/>
      <c r="K604" s="16"/>
      <c r="L604" s="16"/>
      <c r="M604" s="16"/>
      <c r="N604" s="19"/>
      <c r="O604" s="19"/>
      <c r="P604" s="19"/>
      <c r="Q604" s="19"/>
      <c r="R604" s="19"/>
      <c r="S604" s="19"/>
      <c r="T604" s="19"/>
      <c r="U604" s="19"/>
      <c r="V604" s="19"/>
      <c r="W604" s="20"/>
      <c r="X604" s="43"/>
    </row>
    <row r="605" spans="1:24" ht="15.75" hidden="1" customHeight="1" x14ac:dyDescent="0.25">
      <c r="A605" s="16"/>
      <c r="B605" s="16" t="str">
        <f t="shared" si="2"/>
        <v/>
      </c>
      <c r="C605" s="16"/>
      <c r="D605" s="40"/>
      <c r="E605" s="16"/>
      <c r="F605" s="41"/>
      <c r="G605" s="16"/>
      <c r="H605" s="16"/>
      <c r="I605" s="16"/>
      <c r="J605" s="22"/>
      <c r="K605" s="16"/>
      <c r="L605" s="16"/>
      <c r="M605" s="16"/>
      <c r="N605" s="19"/>
      <c r="O605" s="19"/>
      <c r="P605" s="19"/>
      <c r="Q605" s="19"/>
      <c r="R605" s="19"/>
      <c r="S605" s="19"/>
      <c r="T605" s="19"/>
      <c r="U605" s="19"/>
      <c r="V605" s="19"/>
      <c r="W605" s="20"/>
      <c r="X605" s="43"/>
    </row>
    <row r="606" spans="1:24" ht="15.75" hidden="1" customHeight="1" x14ac:dyDescent="0.25">
      <c r="A606" s="16"/>
      <c r="B606" s="16" t="str">
        <f t="shared" si="2"/>
        <v/>
      </c>
      <c r="C606" s="16"/>
      <c r="D606" s="40"/>
      <c r="E606" s="16"/>
      <c r="F606" s="41"/>
      <c r="G606" s="16"/>
      <c r="H606" s="16"/>
      <c r="I606" s="16"/>
      <c r="J606" s="22"/>
      <c r="K606" s="16"/>
      <c r="L606" s="16"/>
      <c r="M606" s="16"/>
      <c r="N606" s="19"/>
      <c r="O606" s="19"/>
      <c r="P606" s="19"/>
      <c r="Q606" s="19"/>
      <c r="R606" s="19"/>
      <c r="S606" s="19"/>
      <c r="T606" s="19"/>
      <c r="U606" s="19"/>
      <c r="V606" s="19"/>
      <c r="W606" s="20"/>
      <c r="X606" s="43"/>
    </row>
    <row r="607" spans="1:24" ht="15.75" hidden="1" customHeight="1" x14ac:dyDescent="0.25">
      <c r="A607" s="16"/>
      <c r="B607" s="16" t="str">
        <f t="shared" si="2"/>
        <v/>
      </c>
      <c r="C607" s="16"/>
      <c r="D607" s="40"/>
      <c r="E607" s="16"/>
      <c r="F607" s="41"/>
      <c r="G607" s="16"/>
      <c r="H607" s="16"/>
      <c r="I607" s="16"/>
      <c r="J607" s="22"/>
      <c r="K607" s="16"/>
      <c r="L607" s="16"/>
      <c r="M607" s="16"/>
      <c r="N607" s="19"/>
      <c r="O607" s="19"/>
      <c r="P607" s="19"/>
      <c r="Q607" s="19"/>
      <c r="R607" s="19"/>
      <c r="S607" s="19"/>
      <c r="T607" s="19"/>
      <c r="U607" s="19"/>
      <c r="V607" s="19"/>
      <c r="W607" s="20"/>
      <c r="X607" s="43"/>
    </row>
    <row r="608" spans="1:24" ht="15.75" hidden="1" customHeight="1" x14ac:dyDescent="0.25">
      <c r="A608" s="16"/>
      <c r="B608" s="16" t="str">
        <f t="shared" si="2"/>
        <v/>
      </c>
      <c r="C608" s="16"/>
      <c r="D608" s="40"/>
      <c r="E608" s="16"/>
      <c r="F608" s="41"/>
      <c r="G608" s="16"/>
      <c r="H608" s="16"/>
      <c r="I608" s="16"/>
      <c r="J608" s="22"/>
      <c r="K608" s="16"/>
      <c r="L608" s="16"/>
      <c r="M608" s="16"/>
      <c r="N608" s="19"/>
      <c r="O608" s="19"/>
      <c r="P608" s="19"/>
      <c r="Q608" s="19"/>
      <c r="R608" s="19"/>
      <c r="S608" s="19"/>
      <c r="T608" s="19"/>
      <c r="U608" s="19"/>
      <c r="V608" s="19"/>
      <c r="W608" s="20"/>
      <c r="X608" s="43"/>
    </row>
    <row r="609" spans="1:24" ht="15.75" hidden="1" customHeight="1" x14ac:dyDescent="0.25">
      <c r="A609" s="16"/>
      <c r="B609" s="16" t="str">
        <f t="shared" si="2"/>
        <v/>
      </c>
      <c r="C609" s="16"/>
      <c r="D609" s="40"/>
      <c r="E609" s="16"/>
      <c r="F609" s="41"/>
      <c r="G609" s="16"/>
      <c r="H609" s="16"/>
      <c r="I609" s="16"/>
      <c r="J609" s="22"/>
      <c r="K609" s="16"/>
      <c r="L609" s="16"/>
      <c r="M609" s="16"/>
      <c r="N609" s="19"/>
      <c r="O609" s="19"/>
      <c r="P609" s="19"/>
      <c r="Q609" s="19"/>
      <c r="R609" s="19"/>
      <c r="S609" s="19"/>
      <c r="T609" s="19"/>
      <c r="U609" s="19"/>
      <c r="V609" s="19"/>
      <c r="W609" s="20"/>
      <c r="X609" s="43"/>
    </row>
    <row r="610" spans="1:24" ht="15.75" hidden="1" customHeight="1" x14ac:dyDescent="0.25">
      <c r="A610" s="16"/>
      <c r="B610" s="16" t="str">
        <f t="shared" si="2"/>
        <v/>
      </c>
      <c r="C610" s="16"/>
      <c r="D610" s="40"/>
      <c r="E610" s="16"/>
      <c r="F610" s="41"/>
      <c r="G610" s="16"/>
      <c r="H610" s="16"/>
      <c r="I610" s="16"/>
      <c r="J610" s="22"/>
      <c r="K610" s="16"/>
      <c r="L610" s="16"/>
      <c r="M610" s="16"/>
      <c r="N610" s="19"/>
      <c r="O610" s="19"/>
      <c r="P610" s="19"/>
      <c r="Q610" s="19"/>
      <c r="R610" s="19"/>
      <c r="S610" s="19"/>
      <c r="T610" s="19"/>
      <c r="U610" s="19"/>
      <c r="V610" s="19"/>
      <c r="W610" s="20"/>
      <c r="X610" s="43"/>
    </row>
    <row r="611" spans="1:24" ht="15.75" hidden="1" customHeight="1" x14ac:dyDescent="0.25">
      <c r="A611" s="16"/>
      <c r="B611" s="16" t="str">
        <f t="shared" si="2"/>
        <v/>
      </c>
      <c r="C611" s="16"/>
      <c r="D611" s="40"/>
      <c r="E611" s="16"/>
      <c r="F611" s="41"/>
      <c r="G611" s="16"/>
      <c r="H611" s="16"/>
      <c r="I611" s="16"/>
      <c r="J611" s="22"/>
      <c r="K611" s="16"/>
      <c r="L611" s="16"/>
      <c r="M611" s="16"/>
      <c r="N611" s="19"/>
      <c r="O611" s="19"/>
      <c r="P611" s="19"/>
      <c r="Q611" s="19"/>
      <c r="R611" s="19"/>
      <c r="S611" s="19"/>
      <c r="T611" s="19"/>
      <c r="U611" s="19"/>
      <c r="V611" s="19"/>
      <c r="W611" s="20"/>
      <c r="X611" s="43"/>
    </row>
    <row r="612" spans="1:24" ht="15.75" hidden="1" customHeight="1" x14ac:dyDescent="0.25">
      <c r="A612" s="16"/>
      <c r="B612" s="16" t="str">
        <f t="shared" si="2"/>
        <v/>
      </c>
      <c r="C612" s="16"/>
      <c r="D612" s="40"/>
      <c r="E612" s="16"/>
      <c r="F612" s="41"/>
      <c r="G612" s="16"/>
      <c r="H612" s="16"/>
      <c r="I612" s="16"/>
      <c r="J612" s="22"/>
      <c r="K612" s="16"/>
      <c r="L612" s="16"/>
      <c r="M612" s="16"/>
      <c r="N612" s="19"/>
      <c r="O612" s="19"/>
      <c r="P612" s="19"/>
      <c r="Q612" s="19"/>
      <c r="R612" s="19"/>
      <c r="S612" s="19"/>
      <c r="T612" s="19"/>
      <c r="U612" s="19"/>
      <c r="V612" s="19"/>
      <c r="W612" s="20"/>
      <c r="X612" s="43"/>
    </row>
    <row r="613" spans="1:24" ht="15.75" hidden="1" customHeight="1" x14ac:dyDescent="0.25">
      <c r="A613" s="16"/>
      <c r="B613" s="16" t="str">
        <f t="shared" si="2"/>
        <v/>
      </c>
      <c r="C613" s="16"/>
      <c r="D613" s="40"/>
      <c r="E613" s="16"/>
      <c r="F613" s="41"/>
      <c r="G613" s="16"/>
      <c r="H613" s="16"/>
      <c r="I613" s="16"/>
      <c r="J613" s="22"/>
      <c r="K613" s="16"/>
      <c r="L613" s="16"/>
      <c r="M613" s="16"/>
      <c r="N613" s="19"/>
      <c r="O613" s="19"/>
      <c r="P613" s="19"/>
      <c r="Q613" s="19"/>
      <c r="R613" s="19"/>
      <c r="S613" s="19"/>
      <c r="T613" s="19"/>
      <c r="U613" s="19"/>
      <c r="V613" s="19"/>
      <c r="W613" s="20"/>
      <c r="X613" s="43"/>
    </row>
    <row r="614" spans="1:24" ht="15.75" hidden="1" customHeight="1" x14ac:dyDescent="0.25">
      <c r="A614" s="16"/>
      <c r="B614" s="16" t="str">
        <f t="shared" si="2"/>
        <v/>
      </c>
      <c r="C614" s="16"/>
      <c r="D614" s="40"/>
      <c r="E614" s="16"/>
      <c r="F614" s="41"/>
      <c r="G614" s="16"/>
      <c r="H614" s="16"/>
      <c r="I614" s="16"/>
      <c r="J614" s="22"/>
      <c r="K614" s="16"/>
      <c r="L614" s="16"/>
      <c r="M614" s="16"/>
      <c r="N614" s="19"/>
      <c r="O614" s="19"/>
      <c r="P614" s="19"/>
      <c r="Q614" s="19"/>
      <c r="R614" s="19"/>
      <c r="S614" s="19"/>
      <c r="T614" s="19"/>
      <c r="U614" s="19"/>
      <c r="V614" s="19"/>
      <c r="W614" s="20"/>
      <c r="X614" s="43"/>
    </row>
    <row r="615" spans="1:24" ht="15.75" hidden="1" customHeight="1" x14ac:dyDescent="0.25">
      <c r="A615" s="16"/>
      <c r="B615" s="16" t="str">
        <f t="shared" si="2"/>
        <v/>
      </c>
      <c r="C615" s="16"/>
      <c r="D615" s="40"/>
      <c r="E615" s="16"/>
      <c r="F615" s="41"/>
      <c r="G615" s="16"/>
      <c r="H615" s="16"/>
      <c r="I615" s="16"/>
      <c r="J615" s="22"/>
      <c r="K615" s="16"/>
      <c r="L615" s="16"/>
      <c r="M615" s="16"/>
      <c r="N615" s="19"/>
      <c r="O615" s="19"/>
      <c r="P615" s="19"/>
      <c r="Q615" s="19"/>
      <c r="R615" s="19"/>
      <c r="S615" s="19"/>
      <c r="T615" s="19"/>
      <c r="U615" s="19"/>
      <c r="V615" s="19"/>
      <c r="W615" s="20"/>
      <c r="X615" s="43"/>
    </row>
    <row r="616" spans="1:24" ht="15.75" hidden="1" customHeight="1" x14ac:dyDescent="0.25">
      <c r="A616" s="16"/>
      <c r="B616" s="16" t="str">
        <f t="shared" si="2"/>
        <v/>
      </c>
      <c r="C616" s="16"/>
      <c r="D616" s="40"/>
      <c r="E616" s="16"/>
      <c r="F616" s="41"/>
      <c r="G616" s="16"/>
      <c r="H616" s="16"/>
      <c r="I616" s="16"/>
      <c r="J616" s="22"/>
      <c r="K616" s="16"/>
      <c r="L616" s="16"/>
      <c r="M616" s="16"/>
      <c r="N616" s="19"/>
      <c r="O616" s="19"/>
      <c r="P616" s="19"/>
      <c r="Q616" s="19"/>
      <c r="R616" s="19"/>
      <c r="S616" s="19"/>
      <c r="T616" s="19"/>
      <c r="U616" s="19"/>
      <c r="V616" s="19"/>
      <c r="W616" s="20"/>
      <c r="X616" s="43"/>
    </row>
    <row r="617" spans="1:24" ht="15.75" hidden="1" customHeight="1" x14ac:dyDescent="0.25">
      <c r="A617" s="16"/>
      <c r="B617" s="16" t="str">
        <f t="shared" si="2"/>
        <v/>
      </c>
      <c r="C617" s="16"/>
      <c r="D617" s="40"/>
      <c r="E617" s="16"/>
      <c r="F617" s="41"/>
      <c r="G617" s="16"/>
      <c r="H617" s="16"/>
      <c r="I617" s="16"/>
      <c r="J617" s="22"/>
      <c r="K617" s="16"/>
      <c r="L617" s="16"/>
      <c r="M617" s="16"/>
      <c r="N617" s="19"/>
      <c r="O617" s="19"/>
      <c r="P617" s="19"/>
      <c r="Q617" s="19"/>
      <c r="R617" s="19"/>
      <c r="S617" s="19"/>
      <c r="T617" s="19"/>
      <c r="U617" s="19"/>
      <c r="V617" s="19"/>
      <c r="W617" s="20"/>
      <c r="X617" s="43"/>
    </row>
    <row r="618" spans="1:24" ht="15.75" hidden="1" customHeight="1" x14ac:dyDescent="0.25">
      <c r="A618" s="16"/>
      <c r="B618" s="16" t="str">
        <f t="shared" si="2"/>
        <v/>
      </c>
      <c r="C618" s="16"/>
      <c r="D618" s="40"/>
      <c r="E618" s="16"/>
      <c r="F618" s="41"/>
      <c r="G618" s="16"/>
      <c r="H618" s="16"/>
      <c r="I618" s="16"/>
      <c r="J618" s="22"/>
      <c r="K618" s="16"/>
      <c r="L618" s="16"/>
      <c r="M618" s="16"/>
      <c r="N618" s="19"/>
      <c r="O618" s="19"/>
      <c r="P618" s="19"/>
      <c r="Q618" s="19"/>
      <c r="R618" s="19"/>
      <c r="S618" s="19"/>
      <c r="T618" s="19"/>
      <c r="U618" s="19"/>
      <c r="V618" s="19"/>
      <c r="W618" s="20"/>
      <c r="X618" s="43"/>
    </row>
    <row r="619" spans="1:24" ht="15.75" hidden="1" customHeight="1" x14ac:dyDescent="0.25">
      <c r="A619" s="16"/>
      <c r="B619" s="16" t="str">
        <f t="shared" si="2"/>
        <v/>
      </c>
      <c r="C619" s="16"/>
      <c r="D619" s="40"/>
      <c r="E619" s="16"/>
      <c r="F619" s="41"/>
      <c r="G619" s="16"/>
      <c r="H619" s="16"/>
      <c r="I619" s="16"/>
      <c r="J619" s="22"/>
      <c r="K619" s="16"/>
      <c r="L619" s="16"/>
      <c r="M619" s="16"/>
      <c r="N619" s="19"/>
      <c r="O619" s="19"/>
      <c r="P619" s="19"/>
      <c r="Q619" s="19"/>
      <c r="R619" s="19"/>
      <c r="S619" s="19"/>
      <c r="T619" s="19"/>
      <c r="U619" s="19"/>
      <c r="V619" s="19"/>
      <c r="W619" s="20"/>
      <c r="X619" s="43"/>
    </row>
    <row r="620" spans="1:24" ht="15.75" hidden="1" customHeight="1" x14ac:dyDescent="0.25">
      <c r="A620" s="16"/>
      <c r="B620" s="16" t="str">
        <f t="shared" si="2"/>
        <v/>
      </c>
      <c r="C620" s="16"/>
      <c r="D620" s="40"/>
      <c r="E620" s="16"/>
      <c r="F620" s="41"/>
      <c r="G620" s="16"/>
      <c r="H620" s="16"/>
      <c r="I620" s="16"/>
      <c r="J620" s="22"/>
      <c r="K620" s="16"/>
      <c r="L620" s="16"/>
      <c r="M620" s="16"/>
      <c r="N620" s="19"/>
      <c r="O620" s="19"/>
      <c r="P620" s="19"/>
      <c r="Q620" s="19"/>
      <c r="R620" s="19"/>
      <c r="S620" s="19"/>
      <c r="T620" s="19"/>
      <c r="U620" s="19"/>
      <c r="V620" s="19"/>
      <c r="W620" s="20"/>
      <c r="X620" s="43"/>
    </row>
    <row r="621" spans="1:24" ht="15.75" hidden="1" customHeight="1" x14ac:dyDescent="0.25">
      <c r="A621" s="16"/>
      <c r="B621" s="16" t="str">
        <f t="shared" si="2"/>
        <v/>
      </c>
      <c r="C621" s="16"/>
      <c r="D621" s="40"/>
      <c r="E621" s="16"/>
      <c r="F621" s="41"/>
      <c r="G621" s="16"/>
      <c r="H621" s="16"/>
      <c r="I621" s="16"/>
      <c r="J621" s="22"/>
      <c r="K621" s="16"/>
      <c r="L621" s="16"/>
      <c r="M621" s="16"/>
      <c r="N621" s="19"/>
      <c r="O621" s="19"/>
      <c r="P621" s="19"/>
      <c r="Q621" s="19"/>
      <c r="R621" s="19"/>
      <c r="S621" s="19"/>
      <c r="T621" s="19"/>
      <c r="U621" s="19"/>
      <c r="V621" s="19"/>
      <c r="W621" s="20"/>
      <c r="X621" s="43"/>
    </row>
    <row r="622" spans="1:24" ht="15.75" hidden="1" customHeight="1" x14ac:dyDescent="0.25">
      <c r="A622" s="16"/>
      <c r="B622" s="16" t="str">
        <f t="shared" si="2"/>
        <v/>
      </c>
      <c r="C622" s="16"/>
      <c r="D622" s="40"/>
      <c r="E622" s="16"/>
      <c r="F622" s="41"/>
      <c r="G622" s="16"/>
      <c r="H622" s="16"/>
      <c r="I622" s="16"/>
      <c r="J622" s="22"/>
      <c r="K622" s="16"/>
      <c r="L622" s="16"/>
      <c r="M622" s="16"/>
      <c r="N622" s="19"/>
      <c r="O622" s="19"/>
      <c r="P622" s="19"/>
      <c r="Q622" s="19"/>
      <c r="R622" s="19"/>
      <c r="S622" s="19"/>
      <c r="T622" s="19"/>
      <c r="U622" s="19"/>
      <c r="V622" s="19"/>
      <c r="W622" s="20"/>
      <c r="X622" s="43"/>
    </row>
    <row r="623" spans="1:24" ht="15.75" hidden="1" customHeight="1" x14ac:dyDescent="0.25">
      <c r="A623" s="16"/>
      <c r="B623" s="16" t="str">
        <f t="shared" si="2"/>
        <v/>
      </c>
      <c r="C623" s="16"/>
      <c r="D623" s="40"/>
      <c r="E623" s="16"/>
      <c r="F623" s="41"/>
      <c r="G623" s="16"/>
      <c r="H623" s="16"/>
      <c r="I623" s="16"/>
      <c r="J623" s="22"/>
      <c r="K623" s="16"/>
      <c r="L623" s="16"/>
      <c r="M623" s="16"/>
      <c r="N623" s="19"/>
      <c r="O623" s="19"/>
      <c r="P623" s="19"/>
      <c r="Q623" s="19"/>
      <c r="R623" s="19"/>
      <c r="S623" s="19"/>
      <c r="T623" s="19"/>
      <c r="U623" s="19"/>
      <c r="V623" s="19"/>
      <c r="W623" s="20"/>
      <c r="X623" s="43"/>
    </row>
    <row r="624" spans="1:24" ht="15.75" hidden="1" customHeight="1" x14ac:dyDescent="0.25">
      <c r="A624" s="16"/>
      <c r="B624" s="16" t="str">
        <f t="shared" si="2"/>
        <v/>
      </c>
      <c r="C624" s="16"/>
      <c r="D624" s="40"/>
      <c r="E624" s="16"/>
      <c r="F624" s="41"/>
      <c r="G624" s="16"/>
      <c r="H624" s="16"/>
      <c r="I624" s="16"/>
      <c r="J624" s="22"/>
      <c r="K624" s="16"/>
      <c r="L624" s="16"/>
      <c r="M624" s="16"/>
      <c r="N624" s="19"/>
      <c r="O624" s="19"/>
      <c r="P624" s="19"/>
      <c r="Q624" s="19"/>
      <c r="R624" s="19"/>
      <c r="S624" s="19"/>
      <c r="T624" s="19"/>
      <c r="U624" s="19"/>
      <c r="V624" s="19"/>
      <c r="W624" s="20"/>
      <c r="X624" s="43"/>
    </row>
    <row r="625" spans="1:24" ht="15.75" hidden="1" customHeight="1" x14ac:dyDescent="0.25">
      <c r="A625" s="16"/>
      <c r="B625" s="16" t="str">
        <f t="shared" si="2"/>
        <v/>
      </c>
      <c r="C625" s="16"/>
      <c r="D625" s="40"/>
      <c r="E625" s="16"/>
      <c r="F625" s="41"/>
      <c r="G625" s="16"/>
      <c r="H625" s="16"/>
      <c r="I625" s="16"/>
      <c r="J625" s="22"/>
      <c r="K625" s="16"/>
      <c r="L625" s="16"/>
      <c r="M625" s="16"/>
      <c r="N625" s="19"/>
      <c r="O625" s="19"/>
      <c r="P625" s="19"/>
      <c r="Q625" s="19"/>
      <c r="R625" s="19"/>
      <c r="S625" s="19"/>
      <c r="T625" s="19"/>
      <c r="U625" s="19"/>
      <c r="V625" s="19"/>
      <c r="W625" s="20"/>
      <c r="X625" s="43"/>
    </row>
    <row r="626" spans="1:24" ht="15.75" hidden="1" customHeight="1" x14ac:dyDescent="0.25">
      <c r="A626" s="16"/>
      <c r="B626" s="16" t="str">
        <f t="shared" si="2"/>
        <v/>
      </c>
      <c r="C626" s="16"/>
      <c r="D626" s="40"/>
      <c r="E626" s="16"/>
      <c r="F626" s="41"/>
      <c r="G626" s="16"/>
      <c r="H626" s="16"/>
      <c r="I626" s="16"/>
      <c r="J626" s="22"/>
      <c r="K626" s="16"/>
      <c r="L626" s="16"/>
      <c r="M626" s="16"/>
      <c r="N626" s="19"/>
      <c r="O626" s="19"/>
      <c r="P626" s="19"/>
      <c r="Q626" s="19"/>
      <c r="R626" s="19"/>
      <c r="S626" s="19"/>
      <c r="T626" s="19"/>
      <c r="U626" s="19"/>
      <c r="V626" s="19"/>
      <c r="W626" s="20"/>
      <c r="X626" s="43"/>
    </row>
    <row r="627" spans="1:24" ht="15.75" hidden="1" customHeight="1" x14ac:dyDescent="0.25">
      <c r="A627" s="16"/>
      <c r="B627" s="16" t="str">
        <f t="shared" si="2"/>
        <v/>
      </c>
      <c r="C627" s="16"/>
      <c r="D627" s="40"/>
      <c r="E627" s="16"/>
      <c r="F627" s="41"/>
      <c r="G627" s="16"/>
      <c r="H627" s="16"/>
      <c r="I627" s="16"/>
      <c r="J627" s="22"/>
      <c r="K627" s="16"/>
      <c r="L627" s="16"/>
      <c r="M627" s="16"/>
      <c r="N627" s="19"/>
      <c r="O627" s="19"/>
      <c r="P627" s="19"/>
      <c r="Q627" s="19"/>
      <c r="R627" s="19"/>
      <c r="S627" s="19"/>
      <c r="T627" s="19"/>
      <c r="U627" s="19"/>
      <c r="V627" s="19"/>
      <c r="W627" s="20"/>
      <c r="X627" s="43"/>
    </row>
    <row r="628" spans="1:24" ht="15.75" hidden="1" customHeight="1" x14ac:dyDescent="0.25">
      <c r="A628" s="16"/>
      <c r="B628" s="16" t="str">
        <f t="shared" si="2"/>
        <v/>
      </c>
      <c r="C628" s="16"/>
      <c r="D628" s="40"/>
      <c r="E628" s="16"/>
      <c r="F628" s="41"/>
      <c r="G628" s="16"/>
      <c r="H628" s="16"/>
      <c r="I628" s="16"/>
      <c r="J628" s="22"/>
      <c r="K628" s="16"/>
      <c r="L628" s="16"/>
      <c r="M628" s="16"/>
      <c r="N628" s="19"/>
      <c r="O628" s="19"/>
      <c r="P628" s="19"/>
      <c r="Q628" s="19"/>
      <c r="R628" s="19"/>
      <c r="S628" s="19"/>
      <c r="T628" s="19"/>
      <c r="U628" s="19"/>
      <c r="V628" s="19"/>
      <c r="W628" s="20"/>
      <c r="X628" s="43"/>
    </row>
    <row r="629" spans="1:24" ht="15.75" hidden="1" customHeight="1" x14ac:dyDescent="0.25">
      <c r="A629" s="16"/>
      <c r="B629" s="16" t="str">
        <f t="shared" si="2"/>
        <v/>
      </c>
      <c r="C629" s="16"/>
      <c r="D629" s="40"/>
      <c r="E629" s="16"/>
      <c r="F629" s="41"/>
      <c r="G629" s="16"/>
      <c r="H629" s="16"/>
      <c r="I629" s="16"/>
      <c r="J629" s="22"/>
      <c r="K629" s="16"/>
      <c r="L629" s="16"/>
      <c r="M629" s="16"/>
      <c r="N629" s="19"/>
      <c r="O629" s="19"/>
      <c r="P629" s="19"/>
      <c r="Q629" s="19"/>
      <c r="R629" s="19"/>
      <c r="S629" s="19"/>
      <c r="T629" s="19"/>
      <c r="U629" s="19"/>
      <c r="V629" s="19"/>
      <c r="W629" s="20"/>
      <c r="X629" s="43"/>
    </row>
    <row r="630" spans="1:24" ht="15.75" hidden="1" customHeight="1" x14ac:dyDescent="0.25">
      <c r="A630" s="16"/>
      <c r="B630" s="16" t="str">
        <f t="shared" si="2"/>
        <v/>
      </c>
      <c r="C630" s="16"/>
      <c r="D630" s="40"/>
      <c r="E630" s="16"/>
      <c r="F630" s="41"/>
      <c r="G630" s="16"/>
      <c r="H630" s="16"/>
      <c r="I630" s="16"/>
      <c r="J630" s="22"/>
      <c r="K630" s="16"/>
      <c r="L630" s="16"/>
      <c r="M630" s="16"/>
      <c r="N630" s="19"/>
      <c r="O630" s="19"/>
      <c r="P630" s="19"/>
      <c r="Q630" s="19"/>
      <c r="R630" s="19"/>
      <c r="S630" s="19"/>
      <c r="T630" s="19"/>
      <c r="U630" s="19"/>
      <c r="V630" s="19"/>
      <c r="W630" s="20"/>
      <c r="X630" s="43"/>
    </row>
    <row r="631" spans="1:24" ht="15.75" hidden="1" customHeight="1" x14ac:dyDescent="0.25">
      <c r="A631" s="16"/>
      <c r="B631" s="16" t="str">
        <f t="shared" si="2"/>
        <v/>
      </c>
      <c r="C631" s="16"/>
      <c r="D631" s="40"/>
      <c r="E631" s="16"/>
      <c r="F631" s="41"/>
      <c r="G631" s="16"/>
      <c r="H631" s="16"/>
      <c r="I631" s="16"/>
      <c r="J631" s="22"/>
      <c r="K631" s="16"/>
      <c r="L631" s="16"/>
      <c r="M631" s="16"/>
      <c r="N631" s="19"/>
      <c r="O631" s="19"/>
      <c r="P631" s="19"/>
      <c r="Q631" s="19"/>
      <c r="R631" s="19"/>
      <c r="S631" s="19"/>
      <c r="T631" s="19"/>
      <c r="U631" s="19"/>
      <c r="V631" s="19"/>
      <c r="W631" s="20"/>
      <c r="X631" s="43"/>
    </row>
    <row r="632" spans="1:24" ht="15.75" hidden="1" customHeight="1" x14ac:dyDescent="0.25">
      <c r="A632" s="16"/>
      <c r="B632" s="16" t="str">
        <f t="shared" si="2"/>
        <v/>
      </c>
      <c r="C632" s="16"/>
      <c r="D632" s="40"/>
      <c r="E632" s="16"/>
      <c r="F632" s="41"/>
      <c r="G632" s="16"/>
      <c r="H632" s="16"/>
      <c r="I632" s="16"/>
      <c r="J632" s="22"/>
      <c r="K632" s="16"/>
      <c r="L632" s="16"/>
      <c r="M632" s="16"/>
      <c r="N632" s="19"/>
      <c r="O632" s="19"/>
      <c r="P632" s="19"/>
      <c r="Q632" s="19"/>
      <c r="R632" s="19"/>
      <c r="S632" s="19"/>
      <c r="T632" s="19"/>
      <c r="U632" s="19"/>
      <c r="V632" s="19"/>
      <c r="W632" s="20"/>
      <c r="X632" s="43"/>
    </row>
    <row r="633" spans="1:24" ht="15.75" hidden="1" customHeight="1" x14ac:dyDescent="0.25">
      <c r="A633" s="16"/>
      <c r="B633" s="16" t="str">
        <f t="shared" si="2"/>
        <v/>
      </c>
      <c r="C633" s="16"/>
      <c r="D633" s="40"/>
      <c r="E633" s="16"/>
      <c r="F633" s="41"/>
      <c r="G633" s="16"/>
      <c r="H633" s="16"/>
      <c r="I633" s="16"/>
      <c r="J633" s="22"/>
      <c r="K633" s="16"/>
      <c r="L633" s="16"/>
      <c r="M633" s="16"/>
      <c r="N633" s="19"/>
      <c r="O633" s="19"/>
      <c r="P633" s="19"/>
      <c r="Q633" s="19"/>
      <c r="R633" s="19"/>
      <c r="S633" s="19"/>
      <c r="T633" s="19"/>
      <c r="U633" s="19"/>
      <c r="V633" s="19"/>
      <c r="W633" s="20"/>
      <c r="X633" s="43"/>
    </row>
    <row r="634" spans="1:24" ht="15.75" hidden="1" customHeight="1" x14ac:dyDescent="0.25">
      <c r="A634" s="16"/>
      <c r="B634" s="16" t="str">
        <f t="shared" si="2"/>
        <v/>
      </c>
      <c r="C634" s="16"/>
      <c r="D634" s="40"/>
      <c r="E634" s="16"/>
      <c r="F634" s="41"/>
      <c r="G634" s="16"/>
      <c r="H634" s="16"/>
      <c r="I634" s="16"/>
      <c r="J634" s="22"/>
      <c r="K634" s="16"/>
      <c r="L634" s="16"/>
      <c r="M634" s="16"/>
      <c r="N634" s="19"/>
      <c r="O634" s="19"/>
      <c r="P634" s="19"/>
      <c r="Q634" s="19"/>
      <c r="R634" s="19"/>
      <c r="S634" s="19"/>
      <c r="T634" s="19"/>
      <c r="U634" s="19"/>
      <c r="V634" s="19"/>
      <c r="W634" s="20"/>
      <c r="X634" s="43"/>
    </row>
    <row r="635" spans="1:24" ht="15.75" hidden="1" customHeight="1" x14ac:dyDescent="0.25">
      <c r="A635" s="16"/>
      <c r="B635" s="16" t="str">
        <f t="shared" si="2"/>
        <v/>
      </c>
      <c r="C635" s="16"/>
      <c r="D635" s="40"/>
      <c r="E635" s="16"/>
      <c r="F635" s="41"/>
      <c r="G635" s="16"/>
      <c r="H635" s="16"/>
      <c r="I635" s="16"/>
      <c r="J635" s="22"/>
      <c r="K635" s="16"/>
      <c r="L635" s="16"/>
      <c r="M635" s="16"/>
      <c r="N635" s="19"/>
      <c r="O635" s="19"/>
      <c r="P635" s="19"/>
      <c r="Q635" s="19"/>
      <c r="R635" s="19"/>
      <c r="S635" s="19"/>
      <c r="T635" s="19"/>
      <c r="U635" s="19"/>
      <c r="V635" s="19"/>
      <c r="W635" s="20"/>
      <c r="X635" s="43"/>
    </row>
    <row r="636" spans="1:24" ht="15.75" hidden="1" customHeight="1" x14ac:dyDescent="0.25">
      <c r="A636" s="16"/>
      <c r="B636" s="16" t="str">
        <f t="shared" si="2"/>
        <v/>
      </c>
      <c r="C636" s="16"/>
      <c r="D636" s="40"/>
      <c r="E636" s="16"/>
      <c r="F636" s="41"/>
      <c r="G636" s="16"/>
      <c r="H636" s="16"/>
      <c r="I636" s="16"/>
      <c r="J636" s="22"/>
      <c r="K636" s="16"/>
      <c r="L636" s="16"/>
      <c r="M636" s="16"/>
      <c r="N636" s="19"/>
      <c r="O636" s="19"/>
      <c r="P636" s="19"/>
      <c r="Q636" s="19"/>
      <c r="R636" s="19"/>
      <c r="S636" s="19"/>
      <c r="T636" s="19"/>
      <c r="U636" s="19"/>
      <c r="V636" s="19"/>
      <c r="W636" s="20"/>
      <c r="X636" s="43"/>
    </row>
    <row r="637" spans="1:24" ht="15.75" hidden="1" customHeight="1" x14ac:dyDescent="0.25">
      <c r="A637" s="16"/>
      <c r="B637" s="16" t="str">
        <f t="shared" si="2"/>
        <v/>
      </c>
      <c r="C637" s="16"/>
      <c r="D637" s="40"/>
      <c r="E637" s="16"/>
      <c r="F637" s="41"/>
      <c r="G637" s="16"/>
      <c r="H637" s="16"/>
      <c r="I637" s="16"/>
      <c r="J637" s="22"/>
      <c r="K637" s="16"/>
      <c r="L637" s="16"/>
      <c r="M637" s="16"/>
      <c r="N637" s="19"/>
      <c r="O637" s="19"/>
      <c r="P637" s="19"/>
      <c r="Q637" s="19"/>
      <c r="R637" s="19"/>
      <c r="S637" s="19"/>
      <c r="T637" s="19"/>
      <c r="U637" s="19"/>
      <c r="V637" s="19"/>
      <c r="W637" s="20"/>
      <c r="X637" s="43"/>
    </row>
    <row r="638" spans="1:24" ht="15.75" hidden="1" customHeight="1" x14ac:dyDescent="0.25">
      <c r="A638" s="16"/>
      <c r="B638" s="16" t="str">
        <f t="shared" si="2"/>
        <v/>
      </c>
      <c r="C638" s="16"/>
      <c r="D638" s="40"/>
      <c r="E638" s="16"/>
      <c r="F638" s="41"/>
      <c r="G638" s="16"/>
      <c r="H638" s="16"/>
      <c r="I638" s="16"/>
      <c r="J638" s="22"/>
      <c r="K638" s="16"/>
      <c r="L638" s="16"/>
      <c r="M638" s="16"/>
      <c r="N638" s="19"/>
      <c r="O638" s="19"/>
      <c r="P638" s="19"/>
      <c r="Q638" s="19"/>
      <c r="R638" s="19"/>
      <c r="S638" s="19"/>
      <c r="T638" s="19"/>
      <c r="U638" s="19"/>
      <c r="V638" s="19"/>
      <c r="W638" s="20"/>
      <c r="X638" s="43"/>
    </row>
    <row r="639" spans="1:24" ht="15.75" hidden="1" customHeight="1" x14ac:dyDescent="0.25">
      <c r="A639" s="16"/>
      <c r="B639" s="16" t="str">
        <f t="shared" si="2"/>
        <v/>
      </c>
      <c r="C639" s="16"/>
      <c r="D639" s="40"/>
      <c r="E639" s="16"/>
      <c r="F639" s="41"/>
      <c r="G639" s="16"/>
      <c r="H639" s="16"/>
      <c r="I639" s="16"/>
      <c r="J639" s="22"/>
      <c r="K639" s="16"/>
      <c r="L639" s="16"/>
      <c r="M639" s="16"/>
      <c r="N639" s="19"/>
      <c r="O639" s="19"/>
      <c r="P639" s="19"/>
      <c r="Q639" s="19"/>
      <c r="R639" s="19"/>
      <c r="S639" s="19"/>
      <c r="T639" s="19"/>
      <c r="U639" s="19"/>
      <c r="V639" s="19"/>
      <c r="W639" s="20"/>
      <c r="X639" s="43"/>
    </row>
    <row r="640" spans="1:24" ht="15.75" hidden="1" customHeight="1" x14ac:dyDescent="0.25">
      <c r="A640" s="16"/>
      <c r="B640" s="16" t="str">
        <f t="shared" si="2"/>
        <v/>
      </c>
      <c r="C640" s="16"/>
      <c r="D640" s="40"/>
      <c r="E640" s="16"/>
      <c r="F640" s="41"/>
      <c r="G640" s="16"/>
      <c r="H640" s="16"/>
      <c r="I640" s="16"/>
      <c r="J640" s="22"/>
      <c r="K640" s="16"/>
      <c r="L640" s="16"/>
      <c r="M640" s="16"/>
      <c r="N640" s="19"/>
      <c r="O640" s="19"/>
      <c r="P640" s="19"/>
      <c r="Q640" s="19"/>
      <c r="R640" s="19"/>
      <c r="S640" s="19"/>
      <c r="T640" s="19"/>
      <c r="U640" s="19"/>
      <c r="V640" s="19"/>
      <c r="W640" s="20"/>
      <c r="X640" s="43"/>
    </row>
    <row r="641" spans="1:24" ht="15.75" hidden="1" customHeight="1" x14ac:dyDescent="0.25">
      <c r="A641" s="16"/>
      <c r="B641" s="16" t="str">
        <f t="shared" si="2"/>
        <v/>
      </c>
      <c r="C641" s="16"/>
      <c r="D641" s="40"/>
      <c r="E641" s="16"/>
      <c r="F641" s="41"/>
      <c r="G641" s="16"/>
      <c r="H641" s="16"/>
      <c r="I641" s="16"/>
      <c r="J641" s="22"/>
      <c r="K641" s="16"/>
      <c r="L641" s="16"/>
      <c r="M641" s="16"/>
      <c r="N641" s="19"/>
      <c r="O641" s="19"/>
      <c r="P641" s="19"/>
      <c r="Q641" s="19"/>
      <c r="R641" s="19"/>
      <c r="S641" s="19"/>
      <c r="T641" s="19"/>
      <c r="U641" s="19"/>
      <c r="V641" s="19"/>
      <c r="W641" s="20"/>
      <c r="X641" s="43"/>
    </row>
    <row r="642" spans="1:24" ht="15.75" hidden="1" customHeight="1" x14ac:dyDescent="0.25">
      <c r="A642" s="16"/>
      <c r="B642" s="16" t="str">
        <f t="shared" si="2"/>
        <v/>
      </c>
      <c r="C642" s="16"/>
      <c r="D642" s="40"/>
      <c r="E642" s="16"/>
      <c r="F642" s="41"/>
      <c r="G642" s="16"/>
      <c r="H642" s="16"/>
      <c r="I642" s="16"/>
      <c r="J642" s="22"/>
      <c r="K642" s="16"/>
      <c r="L642" s="16"/>
      <c r="M642" s="16"/>
      <c r="N642" s="19"/>
      <c r="O642" s="19"/>
      <c r="P642" s="19"/>
      <c r="Q642" s="19"/>
      <c r="R642" s="19"/>
      <c r="S642" s="19"/>
      <c r="T642" s="19"/>
      <c r="U642" s="19"/>
      <c r="V642" s="19"/>
      <c r="W642" s="20"/>
      <c r="X642" s="43"/>
    </row>
    <row r="643" spans="1:24" ht="15.75" hidden="1" customHeight="1" x14ac:dyDescent="0.25">
      <c r="A643" s="16"/>
      <c r="B643" s="16" t="str">
        <f t="shared" si="2"/>
        <v/>
      </c>
      <c r="C643" s="16"/>
      <c r="D643" s="40"/>
      <c r="E643" s="16"/>
      <c r="F643" s="41"/>
      <c r="G643" s="16"/>
      <c r="H643" s="16"/>
      <c r="I643" s="16"/>
      <c r="J643" s="22"/>
      <c r="K643" s="16"/>
      <c r="L643" s="16"/>
      <c r="M643" s="16"/>
      <c r="N643" s="19"/>
      <c r="O643" s="19"/>
      <c r="P643" s="19"/>
      <c r="Q643" s="19"/>
      <c r="R643" s="19"/>
      <c r="S643" s="19"/>
      <c r="T643" s="19"/>
      <c r="U643" s="19"/>
      <c r="V643" s="19"/>
      <c r="W643" s="20"/>
      <c r="X643" s="43"/>
    </row>
    <row r="644" spans="1:24" ht="15.75" hidden="1" customHeight="1" x14ac:dyDescent="0.25">
      <c r="A644" s="16"/>
      <c r="B644" s="16" t="str">
        <f t="shared" si="2"/>
        <v/>
      </c>
      <c r="C644" s="16"/>
      <c r="D644" s="40"/>
      <c r="E644" s="16"/>
      <c r="F644" s="41"/>
      <c r="G644" s="16"/>
      <c r="H644" s="16"/>
      <c r="I644" s="16"/>
      <c r="J644" s="22"/>
      <c r="K644" s="16"/>
      <c r="L644" s="16"/>
      <c r="M644" s="16"/>
      <c r="N644" s="19"/>
      <c r="O644" s="19"/>
      <c r="P644" s="19"/>
      <c r="Q644" s="19"/>
      <c r="R644" s="19"/>
      <c r="S644" s="19"/>
      <c r="T644" s="19"/>
      <c r="U644" s="19"/>
      <c r="V644" s="19"/>
      <c r="W644" s="20"/>
      <c r="X644" s="43"/>
    </row>
    <row r="645" spans="1:24" ht="15.75" hidden="1" customHeight="1" x14ac:dyDescent="0.25">
      <c r="A645" s="16"/>
      <c r="B645" s="16" t="str">
        <f t="shared" si="2"/>
        <v/>
      </c>
      <c r="C645" s="16"/>
      <c r="D645" s="40"/>
      <c r="E645" s="16"/>
      <c r="F645" s="41"/>
      <c r="G645" s="16"/>
      <c r="H645" s="16"/>
      <c r="I645" s="16"/>
      <c r="J645" s="22"/>
      <c r="K645" s="16"/>
      <c r="L645" s="16"/>
      <c r="M645" s="16"/>
      <c r="N645" s="19"/>
      <c r="O645" s="19"/>
      <c r="P645" s="19"/>
      <c r="Q645" s="19"/>
      <c r="R645" s="19"/>
      <c r="S645" s="19"/>
      <c r="T645" s="19"/>
      <c r="U645" s="19"/>
      <c r="V645" s="19"/>
      <c r="W645" s="20"/>
      <c r="X645" s="43"/>
    </row>
    <row r="646" spans="1:24" ht="15.75" hidden="1" customHeight="1" x14ac:dyDescent="0.25">
      <c r="A646" s="16"/>
      <c r="B646" s="16" t="str">
        <f t="shared" si="2"/>
        <v/>
      </c>
      <c r="C646" s="16"/>
      <c r="D646" s="40"/>
      <c r="E646" s="16"/>
      <c r="F646" s="41"/>
      <c r="G646" s="16"/>
      <c r="H646" s="16"/>
      <c r="I646" s="16"/>
      <c r="J646" s="22"/>
      <c r="K646" s="16"/>
      <c r="L646" s="16"/>
      <c r="M646" s="16"/>
      <c r="N646" s="19"/>
      <c r="O646" s="19"/>
      <c r="P646" s="19"/>
      <c r="Q646" s="19"/>
      <c r="R646" s="19"/>
      <c r="S646" s="19"/>
      <c r="T646" s="19"/>
      <c r="U646" s="19"/>
      <c r="V646" s="19"/>
      <c r="W646" s="20"/>
      <c r="X646" s="43"/>
    </row>
    <row r="647" spans="1:24" ht="15.75" hidden="1" customHeight="1" x14ac:dyDescent="0.25">
      <c r="A647" s="16"/>
      <c r="B647" s="16" t="str">
        <f t="shared" si="2"/>
        <v/>
      </c>
      <c r="C647" s="16"/>
      <c r="D647" s="40"/>
      <c r="E647" s="16"/>
      <c r="F647" s="41"/>
      <c r="G647" s="16"/>
      <c r="H647" s="16"/>
      <c r="I647" s="16"/>
      <c r="J647" s="22"/>
      <c r="K647" s="16"/>
      <c r="L647" s="16"/>
      <c r="M647" s="16"/>
      <c r="N647" s="19"/>
      <c r="O647" s="19"/>
      <c r="P647" s="19"/>
      <c r="Q647" s="19"/>
      <c r="R647" s="19"/>
      <c r="S647" s="19"/>
      <c r="T647" s="19"/>
      <c r="U647" s="19"/>
      <c r="V647" s="19"/>
      <c r="W647" s="20"/>
      <c r="X647" s="43"/>
    </row>
    <row r="648" spans="1:24" ht="15.75" hidden="1" customHeight="1" x14ac:dyDescent="0.25">
      <c r="A648" s="16"/>
      <c r="B648" s="16" t="str">
        <f t="shared" si="2"/>
        <v/>
      </c>
      <c r="C648" s="16"/>
      <c r="D648" s="40"/>
      <c r="E648" s="16"/>
      <c r="F648" s="41"/>
      <c r="G648" s="16"/>
      <c r="H648" s="16"/>
      <c r="I648" s="16"/>
      <c r="J648" s="22"/>
      <c r="K648" s="16"/>
      <c r="L648" s="16"/>
      <c r="M648" s="16"/>
      <c r="N648" s="19"/>
      <c r="O648" s="19"/>
      <c r="P648" s="19"/>
      <c r="Q648" s="19"/>
      <c r="R648" s="19"/>
      <c r="S648" s="19"/>
      <c r="T648" s="19"/>
      <c r="U648" s="19"/>
      <c r="V648" s="19"/>
      <c r="W648" s="20"/>
      <c r="X648" s="43"/>
    </row>
    <row r="649" spans="1:24" ht="15.75" hidden="1" customHeight="1" x14ac:dyDescent="0.25">
      <c r="A649" s="16"/>
      <c r="B649" s="16" t="str">
        <f t="shared" si="2"/>
        <v/>
      </c>
      <c r="C649" s="16"/>
      <c r="D649" s="40"/>
      <c r="E649" s="16"/>
      <c r="F649" s="41"/>
      <c r="G649" s="16"/>
      <c r="H649" s="16"/>
      <c r="I649" s="16"/>
      <c r="J649" s="22"/>
      <c r="K649" s="16"/>
      <c r="L649" s="16"/>
      <c r="M649" s="16"/>
      <c r="N649" s="19"/>
      <c r="O649" s="19"/>
      <c r="P649" s="19"/>
      <c r="Q649" s="19"/>
      <c r="R649" s="19"/>
      <c r="S649" s="19"/>
      <c r="T649" s="19"/>
      <c r="U649" s="19"/>
      <c r="V649" s="19"/>
      <c r="W649" s="20"/>
      <c r="X649" s="43"/>
    </row>
    <row r="650" spans="1:24" ht="15.75" hidden="1" customHeight="1" x14ac:dyDescent="0.25">
      <c r="A650" s="16"/>
      <c r="B650" s="16" t="str">
        <f t="shared" si="2"/>
        <v/>
      </c>
      <c r="C650" s="16"/>
      <c r="D650" s="40"/>
      <c r="E650" s="16"/>
      <c r="F650" s="41"/>
      <c r="G650" s="16"/>
      <c r="H650" s="16"/>
      <c r="I650" s="16"/>
      <c r="J650" s="22"/>
      <c r="K650" s="16"/>
      <c r="L650" s="16"/>
      <c r="M650" s="16"/>
      <c r="N650" s="19"/>
      <c r="O650" s="19"/>
      <c r="P650" s="19"/>
      <c r="Q650" s="19"/>
      <c r="R650" s="19"/>
      <c r="S650" s="19"/>
      <c r="T650" s="19"/>
      <c r="U650" s="19"/>
      <c r="V650" s="19"/>
      <c r="W650" s="20"/>
      <c r="X650" s="43"/>
    </row>
    <row r="651" spans="1:24" ht="15.75" hidden="1" customHeight="1" x14ac:dyDescent="0.25">
      <c r="A651" s="16"/>
      <c r="B651" s="16" t="str">
        <f t="shared" si="2"/>
        <v/>
      </c>
      <c r="C651" s="16"/>
      <c r="D651" s="40"/>
      <c r="E651" s="16"/>
      <c r="F651" s="41"/>
      <c r="G651" s="16"/>
      <c r="H651" s="16"/>
      <c r="I651" s="16"/>
      <c r="J651" s="22"/>
      <c r="K651" s="16"/>
      <c r="L651" s="16"/>
      <c r="M651" s="16"/>
      <c r="N651" s="19"/>
      <c r="O651" s="19"/>
      <c r="P651" s="19"/>
      <c r="Q651" s="19"/>
      <c r="R651" s="19"/>
      <c r="S651" s="19"/>
      <c r="T651" s="19"/>
      <c r="U651" s="19"/>
      <c r="V651" s="19"/>
      <c r="W651" s="20"/>
      <c r="X651" s="43"/>
    </row>
    <row r="652" spans="1:24" ht="15.75" hidden="1" customHeight="1" x14ac:dyDescent="0.25">
      <c r="A652" s="16"/>
      <c r="B652" s="16" t="str">
        <f t="shared" si="2"/>
        <v/>
      </c>
      <c r="C652" s="16"/>
      <c r="D652" s="40"/>
      <c r="E652" s="16"/>
      <c r="F652" s="41"/>
      <c r="G652" s="16"/>
      <c r="H652" s="16"/>
      <c r="I652" s="16"/>
      <c r="J652" s="22"/>
      <c r="K652" s="16"/>
      <c r="L652" s="16"/>
      <c r="M652" s="16"/>
      <c r="N652" s="19"/>
      <c r="O652" s="19"/>
      <c r="P652" s="19"/>
      <c r="Q652" s="19"/>
      <c r="R652" s="19"/>
      <c r="S652" s="19"/>
      <c r="T652" s="19"/>
      <c r="U652" s="19"/>
      <c r="V652" s="19"/>
      <c r="W652" s="20"/>
      <c r="X652" s="43"/>
    </row>
    <row r="653" spans="1:24" ht="15.75" hidden="1" customHeight="1" x14ac:dyDescent="0.25">
      <c r="A653" s="16"/>
      <c r="B653" s="16" t="str">
        <f t="shared" si="2"/>
        <v/>
      </c>
      <c r="C653" s="16"/>
      <c r="D653" s="40"/>
      <c r="E653" s="16"/>
      <c r="F653" s="41"/>
      <c r="G653" s="16"/>
      <c r="H653" s="16"/>
      <c r="I653" s="16"/>
      <c r="J653" s="22"/>
      <c r="K653" s="16"/>
      <c r="L653" s="16"/>
      <c r="M653" s="16"/>
      <c r="N653" s="19"/>
      <c r="O653" s="19"/>
      <c r="P653" s="19"/>
      <c r="Q653" s="19"/>
      <c r="R653" s="19"/>
      <c r="S653" s="19"/>
      <c r="T653" s="19"/>
      <c r="U653" s="19"/>
      <c r="V653" s="19"/>
      <c r="W653" s="20"/>
      <c r="X653" s="43"/>
    </row>
    <row r="654" spans="1:24" ht="15.75" hidden="1" customHeight="1" x14ac:dyDescent="0.25">
      <c r="A654" s="16"/>
      <c r="B654" s="16" t="str">
        <f t="shared" si="2"/>
        <v/>
      </c>
      <c r="C654" s="16"/>
      <c r="D654" s="40"/>
      <c r="E654" s="16"/>
      <c r="F654" s="41"/>
      <c r="G654" s="16"/>
      <c r="H654" s="16"/>
      <c r="I654" s="16"/>
      <c r="J654" s="22"/>
      <c r="K654" s="16"/>
      <c r="L654" s="16"/>
      <c r="M654" s="16"/>
      <c r="N654" s="19"/>
      <c r="O654" s="19"/>
      <c r="P654" s="19"/>
      <c r="Q654" s="19"/>
      <c r="R654" s="19"/>
      <c r="S654" s="19"/>
      <c r="T654" s="19"/>
      <c r="U654" s="19"/>
      <c r="V654" s="19"/>
      <c r="W654" s="20"/>
      <c r="X654" s="43"/>
    </row>
    <row r="655" spans="1:24" ht="15.75" hidden="1" customHeight="1" x14ac:dyDescent="0.25">
      <c r="A655" s="16"/>
      <c r="B655" s="16" t="str">
        <f t="shared" si="2"/>
        <v/>
      </c>
      <c r="C655" s="16"/>
      <c r="D655" s="40"/>
      <c r="E655" s="16"/>
      <c r="F655" s="41"/>
      <c r="G655" s="16"/>
      <c r="H655" s="16"/>
      <c r="I655" s="16"/>
      <c r="J655" s="22"/>
      <c r="K655" s="16"/>
      <c r="L655" s="16"/>
      <c r="M655" s="16"/>
      <c r="N655" s="19"/>
      <c r="O655" s="19"/>
      <c r="P655" s="19"/>
      <c r="Q655" s="19"/>
      <c r="R655" s="19"/>
      <c r="S655" s="19"/>
      <c r="T655" s="19"/>
      <c r="U655" s="19"/>
      <c r="V655" s="19"/>
      <c r="W655" s="20"/>
      <c r="X655" s="43"/>
    </row>
    <row r="656" spans="1:24" ht="15.75" hidden="1" customHeight="1" x14ac:dyDescent="0.25">
      <c r="A656" s="16"/>
      <c r="B656" s="16" t="str">
        <f t="shared" si="2"/>
        <v/>
      </c>
      <c r="C656" s="16"/>
      <c r="D656" s="40"/>
      <c r="E656" s="16"/>
      <c r="F656" s="41"/>
      <c r="G656" s="16"/>
      <c r="H656" s="16"/>
      <c r="I656" s="16"/>
      <c r="J656" s="22"/>
      <c r="K656" s="16"/>
      <c r="L656" s="16"/>
      <c r="M656" s="16"/>
      <c r="N656" s="19"/>
      <c r="O656" s="19"/>
      <c r="P656" s="19"/>
      <c r="Q656" s="19"/>
      <c r="R656" s="19"/>
      <c r="S656" s="19"/>
      <c r="T656" s="19"/>
      <c r="U656" s="19"/>
      <c r="V656" s="19"/>
      <c r="W656" s="20"/>
      <c r="X656" s="43"/>
    </row>
    <row r="657" spans="1:24" ht="15.75" hidden="1" customHeight="1" x14ac:dyDescent="0.25">
      <c r="A657" s="16"/>
      <c r="B657" s="16" t="str">
        <f t="shared" si="2"/>
        <v/>
      </c>
      <c r="C657" s="16"/>
      <c r="D657" s="40"/>
      <c r="E657" s="16"/>
      <c r="F657" s="41"/>
      <c r="G657" s="16"/>
      <c r="H657" s="16"/>
      <c r="I657" s="16"/>
      <c r="J657" s="22"/>
      <c r="K657" s="16"/>
      <c r="L657" s="16"/>
      <c r="M657" s="16"/>
      <c r="N657" s="19"/>
      <c r="O657" s="19"/>
      <c r="P657" s="19"/>
      <c r="Q657" s="19"/>
      <c r="R657" s="19"/>
      <c r="S657" s="19"/>
      <c r="T657" s="19"/>
      <c r="U657" s="19"/>
      <c r="V657" s="19"/>
      <c r="W657" s="20"/>
      <c r="X657" s="43"/>
    </row>
    <row r="658" spans="1:24" ht="15.75" hidden="1" customHeight="1" x14ac:dyDescent="0.25">
      <c r="A658" s="16"/>
      <c r="B658" s="16" t="str">
        <f t="shared" si="2"/>
        <v/>
      </c>
      <c r="C658" s="16"/>
      <c r="D658" s="40"/>
      <c r="E658" s="16"/>
      <c r="F658" s="41"/>
      <c r="G658" s="16"/>
      <c r="H658" s="16"/>
      <c r="I658" s="16"/>
      <c r="J658" s="22"/>
      <c r="K658" s="16"/>
      <c r="L658" s="16"/>
      <c r="M658" s="16"/>
      <c r="N658" s="19"/>
      <c r="O658" s="19"/>
      <c r="P658" s="19"/>
      <c r="Q658" s="19"/>
      <c r="R658" s="19"/>
      <c r="S658" s="19"/>
      <c r="T658" s="19"/>
      <c r="U658" s="19"/>
      <c r="V658" s="19"/>
      <c r="W658" s="20"/>
      <c r="X658" s="43"/>
    </row>
    <row r="659" spans="1:24" ht="15.75" hidden="1" customHeight="1" x14ac:dyDescent="0.25">
      <c r="A659" s="16"/>
      <c r="B659" s="16" t="str">
        <f t="shared" si="2"/>
        <v/>
      </c>
      <c r="C659" s="16"/>
      <c r="D659" s="40"/>
      <c r="E659" s="16"/>
      <c r="F659" s="41"/>
      <c r="G659" s="16"/>
      <c r="H659" s="16"/>
      <c r="I659" s="16"/>
      <c r="J659" s="22"/>
      <c r="K659" s="16"/>
      <c r="L659" s="16"/>
      <c r="M659" s="16"/>
      <c r="N659" s="19"/>
      <c r="O659" s="19"/>
      <c r="P659" s="19"/>
      <c r="Q659" s="19"/>
      <c r="R659" s="19"/>
      <c r="S659" s="19"/>
      <c r="T659" s="19"/>
      <c r="U659" s="19"/>
      <c r="V659" s="19"/>
      <c r="W659" s="20"/>
      <c r="X659" s="43"/>
    </row>
    <row r="660" spans="1:24" ht="15.75" hidden="1" customHeight="1" x14ac:dyDescent="0.25">
      <c r="A660" s="16"/>
      <c r="B660" s="16" t="str">
        <f t="shared" si="2"/>
        <v/>
      </c>
      <c r="C660" s="16"/>
      <c r="D660" s="40"/>
      <c r="E660" s="16"/>
      <c r="F660" s="41"/>
      <c r="G660" s="16"/>
      <c r="H660" s="16"/>
      <c r="I660" s="16"/>
      <c r="J660" s="22"/>
      <c r="K660" s="16"/>
      <c r="L660" s="16"/>
      <c r="M660" s="16"/>
      <c r="N660" s="19"/>
      <c r="O660" s="19"/>
      <c r="P660" s="19"/>
      <c r="Q660" s="19"/>
      <c r="R660" s="19"/>
      <c r="S660" s="19"/>
      <c r="T660" s="19"/>
      <c r="U660" s="19"/>
      <c r="V660" s="19"/>
      <c r="W660" s="20"/>
      <c r="X660" s="43"/>
    </row>
    <row r="661" spans="1:24" ht="15.75" hidden="1" customHeight="1" x14ac:dyDescent="0.25">
      <c r="A661" s="16"/>
      <c r="B661" s="16" t="str">
        <f t="shared" si="2"/>
        <v/>
      </c>
      <c r="C661" s="16"/>
      <c r="D661" s="40"/>
      <c r="E661" s="16"/>
      <c r="F661" s="41"/>
      <c r="G661" s="16"/>
      <c r="H661" s="16"/>
      <c r="I661" s="16"/>
      <c r="J661" s="22"/>
      <c r="K661" s="16"/>
      <c r="L661" s="16"/>
      <c r="M661" s="16"/>
      <c r="N661" s="19"/>
      <c r="O661" s="19"/>
      <c r="P661" s="19"/>
      <c r="Q661" s="19"/>
      <c r="R661" s="19"/>
      <c r="S661" s="19"/>
      <c r="T661" s="19"/>
      <c r="U661" s="19"/>
      <c r="V661" s="19"/>
      <c r="W661" s="20"/>
      <c r="X661" s="43"/>
    </row>
    <row r="662" spans="1:24" ht="15.75" hidden="1" customHeight="1" x14ac:dyDescent="0.25">
      <c r="A662" s="16"/>
      <c r="B662" s="16" t="str">
        <f t="shared" si="2"/>
        <v/>
      </c>
      <c r="C662" s="16"/>
      <c r="D662" s="40"/>
      <c r="E662" s="16"/>
      <c r="F662" s="41"/>
      <c r="G662" s="16"/>
      <c r="H662" s="16"/>
      <c r="I662" s="16"/>
      <c r="J662" s="22"/>
      <c r="K662" s="16"/>
      <c r="L662" s="16"/>
      <c r="M662" s="16"/>
      <c r="N662" s="19"/>
      <c r="O662" s="19"/>
      <c r="P662" s="19"/>
      <c r="Q662" s="19"/>
      <c r="R662" s="19"/>
      <c r="S662" s="19"/>
      <c r="T662" s="19"/>
      <c r="U662" s="19"/>
      <c r="V662" s="19"/>
      <c r="W662" s="20"/>
      <c r="X662" s="43"/>
    </row>
    <row r="663" spans="1:24" ht="15.75" hidden="1" customHeight="1" x14ac:dyDescent="0.25">
      <c r="A663" s="16"/>
      <c r="B663" s="16" t="str">
        <f t="shared" si="2"/>
        <v/>
      </c>
      <c r="C663" s="16"/>
      <c r="D663" s="40"/>
      <c r="E663" s="16"/>
      <c r="F663" s="41"/>
      <c r="G663" s="16"/>
      <c r="H663" s="16"/>
      <c r="I663" s="16"/>
      <c r="J663" s="22"/>
      <c r="K663" s="16"/>
      <c r="L663" s="16"/>
      <c r="M663" s="16"/>
      <c r="N663" s="19"/>
      <c r="O663" s="19"/>
      <c r="P663" s="19"/>
      <c r="Q663" s="19"/>
      <c r="R663" s="19"/>
      <c r="S663" s="19"/>
      <c r="T663" s="19"/>
      <c r="U663" s="19"/>
      <c r="V663" s="19"/>
      <c r="W663" s="20"/>
      <c r="X663" s="43"/>
    </row>
    <row r="664" spans="1:24" ht="15.75" hidden="1" customHeight="1" x14ac:dyDescent="0.25">
      <c r="A664" s="16"/>
      <c r="B664" s="16" t="str">
        <f t="shared" si="2"/>
        <v/>
      </c>
      <c r="C664" s="16"/>
      <c r="D664" s="40"/>
      <c r="E664" s="16"/>
      <c r="F664" s="41"/>
      <c r="G664" s="16"/>
      <c r="H664" s="16"/>
      <c r="I664" s="16"/>
      <c r="J664" s="22"/>
      <c r="K664" s="16"/>
      <c r="L664" s="16"/>
      <c r="M664" s="16"/>
      <c r="N664" s="19"/>
      <c r="O664" s="19"/>
      <c r="P664" s="19"/>
      <c r="Q664" s="19"/>
      <c r="R664" s="19"/>
      <c r="S664" s="19"/>
      <c r="T664" s="19"/>
      <c r="U664" s="19"/>
      <c r="V664" s="19"/>
      <c r="W664" s="20"/>
      <c r="X664" s="43"/>
    </row>
    <row r="665" spans="1:24" ht="15.75" hidden="1" customHeight="1" x14ac:dyDescent="0.25">
      <c r="A665" s="16"/>
      <c r="B665" s="16" t="str">
        <f t="shared" si="2"/>
        <v/>
      </c>
      <c r="C665" s="16"/>
      <c r="D665" s="40"/>
      <c r="E665" s="16"/>
      <c r="F665" s="41"/>
      <c r="G665" s="16"/>
      <c r="H665" s="16"/>
      <c r="I665" s="16"/>
      <c r="J665" s="22"/>
      <c r="K665" s="16"/>
      <c r="L665" s="16"/>
      <c r="M665" s="16"/>
      <c r="N665" s="19"/>
      <c r="O665" s="19"/>
      <c r="P665" s="19"/>
      <c r="Q665" s="19"/>
      <c r="R665" s="19"/>
      <c r="S665" s="19"/>
      <c r="T665" s="19"/>
      <c r="U665" s="19"/>
      <c r="V665" s="19"/>
      <c r="W665" s="20"/>
      <c r="X665" s="43"/>
    </row>
    <row r="666" spans="1:24" ht="15.75" hidden="1" customHeight="1" x14ac:dyDescent="0.25">
      <c r="A666" s="16"/>
      <c r="B666" s="16" t="str">
        <f t="shared" si="2"/>
        <v/>
      </c>
      <c r="C666" s="16"/>
      <c r="D666" s="40"/>
      <c r="E666" s="16"/>
      <c r="F666" s="41"/>
      <c r="G666" s="16"/>
      <c r="H666" s="16"/>
      <c r="I666" s="16"/>
      <c r="J666" s="22"/>
      <c r="K666" s="16"/>
      <c r="L666" s="16"/>
      <c r="M666" s="16"/>
      <c r="N666" s="19"/>
      <c r="O666" s="19"/>
      <c r="P666" s="19"/>
      <c r="Q666" s="19"/>
      <c r="R666" s="19"/>
      <c r="S666" s="19"/>
      <c r="T666" s="19"/>
      <c r="U666" s="19"/>
      <c r="V666" s="19"/>
      <c r="W666" s="20"/>
      <c r="X666" s="43"/>
    </row>
    <row r="667" spans="1:24" ht="15.75" hidden="1" customHeight="1" x14ac:dyDescent="0.25">
      <c r="A667" s="16"/>
      <c r="B667" s="16" t="str">
        <f t="shared" si="2"/>
        <v/>
      </c>
      <c r="C667" s="16"/>
      <c r="D667" s="40"/>
      <c r="E667" s="16"/>
      <c r="F667" s="41"/>
      <c r="G667" s="16"/>
      <c r="H667" s="16"/>
      <c r="I667" s="16"/>
      <c r="J667" s="22"/>
      <c r="K667" s="16"/>
      <c r="L667" s="16"/>
      <c r="M667" s="16"/>
      <c r="N667" s="19"/>
      <c r="O667" s="19"/>
      <c r="P667" s="19"/>
      <c r="Q667" s="19"/>
      <c r="R667" s="19"/>
      <c r="S667" s="19"/>
      <c r="T667" s="19"/>
      <c r="U667" s="19"/>
      <c r="V667" s="19"/>
      <c r="W667" s="20"/>
      <c r="X667" s="43"/>
    </row>
    <row r="668" spans="1:24" ht="15.75" hidden="1" customHeight="1" x14ac:dyDescent="0.25">
      <c r="A668" s="16"/>
      <c r="B668" s="16" t="str">
        <f t="shared" si="2"/>
        <v/>
      </c>
      <c r="C668" s="16"/>
      <c r="D668" s="40"/>
      <c r="E668" s="16"/>
      <c r="F668" s="41"/>
      <c r="G668" s="16"/>
      <c r="H668" s="16"/>
      <c r="I668" s="16"/>
      <c r="J668" s="22"/>
      <c r="K668" s="16"/>
      <c r="L668" s="16"/>
      <c r="M668" s="16"/>
      <c r="N668" s="19"/>
      <c r="O668" s="19"/>
      <c r="P668" s="19"/>
      <c r="Q668" s="19"/>
      <c r="R668" s="19"/>
      <c r="S668" s="19"/>
      <c r="T668" s="19"/>
      <c r="U668" s="19"/>
      <c r="V668" s="19"/>
      <c r="W668" s="20"/>
      <c r="X668" s="43"/>
    </row>
    <row r="669" spans="1:24" ht="15.75" hidden="1" customHeight="1" x14ac:dyDescent="0.25">
      <c r="A669" s="16"/>
      <c r="B669" s="16" t="str">
        <f t="shared" si="2"/>
        <v/>
      </c>
      <c r="C669" s="16"/>
      <c r="D669" s="40"/>
      <c r="E669" s="16"/>
      <c r="F669" s="41"/>
      <c r="G669" s="16"/>
      <c r="H669" s="16"/>
      <c r="I669" s="16"/>
      <c r="J669" s="22"/>
      <c r="K669" s="16"/>
      <c r="L669" s="16"/>
      <c r="M669" s="16"/>
      <c r="N669" s="19"/>
      <c r="O669" s="19"/>
      <c r="P669" s="19"/>
      <c r="Q669" s="19"/>
      <c r="R669" s="19"/>
      <c r="S669" s="19"/>
      <c r="T669" s="19"/>
      <c r="U669" s="19"/>
      <c r="V669" s="19"/>
      <c r="W669" s="20"/>
      <c r="X669" s="43"/>
    </row>
    <row r="670" spans="1:24" ht="15.75" hidden="1" customHeight="1" x14ac:dyDescent="0.25">
      <c r="A670" s="16"/>
      <c r="B670" s="16" t="str">
        <f t="shared" si="2"/>
        <v/>
      </c>
      <c r="C670" s="16"/>
      <c r="D670" s="40"/>
      <c r="E670" s="16"/>
      <c r="F670" s="41"/>
      <c r="G670" s="16"/>
      <c r="H670" s="16"/>
      <c r="I670" s="16"/>
      <c r="J670" s="22"/>
      <c r="K670" s="16"/>
      <c r="L670" s="16"/>
      <c r="M670" s="16"/>
      <c r="N670" s="19"/>
      <c r="O670" s="19"/>
      <c r="P670" s="19"/>
      <c r="Q670" s="19"/>
      <c r="R670" s="19"/>
      <c r="S670" s="19"/>
      <c r="T670" s="19"/>
      <c r="U670" s="19"/>
      <c r="V670" s="19"/>
      <c r="W670" s="20"/>
      <c r="X670" s="43"/>
    </row>
    <row r="671" spans="1:24" ht="15.75" hidden="1" customHeight="1" x14ac:dyDescent="0.25">
      <c r="A671" s="16"/>
      <c r="B671" s="16" t="str">
        <f t="shared" si="2"/>
        <v/>
      </c>
      <c r="C671" s="16"/>
      <c r="D671" s="40"/>
      <c r="E671" s="16"/>
      <c r="F671" s="41"/>
      <c r="G671" s="16"/>
      <c r="H671" s="16"/>
      <c r="I671" s="16"/>
      <c r="J671" s="22"/>
      <c r="K671" s="16"/>
      <c r="L671" s="16"/>
      <c r="M671" s="16"/>
      <c r="N671" s="19"/>
      <c r="O671" s="19"/>
      <c r="P671" s="19"/>
      <c r="Q671" s="19"/>
      <c r="R671" s="19"/>
      <c r="S671" s="19"/>
      <c r="T671" s="19"/>
      <c r="U671" s="19"/>
      <c r="V671" s="19"/>
      <c r="W671" s="20"/>
      <c r="X671" s="43"/>
    </row>
    <row r="672" spans="1:24" ht="15.75" hidden="1" customHeight="1" x14ac:dyDescent="0.25">
      <c r="A672" s="16"/>
      <c r="B672" s="16" t="str">
        <f t="shared" si="2"/>
        <v/>
      </c>
      <c r="C672" s="16"/>
      <c r="D672" s="40"/>
      <c r="E672" s="16"/>
      <c r="F672" s="41"/>
      <c r="G672" s="16"/>
      <c r="H672" s="16"/>
      <c r="I672" s="16"/>
      <c r="J672" s="22"/>
      <c r="K672" s="16"/>
      <c r="L672" s="16"/>
      <c r="M672" s="16"/>
      <c r="N672" s="19"/>
      <c r="O672" s="19"/>
      <c r="P672" s="19"/>
      <c r="Q672" s="19"/>
      <c r="R672" s="19"/>
      <c r="S672" s="19"/>
      <c r="T672" s="19"/>
      <c r="U672" s="19"/>
      <c r="V672" s="19"/>
      <c r="W672" s="20"/>
      <c r="X672" s="43"/>
    </row>
    <row r="673" spans="1:24" ht="15.75" hidden="1" customHeight="1" x14ac:dyDescent="0.25">
      <c r="A673" s="16"/>
      <c r="B673" s="16" t="str">
        <f t="shared" si="2"/>
        <v/>
      </c>
      <c r="C673" s="16"/>
      <c r="D673" s="40"/>
      <c r="E673" s="16"/>
      <c r="F673" s="41"/>
      <c r="G673" s="16"/>
      <c r="H673" s="16"/>
      <c r="I673" s="16"/>
      <c r="J673" s="22"/>
      <c r="K673" s="16"/>
      <c r="L673" s="16"/>
      <c r="M673" s="16"/>
      <c r="N673" s="19"/>
      <c r="O673" s="19"/>
      <c r="P673" s="19"/>
      <c r="Q673" s="19"/>
      <c r="R673" s="19"/>
      <c r="S673" s="19"/>
      <c r="T673" s="19"/>
      <c r="U673" s="19"/>
      <c r="V673" s="19"/>
      <c r="W673" s="20"/>
      <c r="X673" s="43"/>
    </row>
    <row r="674" spans="1:24" ht="15.75" hidden="1" customHeight="1" x14ac:dyDescent="0.25">
      <c r="A674" s="16"/>
      <c r="B674" s="16" t="str">
        <f t="shared" si="2"/>
        <v/>
      </c>
      <c r="C674" s="16"/>
      <c r="D674" s="40"/>
      <c r="E674" s="16"/>
      <c r="F674" s="41"/>
      <c r="G674" s="16"/>
      <c r="H674" s="16"/>
      <c r="I674" s="16"/>
      <c r="J674" s="22"/>
      <c r="K674" s="16"/>
      <c r="L674" s="16"/>
      <c r="M674" s="16"/>
      <c r="N674" s="19"/>
      <c r="O674" s="19"/>
      <c r="P674" s="19"/>
      <c r="Q674" s="19"/>
      <c r="R674" s="19"/>
      <c r="S674" s="19"/>
      <c r="T674" s="19"/>
      <c r="U674" s="19"/>
      <c r="V674" s="19"/>
      <c r="W674" s="20"/>
      <c r="X674" s="43"/>
    </row>
    <row r="675" spans="1:24" ht="15.75" hidden="1" customHeight="1" x14ac:dyDescent="0.25">
      <c r="A675" s="16"/>
      <c r="B675" s="16" t="str">
        <f t="shared" si="2"/>
        <v/>
      </c>
      <c r="C675" s="16"/>
      <c r="D675" s="40"/>
      <c r="E675" s="16"/>
      <c r="F675" s="41"/>
      <c r="G675" s="16"/>
      <c r="H675" s="16"/>
      <c r="I675" s="16"/>
      <c r="J675" s="22"/>
      <c r="K675" s="16"/>
      <c r="L675" s="16"/>
      <c r="M675" s="16"/>
      <c r="N675" s="19"/>
      <c r="O675" s="19"/>
      <c r="P675" s="19"/>
      <c r="Q675" s="19"/>
      <c r="R675" s="19"/>
      <c r="S675" s="19"/>
      <c r="T675" s="19"/>
      <c r="U675" s="19"/>
      <c r="V675" s="19"/>
      <c r="W675" s="20"/>
      <c r="X675" s="43"/>
    </row>
    <row r="676" spans="1:24" ht="15.75" hidden="1" customHeight="1" x14ac:dyDescent="0.25">
      <c r="A676" s="16"/>
      <c r="B676" s="16" t="str">
        <f t="shared" si="2"/>
        <v/>
      </c>
      <c r="C676" s="16"/>
      <c r="D676" s="40"/>
      <c r="E676" s="16"/>
      <c r="F676" s="41"/>
      <c r="G676" s="16"/>
      <c r="H676" s="16"/>
      <c r="I676" s="16"/>
      <c r="J676" s="22"/>
      <c r="K676" s="16"/>
      <c r="L676" s="16"/>
      <c r="M676" s="16"/>
      <c r="N676" s="19"/>
      <c r="O676" s="19"/>
      <c r="P676" s="19"/>
      <c r="Q676" s="19"/>
      <c r="R676" s="19"/>
      <c r="S676" s="19"/>
      <c r="T676" s="19"/>
      <c r="U676" s="19"/>
      <c r="V676" s="19"/>
      <c r="W676" s="20"/>
      <c r="X676" s="43"/>
    </row>
    <row r="677" spans="1:24" ht="15.75" hidden="1" customHeight="1" x14ac:dyDescent="0.25">
      <c r="A677" s="16"/>
      <c r="B677" s="16" t="str">
        <f t="shared" si="2"/>
        <v/>
      </c>
      <c r="C677" s="16"/>
      <c r="D677" s="40"/>
      <c r="E677" s="16"/>
      <c r="F677" s="41"/>
      <c r="G677" s="16"/>
      <c r="H677" s="16"/>
      <c r="I677" s="16"/>
      <c r="J677" s="22"/>
      <c r="K677" s="16"/>
      <c r="L677" s="16"/>
      <c r="M677" s="16"/>
      <c r="N677" s="19"/>
      <c r="O677" s="19"/>
      <c r="P677" s="19"/>
      <c r="Q677" s="19"/>
      <c r="R677" s="19"/>
      <c r="S677" s="19"/>
      <c r="T677" s="19"/>
      <c r="U677" s="19"/>
      <c r="V677" s="19"/>
      <c r="W677" s="20"/>
      <c r="X677" s="43"/>
    </row>
    <row r="678" spans="1:24" ht="15.75" hidden="1" customHeight="1" x14ac:dyDescent="0.25">
      <c r="A678" s="16"/>
      <c r="B678" s="16" t="str">
        <f t="shared" si="2"/>
        <v/>
      </c>
      <c r="C678" s="16"/>
      <c r="D678" s="40"/>
      <c r="E678" s="16"/>
      <c r="F678" s="41"/>
      <c r="G678" s="16"/>
      <c r="H678" s="16"/>
      <c r="I678" s="16"/>
      <c r="J678" s="22"/>
      <c r="K678" s="16"/>
      <c r="L678" s="16"/>
      <c r="M678" s="16"/>
      <c r="N678" s="19"/>
      <c r="O678" s="19"/>
      <c r="P678" s="19"/>
      <c r="Q678" s="19"/>
      <c r="R678" s="19"/>
      <c r="S678" s="19"/>
      <c r="T678" s="19"/>
      <c r="U678" s="19"/>
      <c r="V678" s="19"/>
      <c r="W678" s="20"/>
      <c r="X678" s="43"/>
    </row>
    <row r="679" spans="1:24" ht="15.75" hidden="1" customHeight="1" x14ac:dyDescent="0.25">
      <c r="A679" s="16"/>
      <c r="B679" s="16" t="str">
        <f t="shared" si="2"/>
        <v/>
      </c>
      <c r="C679" s="16"/>
      <c r="D679" s="40"/>
      <c r="E679" s="16"/>
      <c r="F679" s="41"/>
      <c r="G679" s="16"/>
      <c r="H679" s="16"/>
      <c r="I679" s="16"/>
      <c r="J679" s="22"/>
      <c r="K679" s="16"/>
      <c r="L679" s="16"/>
      <c r="M679" s="16"/>
      <c r="N679" s="19"/>
      <c r="O679" s="19"/>
      <c r="P679" s="19"/>
      <c r="Q679" s="19"/>
      <c r="R679" s="19"/>
      <c r="S679" s="19"/>
      <c r="T679" s="19"/>
      <c r="U679" s="19"/>
      <c r="V679" s="19"/>
      <c r="W679" s="20"/>
      <c r="X679" s="43"/>
    </row>
    <row r="680" spans="1:24" ht="15.75" hidden="1" customHeight="1" x14ac:dyDescent="0.25">
      <c r="A680" s="16"/>
      <c r="B680" s="16" t="str">
        <f t="shared" si="2"/>
        <v/>
      </c>
      <c r="C680" s="16"/>
      <c r="D680" s="40"/>
      <c r="E680" s="16"/>
      <c r="F680" s="41"/>
      <c r="G680" s="16"/>
      <c r="H680" s="16"/>
      <c r="I680" s="16"/>
      <c r="J680" s="22"/>
      <c r="K680" s="16"/>
      <c r="L680" s="16"/>
      <c r="M680" s="16"/>
      <c r="N680" s="19"/>
      <c r="O680" s="19"/>
      <c r="P680" s="19"/>
      <c r="Q680" s="19"/>
      <c r="R680" s="19"/>
      <c r="S680" s="19"/>
      <c r="T680" s="19"/>
      <c r="U680" s="19"/>
      <c r="V680" s="19"/>
      <c r="W680" s="20"/>
      <c r="X680" s="43"/>
    </row>
    <row r="681" spans="1:24" ht="15.75" hidden="1" customHeight="1" x14ac:dyDescent="0.25">
      <c r="A681" s="16"/>
      <c r="B681" s="16" t="str">
        <f t="shared" si="2"/>
        <v/>
      </c>
      <c r="C681" s="16"/>
      <c r="D681" s="40"/>
      <c r="E681" s="16"/>
      <c r="F681" s="41"/>
      <c r="G681" s="16"/>
      <c r="H681" s="16"/>
      <c r="I681" s="16"/>
      <c r="J681" s="22"/>
      <c r="K681" s="16"/>
      <c r="L681" s="16"/>
      <c r="M681" s="16"/>
      <c r="N681" s="19"/>
      <c r="O681" s="19"/>
      <c r="P681" s="19"/>
      <c r="Q681" s="19"/>
      <c r="R681" s="19"/>
      <c r="S681" s="19"/>
      <c r="T681" s="19"/>
      <c r="U681" s="19"/>
      <c r="V681" s="19"/>
      <c r="W681" s="20"/>
      <c r="X681" s="43"/>
    </row>
    <row r="682" spans="1:24" ht="15.75" hidden="1" customHeight="1" x14ac:dyDescent="0.25">
      <c r="A682" s="16"/>
      <c r="B682" s="16" t="str">
        <f t="shared" si="2"/>
        <v/>
      </c>
      <c r="C682" s="16"/>
      <c r="D682" s="40"/>
      <c r="E682" s="16"/>
      <c r="F682" s="41"/>
      <c r="G682" s="16"/>
      <c r="H682" s="16"/>
      <c r="I682" s="16"/>
      <c r="J682" s="22"/>
      <c r="K682" s="16"/>
      <c r="L682" s="16"/>
      <c r="M682" s="16"/>
      <c r="N682" s="19"/>
      <c r="O682" s="19"/>
      <c r="P682" s="19"/>
      <c r="Q682" s="19"/>
      <c r="R682" s="19"/>
      <c r="S682" s="19"/>
      <c r="T682" s="19"/>
      <c r="U682" s="19"/>
      <c r="V682" s="19"/>
      <c r="W682" s="20"/>
      <c r="X682" s="43"/>
    </row>
    <row r="683" spans="1:24" ht="15.75" hidden="1" customHeight="1" x14ac:dyDescent="0.25">
      <c r="A683" s="16"/>
      <c r="B683" s="16" t="str">
        <f t="shared" si="2"/>
        <v/>
      </c>
      <c r="C683" s="16"/>
      <c r="D683" s="40"/>
      <c r="E683" s="16"/>
      <c r="F683" s="41"/>
      <c r="G683" s="16"/>
      <c r="H683" s="16"/>
      <c r="I683" s="16"/>
      <c r="J683" s="22"/>
      <c r="K683" s="16"/>
      <c r="L683" s="16"/>
      <c r="M683" s="16"/>
      <c r="N683" s="19"/>
      <c r="O683" s="19"/>
      <c r="P683" s="19"/>
      <c r="Q683" s="19"/>
      <c r="R683" s="19"/>
      <c r="S683" s="19"/>
      <c r="T683" s="19"/>
      <c r="U683" s="19"/>
      <c r="V683" s="19"/>
      <c r="W683" s="20"/>
      <c r="X683" s="43"/>
    </row>
    <row r="684" spans="1:24" ht="15.75" hidden="1" customHeight="1" x14ac:dyDescent="0.25">
      <c r="A684" s="16"/>
      <c r="B684" s="16" t="str">
        <f t="shared" si="2"/>
        <v/>
      </c>
      <c r="C684" s="16"/>
      <c r="D684" s="40"/>
      <c r="E684" s="16"/>
      <c r="F684" s="41"/>
      <c r="G684" s="16"/>
      <c r="H684" s="16"/>
      <c r="I684" s="16"/>
      <c r="J684" s="22"/>
      <c r="K684" s="16"/>
      <c r="L684" s="16"/>
      <c r="M684" s="16"/>
      <c r="N684" s="19"/>
      <c r="O684" s="19"/>
      <c r="P684" s="19"/>
      <c r="Q684" s="19"/>
      <c r="R684" s="19"/>
      <c r="S684" s="19"/>
      <c r="T684" s="19"/>
      <c r="U684" s="19"/>
      <c r="V684" s="19"/>
      <c r="W684" s="20"/>
      <c r="X684" s="43"/>
    </row>
    <row r="685" spans="1:24" ht="15.75" hidden="1" customHeight="1" x14ac:dyDescent="0.25">
      <c r="A685" s="16"/>
      <c r="B685" s="16" t="str">
        <f t="shared" si="2"/>
        <v/>
      </c>
      <c r="C685" s="16"/>
      <c r="D685" s="40"/>
      <c r="E685" s="16"/>
      <c r="F685" s="41"/>
      <c r="G685" s="16"/>
      <c r="H685" s="16"/>
      <c r="I685" s="16"/>
      <c r="J685" s="22"/>
      <c r="K685" s="16"/>
      <c r="L685" s="16"/>
      <c r="M685" s="16"/>
      <c r="N685" s="19"/>
      <c r="O685" s="19"/>
      <c r="P685" s="19"/>
      <c r="Q685" s="19"/>
      <c r="R685" s="19"/>
      <c r="S685" s="19"/>
      <c r="T685" s="19"/>
      <c r="U685" s="19"/>
      <c r="V685" s="19"/>
      <c r="W685" s="20"/>
      <c r="X685" s="43"/>
    </row>
    <row r="686" spans="1:24" ht="15.75" hidden="1" customHeight="1" x14ac:dyDescent="0.25">
      <c r="A686" s="16"/>
      <c r="B686" s="16" t="str">
        <f t="shared" si="2"/>
        <v/>
      </c>
      <c r="C686" s="16"/>
      <c r="D686" s="40"/>
      <c r="E686" s="16"/>
      <c r="F686" s="41"/>
      <c r="G686" s="16"/>
      <c r="H686" s="16"/>
      <c r="I686" s="16"/>
      <c r="J686" s="22"/>
      <c r="K686" s="16"/>
      <c r="L686" s="16"/>
      <c r="M686" s="16"/>
      <c r="N686" s="19"/>
      <c r="O686" s="19"/>
      <c r="P686" s="19"/>
      <c r="Q686" s="19"/>
      <c r="R686" s="19"/>
      <c r="S686" s="19"/>
      <c r="T686" s="19"/>
      <c r="U686" s="19"/>
      <c r="V686" s="19"/>
      <c r="W686" s="20"/>
      <c r="X686" s="43"/>
    </row>
    <row r="687" spans="1:24" ht="15.75" hidden="1" customHeight="1" x14ac:dyDescent="0.25">
      <c r="A687" s="16"/>
      <c r="B687" s="16" t="str">
        <f t="shared" si="2"/>
        <v/>
      </c>
      <c r="C687" s="16"/>
      <c r="D687" s="40"/>
      <c r="E687" s="16"/>
      <c r="F687" s="41"/>
      <c r="G687" s="16"/>
      <c r="H687" s="16"/>
      <c r="I687" s="16"/>
      <c r="J687" s="22"/>
      <c r="K687" s="16"/>
      <c r="L687" s="16"/>
      <c r="M687" s="16"/>
      <c r="N687" s="19"/>
      <c r="O687" s="19"/>
      <c r="P687" s="19"/>
      <c r="Q687" s="19"/>
      <c r="R687" s="19"/>
      <c r="S687" s="19"/>
      <c r="T687" s="19"/>
      <c r="U687" s="19"/>
      <c r="V687" s="19"/>
      <c r="W687" s="20"/>
      <c r="X687" s="43"/>
    </row>
    <row r="688" spans="1:24" ht="15.75" hidden="1" customHeight="1" x14ac:dyDescent="0.25">
      <c r="A688" s="16"/>
      <c r="B688" s="16" t="str">
        <f t="shared" si="2"/>
        <v/>
      </c>
      <c r="C688" s="16"/>
      <c r="D688" s="40"/>
      <c r="E688" s="16"/>
      <c r="F688" s="41"/>
      <c r="G688" s="16"/>
      <c r="H688" s="16"/>
      <c r="I688" s="16"/>
      <c r="J688" s="22"/>
      <c r="K688" s="16"/>
      <c r="L688" s="16"/>
      <c r="M688" s="16"/>
      <c r="N688" s="19"/>
      <c r="O688" s="19"/>
      <c r="P688" s="19"/>
      <c r="Q688" s="19"/>
      <c r="R688" s="19"/>
      <c r="S688" s="19"/>
      <c r="T688" s="19"/>
      <c r="U688" s="19"/>
      <c r="V688" s="19"/>
      <c r="W688" s="20"/>
      <c r="X688" s="43"/>
    </row>
    <row r="689" spans="1:24" ht="15.75" hidden="1" customHeight="1" x14ac:dyDescent="0.25">
      <c r="A689" s="16"/>
      <c r="B689" s="16" t="str">
        <f t="shared" si="2"/>
        <v/>
      </c>
      <c r="C689" s="16"/>
      <c r="D689" s="40"/>
      <c r="E689" s="16"/>
      <c r="F689" s="41"/>
      <c r="G689" s="16"/>
      <c r="H689" s="16"/>
      <c r="I689" s="16"/>
      <c r="J689" s="22"/>
      <c r="K689" s="16"/>
      <c r="L689" s="16"/>
      <c r="M689" s="16"/>
      <c r="N689" s="19"/>
      <c r="O689" s="19"/>
      <c r="P689" s="19"/>
      <c r="Q689" s="19"/>
      <c r="R689" s="19"/>
      <c r="S689" s="19"/>
      <c r="T689" s="19"/>
      <c r="U689" s="19"/>
      <c r="V689" s="19"/>
      <c r="W689" s="20"/>
      <c r="X689" s="43"/>
    </row>
    <row r="690" spans="1:24" ht="15.75" hidden="1" customHeight="1" x14ac:dyDescent="0.25">
      <c r="A690" s="16"/>
      <c r="B690" s="16" t="str">
        <f t="shared" si="2"/>
        <v/>
      </c>
      <c r="C690" s="16"/>
      <c r="D690" s="40"/>
      <c r="E690" s="16"/>
      <c r="F690" s="41"/>
      <c r="G690" s="16"/>
      <c r="H690" s="16"/>
      <c r="I690" s="16"/>
      <c r="J690" s="22"/>
      <c r="K690" s="16"/>
      <c r="L690" s="16"/>
      <c r="M690" s="16"/>
      <c r="N690" s="19"/>
      <c r="O690" s="19"/>
      <c r="P690" s="19"/>
      <c r="Q690" s="19"/>
      <c r="R690" s="19"/>
      <c r="S690" s="19"/>
      <c r="T690" s="19"/>
      <c r="U690" s="19"/>
      <c r="V690" s="19"/>
      <c r="W690" s="20"/>
      <c r="X690" s="43"/>
    </row>
    <row r="691" spans="1:24" ht="15.75" hidden="1" customHeight="1" x14ac:dyDescent="0.25">
      <c r="A691" s="16"/>
      <c r="B691" s="16" t="str">
        <f t="shared" si="2"/>
        <v/>
      </c>
      <c r="C691" s="16"/>
      <c r="D691" s="40"/>
      <c r="E691" s="16"/>
      <c r="F691" s="41"/>
      <c r="G691" s="16"/>
      <c r="H691" s="16"/>
      <c r="I691" s="16"/>
      <c r="J691" s="22"/>
      <c r="K691" s="16"/>
      <c r="L691" s="16"/>
      <c r="M691" s="16"/>
      <c r="N691" s="19"/>
      <c r="O691" s="19"/>
      <c r="P691" s="19"/>
      <c r="Q691" s="19"/>
      <c r="R691" s="19"/>
      <c r="S691" s="19"/>
      <c r="T691" s="19"/>
      <c r="U691" s="19"/>
      <c r="V691" s="19"/>
      <c r="W691" s="20"/>
      <c r="X691" s="43"/>
    </row>
    <row r="692" spans="1:24" ht="15.75" hidden="1" customHeight="1" x14ac:dyDescent="0.25">
      <c r="A692" s="16"/>
      <c r="B692" s="16" t="str">
        <f t="shared" si="2"/>
        <v/>
      </c>
      <c r="C692" s="16"/>
      <c r="D692" s="40"/>
      <c r="E692" s="16"/>
      <c r="F692" s="41"/>
      <c r="G692" s="16"/>
      <c r="H692" s="16"/>
      <c r="I692" s="16"/>
      <c r="J692" s="22"/>
      <c r="K692" s="16"/>
      <c r="L692" s="16"/>
      <c r="M692" s="16"/>
      <c r="N692" s="19"/>
      <c r="O692" s="19"/>
      <c r="P692" s="19"/>
      <c r="Q692" s="19"/>
      <c r="R692" s="19"/>
      <c r="S692" s="19"/>
      <c r="T692" s="19"/>
      <c r="U692" s="19"/>
      <c r="V692" s="19"/>
      <c r="W692" s="20"/>
      <c r="X692" s="43"/>
    </row>
    <row r="693" spans="1:24" ht="15.75" hidden="1" customHeight="1" x14ac:dyDescent="0.25">
      <c r="A693" s="16"/>
      <c r="B693" s="16" t="str">
        <f t="shared" si="2"/>
        <v/>
      </c>
      <c r="C693" s="16"/>
      <c r="D693" s="40"/>
      <c r="E693" s="16"/>
      <c r="F693" s="41"/>
      <c r="G693" s="16"/>
      <c r="H693" s="16"/>
      <c r="I693" s="16"/>
      <c r="J693" s="22"/>
      <c r="K693" s="16"/>
      <c r="L693" s="16"/>
      <c r="M693" s="16"/>
      <c r="N693" s="19"/>
      <c r="O693" s="19"/>
      <c r="P693" s="19"/>
      <c r="Q693" s="19"/>
      <c r="R693" s="19"/>
      <c r="S693" s="19"/>
      <c r="T693" s="19"/>
      <c r="U693" s="19"/>
      <c r="V693" s="19"/>
      <c r="W693" s="20"/>
      <c r="X693" s="43"/>
    </row>
    <row r="694" spans="1:24" ht="15.75" hidden="1" customHeight="1" x14ac:dyDescent="0.25">
      <c r="A694" s="16"/>
      <c r="B694" s="16" t="str">
        <f t="shared" si="2"/>
        <v/>
      </c>
      <c r="C694" s="16"/>
      <c r="D694" s="40"/>
      <c r="E694" s="16"/>
      <c r="F694" s="41"/>
      <c r="G694" s="16"/>
      <c r="H694" s="16"/>
      <c r="I694" s="16"/>
      <c r="J694" s="22"/>
      <c r="K694" s="16"/>
      <c r="L694" s="16"/>
      <c r="M694" s="16"/>
      <c r="N694" s="19"/>
      <c r="O694" s="19"/>
      <c r="P694" s="19"/>
      <c r="Q694" s="19"/>
      <c r="R694" s="19"/>
      <c r="S694" s="19"/>
      <c r="T694" s="19"/>
      <c r="U694" s="19"/>
      <c r="V694" s="19"/>
      <c r="W694" s="20"/>
      <c r="X694" s="43"/>
    </row>
    <row r="695" spans="1:24" ht="15.75" hidden="1" customHeight="1" x14ac:dyDescent="0.25">
      <c r="A695" s="16"/>
      <c r="B695" s="16" t="str">
        <f t="shared" si="2"/>
        <v/>
      </c>
      <c r="C695" s="16"/>
      <c r="D695" s="40"/>
      <c r="E695" s="16"/>
      <c r="F695" s="41"/>
      <c r="G695" s="16"/>
      <c r="H695" s="16"/>
      <c r="I695" s="16"/>
      <c r="J695" s="22"/>
      <c r="K695" s="16"/>
      <c r="L695" s="16"/>
      <c r="M695" s="16"/>
      <c r="N695" s="19"/>
      <c r="O695" s="19"/>
      <c r="P695" s="19"/>
      <c r="Q695" s="19"/>
      <c r="R695" s="19"/>
      <c r="S695" s="19"/>
      <c r="T695" s="19"/>
      <c r="U695" s="19"/>
      <c r="V695" s="19"/>
      <c r="W695" s="20"/>
      <c r="X695" s="43"/>
    </row>
    <row r="696" spans="1:24" ht="15.75" hidden="1" customHeight="1" x14ac:dyDescent="0.25">
      <c r="A696" s="16"/>
      <c r="B696" s="16" t="str">
        <f t="shared" si="2"/>
        <v/>
      </c>
      <c r="C696" s="16"/>
      <c r="D696" s="40"/>
      <c r="E696" s="16"/>
      <c r="F696" s="41"/>
      <c r="G696" s="16"/>
      <c r="H696" s="16"/>
      <c r="I696" s="16"/>
      <c r="J696" s="22"/>
      <c r="K696" s="16"/>
      <c r="L696" s="16"/>
      <c r="M696" s="16"/>
      <c r="N696" s="19"/>
      <c r="O696" s="19"/>
      <c r="P696" s="19"/>
      <c r="Q696" s="19"/>
      <c r="R696" s="19"/>
      <c r="S696" s="19"/>
      <c r="T696" s="19"/>
      <c r="U696" s="19"/>
      <c r="V696" s="19"/>
      <c r="W696" s="20"/>
      <c r="X696" s="43"/>
    </row>
    <row r="697" spans="1:24" ht="15.75" hidden="1" customHeight="1" x14ac:dyDescent="0.25">
      <c r="A697" s="16"/>
      <c r="B697" s="16" t="str">
        <f t="shared" si="2"/>
        <v/>
      </c>
      <c r="C697" s="16"/>
      <c r="D697" s="40"/>
      <c r="E697" s="16"/>
      <c r="F697" s="41"/>
      <c r="G697" s="16"/>
      <c r="H697" s="16"/>
      <c r="I697" s="16"/>
      <c r="J697" s="22"/>
      <c r="K697" s="16"/>
      <c r="L697" s="16"/>
      <c r="M697" s="16"/>
      <c r="N697" s="19"/>
      <c r="O697" s="19"/>
      <c r="P697" s="19"/>
      <c r="Q697" s="19"/>
      <c r="R697" s="19"/>
      <c r="S697" s="19"/>
      <c r="T697" s="19"/>
      <c r="U697" s="19"/>
      <c r="V697" s="19"/>
      <c r="W697" s="20"/>
      <c r="X697" s="43"/>
    </row>
    <row r="698" spans="1:24" ht="15.75" hidden="1" customHeight="1" x14ac:dyDescent="0.25">
      <c r="A698" s="16"/>
      <c r="B698" s="16" t="str">
        <f t="shared" si="2"/>
        <v/>
      </c>
      <c r="C698" s="16"/>
      <c r="D698" s="40"/>
      <c r="E698" s="16"/>
      <c r="F698" s="41"/>
      <c r="G698" s="16"/>
      <c r="H698" s="16"/>
      <c r="I698" s="16"/>
      <c r="J698" s="22"/>
      <c r="K698" s="16"/>
      <c r="L698" s="16"/>
      <c r="M698" s="16"/>
      <c r="N698" s="19"/>
      <c r="O698" s="19"/>
      <c r="P698" s="19"/>
      <c r="Q698" s="19"/>
      <c r="R698" s="19"/>
      <c r="S698" s="19"/>
      <c r="T698" s="19"/>
      <c r="U698" s="19"/>
      <c r="V698" s="19"/>
      <c r="W698" s="20"/>
      <c r="X698" s="43"/>
    </row>
    <row r="699" spans="1:24" ht="15.75" hidden="1" customHeight="1" x14ac:dyDescent="0.25">
      <c r="A699" s="16"/>
      <c r="B699" s="16" t="str">
        <f t="shared" si="2"/>
        <v/>
      </c>
      <c r="C699" s="16"/>
      <c r="D699" s="40"/>
      <c r="E699" s="16"/>
      <c r="F699" s="41"/>
      <c r="G699" s="16"/>
      <c r="H699" s="16"/>
      <c r="I699" s="16"/>
      <c r="J699" s="22"/>
      <c r="K699" s="16"/>
      <c r="L699" s="16"/>
      <c r="M699" s="16"/>
      <c r="N699" s="19"/>
      <c r="O699" s="19"/>
      <c r="P699" s="19"/>
      <c r="Q699" s="19"/>
      <c r="R699" s="19"/>
      <c r="S699" s="19"/>
      <c r="T699" s="19"/>
      <c r="U699" s="19"/>
      <c r="V699" s="19"/>
      <c r="W699" s="20"/>
      <c r="X699" s="43"/>
    </row>
    <row r="700" spans="1:24" ht="15.75" hidden="1" customHeight="1" x14ac:dyDescent="0.25">
      <c r="A700" s="16"/>
      <c r="B700" s="16" t="str">
        <f t="shared" si="2"/>
        <v/>
      </c>
      <c r="C700" s="16"/>
      <c r="D700" s="40"/>
      <c r="E700" s="16"/>
      <c r="F700" s="41"/>
      <c r="G700" s="16"/>
      <c r="H700" s="16"/>
      <c r="I700" s="16"/>
      <c r="J700" s="22"/>
      <c r="K700" s="16"/>
      <c r="L700" s="16"/>
      <c r="M700" s="16"/>
      <c r="N700" s="19"/>
      <c r="O700" s="19"/>
      <c r="P700" s="19"/>
      <c r="Q700" s="19"/>
      <c r="R700" s="19"/>
      <c r="S700" s="19"/>
      <c r="T700" s="19"/>
      <c r="U700" s="19"/>
      <c r="V700" s="19"/>
      <c r="W700" s="20"/>
      <c r="X700" s="43"/>
    </row>
    <row r="701" spans="1:24" ht="15.75" hidden="1" customHeight="1" x14ac:dyDescent="0.25">
      <c r="A701" s="16"/>
      <c r="B701" s="16" t="str">
        <f t="shared" si="2"/>
        <v/>
      </c>
      <c r="C701" s="16"/>
      <c r="D701" s="40"/>
      <c r="E701" s="16"/>
      <c r="F701" s="41"/>
      <c r="G701" s="16"/>
      <c r="H701" s="16"/>
      <c r="I701" s="16"/>
      <c r="J701" s="22"/>
      <c r="K701" s="16"/>
      <c r="L701" s="16"/>
      <c r="M701" s="16"/>
      <c r="N701" s="19"/>
      <c r="O701" s="19"/>
      <c r="P701" s="19"/>
      <c r="Q701" s="19"/>
      <c r="R701" s="19"/>
      <c r="S701" s="19"/>
      <c r="T701" s="19"/>
      <c r="U701" s="19"/>
      <c r="V701" s="19"/>
      <c r="W701" s="20"/>
      <c r="X701" s="43"/>
    </row>
    <row r="702" spans="1:24" ht="15.75" hidden="1" customHeight="1" x14ac:dyDescent="0.25">
      <c r="A702" s="16"/>
      <c r="B702" s="16" t="str">
        <f t="shared" si="2"/>
        <v/>
      </c>
      <c r="C702" s="16"/>
      <c r="D702" s="40"/>
      <c r="E702" s="16"/>
      <c r="F702" s="41"/>
      <c r="G702" s="16"/>
      <c r="H702" s="16"/>
      <c r="I702" s="16"/>
      <c r="J702" s="22"/>
      <c r="K702" s="16"/>
      <c r="L702" s="16"/>
      <c r="M702" s="16"/>
      <c r="N702" s="19"/>
      <c r="O702" s="19"/>
      <c r="P702" s="19"/>
      <c r="Q702" s="19"/>
      <c r="R702" s="19"/>
      <c r="S702" s="19"/>
      <c r="T702" s="19"/>
      <c r="U702" s="19"/>
      <c r="V702" s="19"/>
      <c r="W702" s="20"/>
      <c r="X702" s="43"/>
    </row>
    <row r="703" spans="1:24" ht="15.75" hidden="1" customHeight="1" x14ac:dyDescent="0.25">
      <c r="A703" s="16"/>
      <c r="B703" s="16" t="str">
        <f t="shared" si="2"/>
        <v/>
      </c>
      <c r="C703" s="16"/>
      <c r="D703" s="40"/>
      <c r="E703" s="16"/>
      <c r="F703" s="41"/>
      <c r="G703" s="16"/>
      <c r="H703" s="16"/>
      <c r="I703" s="16"/>
      <c r="J703" s="22"/>
      <c r="K703" s="16"/>
      <c r="L703" s="16"/>
      <c r="M703" s="16"/>
      <c r="N703" s="19"/>
      <c r="O703" s="19"/>
      <c r="P703" s="19"/>
      <c r="Q703" s="19"/>
      <c r="R703" s="19"/>
      <c r="S703" s="19"/>
      <c r="T703" s="19"/>
      <c r="U703" s="19"/>
      <c r="V703" s="19"/>
      <c r="W703" s="20"/>
      <c r="X703" s="43"/>
    </row>
    <row r="704" spans="1:24" ht="15.75" hidden="1" customHeight="1" x14ac:dyDescent="0.25">
      <c r="A704" s="16"/>
      <c r="B704" s="16" t="str">
        <f t="shared" si="2"/>
        <v/>
      </c>
      <c r="C704" s="16"/>
      <c r="D704" s="40"/>
      <c r="E704" s="16"/>
      <c r="F704" s="41"/>
      <c r="G704" s="16"/>
      <c r="H704" s="16"/>
      <c r="I704" s="16"/>
      <c r="J704" s="22"/>
      <c r="K704" s="16"/>
      <c r="L704" s="16"/>
      <c r="M704" s="16"/>
      <c r="N704" s="19"/>
      <c r="O704" s="19"/>
      <c r="P704" s="19"/>
      <c r="Q704" s="19"/>
      <c r="R704" s="19"/>
      <c r="S704" s="19"/>
      <c r="T704" s="19"/>
      <c r="U704" s="19"/>
      <c r="V704" s="19"/>
      <c r="W704" s="20"/>
      <c r="X704" s="43"/>
    </row>
    <row r="705" spans="1:24" ht="15.75" hidden="1" customHeight="1" x14ac:dyDescent="0.25">
      <c r="A705" s="16"/>
      <c r="B705" s="16" t="str">
        <f t="shared" si="2"/>
        <v/>
      </c>
      <c r="C705" s="16"/>
      <c r="D705" s="40"/>
      <c r="E705" s="16"/>
      <c r="F705" s="41"/>
      <c r="G705" s="16"/>
      <c r="H705" s="16"/>
      <c r="I705" s="16"/>
      <c r="J705" s="22"/>
      <c r="K705" s="16"/>
      <c r="L705" s="16"/>
      <c r="M705" s="16"/>
      <c r="N705" s="19"/>
      <c r="O705" s="19"/>
      <c r="P705" s="19"/>
      <c r="Q705" s="19"/>
      <c r="R705" s="19"/>
      <c r="S705" s="19"/>
      <c r="T705" s="19"/>
      <c r="U705" s="19"/>
      <c r="V705" s="19"/>
      <c r="W705" s="20"/>
      <c r="X705" s="43"/>
    </row>
    <row r="706" spans="1:24" ht="15.75" hidden="1" customHeight="1" x14ac:dyDescent="0.25">
      <c r="A706" s="16"/>
      <c r="B706" s="16" t="str">
        <f t="shared" si="2"/>
        <v/>
      </c>
      <c r="C706" s="16"/>
      <c r="D706" s="40"/>
      <c r="E706" s="16"/>
      <c r="F706" s="41"/>
      <c r="G706" s="16"/>
      <c r="H706" s="16"/>
      <c r="I706" s="16"/>
      <c r="J706" s="22"/>
      <c r="K706" s="16"/>
      <c r="L706" s="16"/>
      <c r="M706" s="16"/>
      <c r="N706" s="19"/>
      <c r="O706" s="19"/>
      <c r="P706" s="19"/>
      <c r="Q706" s="19"/>
      <c r="R706" s="19"/>
      <c r="S706" s="19"/>
      <c r="T706" s="19"/>
      <c r="U706" s="19"/>
      <c r="V706" s="19"/>
      <c r="W706" s="20"/>
      <c r="X706" s="43"/>
    </row>
    <row r="707" spans="1:24" ht="15.75" hidden="1" customHeight="1" x14ac:dyDescent="0.25">
      <c r="A707" s="16"/>
      <c r="B707" s="16" t="str">
        <f t="shared" si="2"/>
        <v/>
      </c>
      <c r="C707" s="16"/>
      <c r="D707" s="40"/>
      <c r="E707" s="16"/>
      <c r="F707" s="41"/>
      <c r="G707" s="16"/>
      <c r="H707" s="16"/>
      <c r="I707" s="16"/>
      <c r="J707" s="22"/>
      <c r="K707" s="16"/>
      <c r="L707" s="16"/>
      <c r="M707" s="16"/>
      <c r="N707" s="19"/>
      <c r="O707" s="19"/>
      <c r="P707" s="19"/>
      <c r="Q707" s="19"/>
      <c r="R707" s="19"/>
      <c r="S707" s="19"/>
      <c r="T707" s="19"/>
      <c r="U707" s="19"/>
      <c r="V707" s="19"/>
      <c r="W707" s="20"/>
      <c r="X707" s="43"/>
    </row>
    <row r="708" spans="1:24" ht="15.75" hidden="1" customHeight="1" x14ac:dyDescent="0.25">
      <c r="A708" s="16"/>
      <c r="B708" s="16" t="str">
        <f t="shared" si="2"/>
        <v/>
      </c>
      <c r="C708" s="16"/>
      <c r="D708" s="40"/>
      <c r="E708" s="16"/>
      <c r="F708" s="41"/>
      <c r="G708" s="16"/>
      <c r="H708" s="16"/>
      <c r="I708" s="16"/>
      <c r="J708" s="22"/>
      <c r="K708" s="16"/>
      <c r="L708" s="16"/>
      <c r="M708" s="16"/>
      <c r="N708" s="19"/>
      <c r="O708" s="19"/>
      <c r="P708" s="19"/>
      <c r="Q708" s="19"/>
      <c r="R708" s="19"/>
      <c r="S708" s="19"/>
      <c r="T708" s="19"/>
      <c r="U708" s="19"/>
      <c r="V708" s="19"/>
      <c r="W708" s="20"/>
      <c r="X708" s="43"/>
    </row>
    <row r="709" spans="1:24" ht="15.75" hidden="1" customHeight="1" x14ac:dyDescent="0.25">
      <c r="A709" s="16"/>
      <c r="B709" s="16" t="str">
        <f t="shared" si="2"/>
        <v/>
      </c>
      <c r="C709" s="16"/>
      <c r="D709" s="40"/>
      <c r="E709" s="16"/>
      <c r="F709" s="41"/>
      <c r="G709" s="16"/>
      <c r="H709" s="16"/>
      <c r="I709" s="16"/>
      <c r="J709" s="22"/>
      <c r="K709" s="16"/>
      <c r="L709" s="16"/>
      <c r="M709" s="16"/>
      <c r="N709" s="19"/>
      <c r="O709" s="19"/>
      <c r="P709" s="19"/>
      <c r="Q709" s="19"/>
      <c r="R709" s="19"/>
      <c r="S709" s="19"/>
      <c r="T709" s="19"/>
      <c r="U709" s="19"/>
      <c r="V709" s="19"/>
      <c r="W709" s="20"/>
      <c r="X709" s="43"/>
    </row>
    <row r="710" spans="1:24" ht="15.75" hidden="1" customHeight="1" x14ac:dyDescent="0.25">
      <c r="A710" s="16"/>
      <c r="B710" s="16" t="str">
        <f t="shared" si="2"/>
        <v/>
      </c>
      <c r="C710" s="16"/>
      <c r="D710" s="40"/>
      <c r="E710" s="16"/>
      <c r="F710" s="41"/>
      <c r="G710" s="16"/>
      <c r="H710" s="16"/>
      <c r="I710" s="16"/>
      <c r="J710" s="22"/>
      <c r="K710" s="16"/>
      <c r="L710" s="16"/>
      <c r="M710" s="16"/>
      <c r="N710" s="19"/>
      <c r="O710" s="19"/>
      <c r="P710" s="19"/>
      <c r="Q710" s="19"/>
      <c r="R710" s="19"/>
      <c r="S710" s="19"/>
      <c r="T710" s="19"/>
      <c r="U710" s="19"/>
      <c r="V710" s="19"/>
      <c r="W710" s="20"/>
      <c r="X710" s="43"/>
    </row>
    <row r="711" spans="1:24" ht="15.75" hidden="1" customHeight="1" x14ac:dyDescent="0.25">
      <c r="A711" s="16"/>
      <c r="B711" s="16" t="str">
        <f t="shared" si="2"/>
        <v/>
      </c>
      <c r="C711" s="16"/>
      <c r="D711" s="40"/>
      <c r="E711" s="16"/>
      <c r="F711" s="41"/>
      <c r="G711" s="16"/>
      <c r="H711" s="16"/>
      <c r="I711" s="16"/>
      <c r="J711" s="22"/>
      <c r="K711" s="16"/>
      <c r="L711" s="16"/>
      <c r="M711" s="16"/>
      <c r="N711" s="19"/>
      <c r="O711" s="19"/>
      <c r="P711" s="19"/>
      <c r="Q711" s="19"/>
      <c r="R711" s="19"/>
      <c r="S711" s="19"/>
      <c r="T711" s="19"/>
      <c r="U711" s="19"/>
      <c r="V711" s="19"/>
      <c r="W711" s="20"/>
      <c r="X711" s="43"/>
    </row>
    <row r="712" spans="1:24" ht="15.75" hidden="1" customHeight="1" x14ac:dyDescent="0.25">
      <c r="A712" s="16"/>
      <c r="B712" s="16" t="str">
        <f t="shared" si="2"/>
        <v/>
      </c>
      <c r="C712" s="16"/>
      <c r="D712" s="40"/>
      <c r="E712" s="16"/>
      <c r="F712" s="41"/>
      <c r="G712" s="16"/>
      <c r="H712" s="16"/>
      <c r="I712" s="16"/>
      <c r="J712" s="22"/>
      <c r="K712" s="16"/>
      <c r="L712" s="16"/>
      <c r="M712" s="16"/>
      <c r="N712" s="19"/>
      <c r="O712" s="19"/>
      <c r="P712" s="19"/>
      <c r="Q712" s="19"/>
      <c r="R712" s="19"/>
      <c r="S712" s="19"/>
      <c r="T712" s="19"/>
      <c r="U712" s="19"/>
      <c r="V712" s="19"/>
      <c r="W712" s="20"/>
      <c r="X712" s="43"/>
    </row>
    <row r="713" spans="1:24" ht="15.75" hidden="1" customHeight="1" x14ac:dyDescent="0.25">
      <c r="A713" s="16"/>
      <c r="B713" s="16" t="str">
        <f t="shared" si="2"/>
        <v/>
      </c>
      <c r="C713" s="16"/>
      <c r="D713" s="40"/>
      <c r="E713" s="16"/>
      <c r="F713" s="41"/>
      <c r="G713" s="16"/>
      <c r="H713" s="16"/>
      <c r="I713" s="16"/>
      <c r="J713" s="22"/>
      <c r="K713" s="16"/>
      <c r="L713" s="16"/>
      <c r="M713" s="16"/>
      <c r="N713" s="19"/>
      <c r="O713" s="19"/>
      <c r="P713" s="19"/>
      <c r="Q713" s="19"/>
      <c r="R713" s="19"/>
      <c r="S713" s="19"/>
      <c r="T713" s="19"/>
      <c r="U713" s="19"/>
      <c r="V713" s="19"/>
      <c r="W713" s="20"/>
      <c r="X713" s="43"/>
    </row>
    <row r="714" spans="1:24" ht="15.75" hidden="1" customHeight="1" x14ac:dyDescent="0.25">
      <c r="A714" s="16"/>
      <c r="B714" s="16" t="str">
        <f t="shared" si="2"/>
        <v/>
      </c>
      <c r="C714" s="16"/>
      <c r="D714" s="40"/>
      <c r="E714" s="16"/>
      <c r="F714" s="41"/>
      <c r="G714" s="16"/>
      <c r="H714" s="16"/>
      <c r="I714" s="16"/>
      <c r="J714" s="22"/>
      <c r="K714" s="16"/>
      <c r="L714" s="16"/>
      <c r="M714" s="16"/>
      <c r="N714" s="19"/>
      <c r="O714" s="19"/>
      <c r="P714" s="19"/>
      <c r="Q714" s="19"/>
      <c r="R714" s="19"/>
      <c r="S714" s="19"/>
      <c r="T714" s="19"/>
      <c r="U714" s="19"/>
      <c r="V714" s="19"/>
      <c r="W714" s="20"/>
      <c r="X714" s="43"/>
    </row>
    <row r="715" spans="1:24" ht="15.75" hidden="1" customHeight="1" x14ac:dyDescent="0.25">
      <c r="A715" s="16"/>
      <c r="B715" s="16" t="str">
        <f t="shared" si="2"/>
        <v/>
      </c>
      <c r="C715" s="16"/>
      <c r="D715" s="40"/>
      <c r="E715" s="16"/>
      <c r="F715" s="41"/>
      <c r="G715" s="16"/>
      <c r="H715" s="16"/>
      <c r="I715" s="16"/>
      <c r="J715" s="22"/>
      <c r="K715" s="16"/>
      <c r="L715" s="16"/>
      <c r="M715" s="16"/>
      <c r="N715" s="19"/>
      <c r="O715" s="19"/>
      <c r="P715" s="19"/>
      <c r="Q715" s="19"/>
      <c r="R715" s="19"/>
      <c r="S715" s="19"/>
      <c r="T715" s="19"/>
      <c r="U715" s="19"/>
      <c r="V715" s="19"/>
      <c r="W715" s="20"/>
      <c r="X715" s="43"/>
    </row>
    <row r="716" spans="1:24" ht="15.75" hidden="1" customHeight="1" x14ac:dyDescent="0.25">
      <c r="A716" s="16"/>
      <c r="B716" s="16" t="str">
        <f t="shared" si="2"/>
        <v/>
      </c>
      <c r="C716" s="16"/>
      <c r="D716" s="40"/>
      <c r="E716" s="16"/>
      <c r="F716" s="41"/>
      <c r="G716" s="16"/>
      <c r="H716" s="16"/>
      <c r="I716" s="16"/>
      <c r="J716" s="22"/>
      <c r="K716" s="16"/>
      <c r="L716" s="16"/>
      <c r="M716" s="16"/>
      <c r="N716" s="19"/>
      <c r="O716" s="19"/>
      <c r="P716" s="19"/>
      <c r="Q716" s="19"/>
      <c r="R716" s="19"/>
      <c r="S716" s="19"/>
      <c r="T716" s="19"/>
      <c r="U716" s="19"/>
      <c r="V716" s="19"/>
      <c r="W716" s="20"/>
      <c r="X716" s="43"/>
    </row>
    <row r="717" spans="1:24" ht="15.75" hidden="1" customHeight="1" x14ac:dyDescent="0.25">
      <c r="A717" s="16"/>
      <c r="B717" s="16" t="str">
        <f t="shared" si="2"/>
        <v/>
      </c>
      <c r="C717" s="16"/>
      <c r="D717" s="40"/>
      <c r="E717" s="16"/>
      <c r="F717" s="41"/>
      <c r="G717" s="16"/>
      <c r="H717" s="16"/>
      <c r="I717" s="16"/>
      <c r="J717" s="22"/>
      <c r="K717" s="16"/>
      <c r="L717" s="16"/>
      <c r="M717" s="16"/>
      <c r="N717" s="19"/>
      <c r="O717" s="19"/>
      <c r="P717" s="19"/>
      <c r="Q717" s="19"/>
      <c r="R717" s="19"/>
      <c r="S717" s="19"/>
      <c r="T717" s="19"/>
      <c r="U717" s="19"/>
      <c r="V717" s="19"/>
      <c r="W717" s="20"/>
      <c r="X717" s="43"/>
    </row>
    <row r="718" spans="1:24" ht="15.75" hidden="1" customHeight="1" x14ac:dyDescent="0.25">
      <c r="A718" s="16"/>
      <c r="B718" s="16" t="str">
        <f t="shared" si="2"/>
        <v/>
      </c>
      <c r="C718" s="16"/>
      <c r="D718" s="40"/>
      <c r="E718" s="16"/>
      <c r="F718" s="41"/>
      <c r="G718" s="16"/>
      <c r="H718" s="16"/>
      <c r="I718" s="16"/>
      <c r="J718" s="22"/>
      <c r="K718" s="16"/>
      <c r="L718" s="16"/>
      <c r="M718" s="16"/>
      <c r="N718" s="19"/>
      <c r="O718" s="19"/>
      <c r="P718" s="19"/>
      <c r="Q718" s="19"/>
      <c r="R718" s="19"/>
      <c r="S718" s="19"/>
      <c r="T718" s="19"/>
      <c r="U718" s="19"/>
      <c r="V718" s="19"/>
      <c r="W718" s="20"/>
      <c r="X718" s="43"/>
    </row>
    <row r="719" spans="1:24" ht="15.75" hidden="1" customHeight="1" x14ac:dyDescent="0.25">
      <c r="A719" s="16"/>
      <c r="B719" s="16" t="str">
        <f t="shared" si="2"/>
        <v/>
      </c>
      <c r="C719" s="16"/>
      <c r="D719" s="40"/>
      <c r="E719" s="16"/>
      <c r="F719" s="41"/>
      <c r="G719" s="16"/>
      <c r="H719" s="16"/>
      <c r="I719" s="16"/>
      <c r="J719" s="22"/>
      <c r="K719" s="16"/>
      <c r="L719" s="16"/>
      <c r="M719" s="16"/>
      <c r="N719" s="19"/>
      <c r="O719" s="19"/>
      <c r="P719" s="19"/>
      <c r="Q719" s="19"/>
      <c r="R719" s="19"/>
      <c r="S719" s="19"/>
      <c r="T719" s="19"/>
      <c r="U719" s="19"/>
      <c r="V719" s="19"/>
      <c r="W719" s="20"/>
      <c r="X719" s="43"/>
    </row>
    <row r="720" spans="1:24" ht="15.75" hidden="1" customHeight="1" x14ac:dyDescent="0.25">
      <c r="A720" s="16"/>
      <c r="B720" s="16" t="str">
        <f t="shared" si="2"/>
        <v/>
      </c>
      <c r="C720" s="16"/>
      <c r="D720" s="40"/>
      <c r="E720" s="16"/>
      <c r="F720" s="41"/>
      <c r="G720" s="16"/>
      <c r="H720" s="16"/>
      <c r="I720" s="16"/>
      <c r="J720" s="22"/>
      <c r="K720" s="16"/>
      <c r="L720" s="16"/>
      <c r="M720" s="16"/>
      <c r="N720" s="19"/>
      <c r="O720" s="19"/>
      <c r="P720" s="19"/>
      <c r="Q720" s="19"/>
      <c r="R720" s="19"/>
      <c r="S720" s="19"/>
      <c r="T720" s="19"/>
      <c r="U720" s="19"/>
      <c r="V720" s="19"/>
      <c r="W720" s="20"/>
      <c r="X720" s="43"/>
    </row>
    <row r="721" spans="1:24" ht="15.75" hidden="1" customHeight="1" x14ac:dyDescent="0.25">
      <c r="A721" s="16"/>
      <c r="B721" s="16" t="str">
        <f t="shared" si="2"/>
        <v/>
      </c>
      <c r="C721" s="16"/>
      <c r="D721" s="40"/>
      <c r="E721" s="16"/>
      <c r="F721" s="41"/>
      <c r="G721" s="16"/>
      <c r="H721" s="16"/>
      <c r="I721" s="16"/>
      <c r="J721" s="22"/>
      <c r="K721" s="16"/>
      <c r="L721" s="16"/>
      <c r="M721" s="16"/>
      <c r="N721" s="19"/>
      <c r="O721" s="19"/>
      <c r="P721" s="19"/>
      <c r="Q721" s="19"/>
      <c r="R721" s="19"/>
      <c r="S721" s="19"/>
      <c r="T721" s="19"/>
      <c r="U721" s="19"/>
      <c r="V721" s="19"/>
      <c r="W721" s="20"/>
      <c r="X721" s="43"/>
    </row>
    <row r="722" spans="1:24" ht="15.75" hidden="1" customHeight="1" x14ac:dyDescent="0.25">
      <c r="A722" s="16"/>
      <c r="B722" s="16" t="str">
        <f t="shared" si="2"/>
        <v/>
      </c>
      <c r="C722" s="16"/>
      <c r="D722" s="40"/>
      <c r="E722" s="16"/>
      <c r="F722" s="41"/>
      <c r="G722" s="16"/>
      <c r="H722" s="16"/>
      <c r="I722" s="16"/>
      <c r="J722" s="22"/>
      <c r="K722" s="16"/>
      <c r="L722" s="16"/>
      <c r="M722" s="16"/>
      <c r="N722" s="19"/>
      <c r="O722" s="19"/>
      <c r="P722" s="19"/>
      <c r="Q722" s="19"/>
      <c r="R722" s="19"/>
      <c r="S722" s="19"/>
      <c r="T722" s="19"/>
      <c r="U722" s="19"/>
      <c r="V722" s="19"/>
      <c r="W722" s="20"/>
      <c r="X722" s="43"/>
    </row>
    <row r="723" spans="1:24" ht="15.75" hidden="1" customHeight="1" x14ac:dyDescent="0.25">
      <c r="A723" s="16"/>
      <c r="B723" s="16" t="str">
        <f t="shared" si="2"/>
        <v/>
      </c>
      <c r="C723" s="16"/>
      <c r="D723" s="40"/>
      <c r="E723" s="16"/>
      <c r="F723" s="41"/>
      <c r="G723" s="16"/>
      <c r="H723" s="16"/>
      <c r="I723" s="16"/>
      <c r="J723" s="22"/>
      <c r="K723" s="16"/>
      <c r="L723" s="16"/>
      <c r="M723" s="16"/>
      <c r="N723" s="19"/>
      <c r="O723" s="19"/>
      <c r="P723" s="19"/>
      <c r="Q723" s="19"/>
      <c r="R723" s="19"/>
      <c r="S723" s="19"/>
      <c r="T723" s="19"/>
      <c r="U723" s="19"/>
      <c r="V723" s="19"/>
      <c r="W723" s="20"/>
      <c r="X723" s="43"/>
    </row>
    <row r="724" spans="1:24" ht="15.75" hidden="1" customHeight="1" x14ac:dyDescent="0.25">
      <c r="A724" s="16"/>
      <c r="B724" s="16" t="str">
        <f t="shared" si="2"/>
        <v/>
      </c>
      <c r="C724" s="16"/>
      <c r="D724" s="40"/>
      <c r="E724" s="16"/>
      <c r="F724" s="41"/>
      <c r="G724" s="16"/>
      <c r="H724" s="16"/>
      <c r="I724" s="16"/>
      <c r="J724" s="22"/>
      <c r="K724" s="16"/>
      <c r="L724" s="16"/>
      <c r="M724" s="16"/>
      <c r="N724" s="19"/>
      <c r="O724" s="19"/>
      <c r="P724" s="19"/>
      <c r="Q724" s="19"/>
      <c r="R724" s="19"/>
      <c r="S724" s="19"/>
      <c r="T724" s="19"/>
      <c r="U724" s="19"/>
      <c r="V724" s="19"/>
      <c r="W724" s="20"/>
      <c r="X724" s="43"/>
    </row>
    <row r="725" spans="1:24" ht="15.75" hidden="1" customHeight="1" x14ac:dyDescent="0.25">
      <c r="A725" s="16"/>
      <c r="B725" s="16" t="str">
        <f t="shared" si="2"/>
        <v/>
      </c>
      <c r="C725" s="16"/>
      <c r="D725" s="40"/>
      <c r="E725" s="16"/>
      <c r="F725" s="41"/>
      <c r="G725" s="16"/>
      <c r="H725" s="16"/>
      <c r="I725" s="16"/>
      <c r="J725" s="22"/>
      <c r="K725" s="16"/>
      <c r="L725" s="16"/>
      <c r="M725" s="16"/>
      <c r="N725" s="19"/>
      <c r="O725" s="19"/>
      <c r="P725" s="19"/>
      <c r="Q725" s="19"/>
      <c r="R725" s="19"/>
      <c r="S725" s="19"/>
      <c r="T725" s="19"/>
      <c r="U725" s="19"/>
      <c r="V725" s="19"/>
      <c r="W725" s="20"/>
      <c r="X725" s="43"/>
    </row>
    <row r="726" spans="1:24" ht="15.75" hidden="1" customHeight="1" x14ac:dyDescent="0.25">
      <c r="A726" s="16"/>
      <c r="B726" s="16" t="str">
        <f t="shared" si="2"/>
        <v/>
      </c>
      <c r="C726" s="16"/>
      <c r="D726" s="40"/>
      <c r="E726" s="16"/>
      <c r="F726" s="41"/>
      <c r="G726" s="16"/>
      <c r="H726" s="16"/>
      <c r="I726" s="16"/>
      <c r="J726" s="22"/>
      <c r="K726" s="16"/>
      <c r="L726" s="16"/>
      <c r="M726" s="16"/>
      <c r="N726" s="19"/>
      <c r="O726" s="19"/>
      <c r="P726" s="19"/>
      <c r="Q726" s="19"/>
      <c r="R726" s="19"/>
      <c r="S726" s="19"/>
      <c r="T726" s="19"/>
      <c r="U726" s="19"/>
      <c r="V726" s="19"/>
      <c r="W726" s="20"/>
      <c r="X726" s="43"/>
    </row>
    <row r="727" spans="1:24" ht="15.75" hidden="1" customHeight="1" x14ac:dyDescent="0.25">
      <c r="A727" s="16"/>
      <c r="B727" s="16" t="str">
        <f t="shared" si="2"/>
        <v/>
      </c>
      <c r="C727" s="16"/>
      <c r="D727" s="40"/>
      <c r="E727" s="16"/>
      <c r="F727" s="41"/>
      <c r="G727" s="16"/>
      <c r="H727" s="16"/>
      <c r="I727" s="16"/>
      <c r="J727" s="22"/>
      <c r="K727" s="16"/>
      <c r="L727" s="16"/>
      <c r="M727" s="16"/>
      <c r="N727" s="19"/>
      <c r="O727" s="19"/>
      <c r="P727" s="19"/>
      <c r="Q727" s="19"/>
      <c r="R727" s="19"/>
      <c r="S727" s="19"/>
      <c r="T727" s="19"/>
      <c r="U727" s="19"/>
      <c r="V727" s="19"/>
      <c r="W727" s="20"/>
      <c r="X727" s="43"/>
    </row>
    <row r="728" spans="1:24" ht="15.75" hidden="1" customHeight="1" x14ac:dyDescent="0.25">
      <c r="A728" s="16"/>
      <c r="B728" s="16" t="str">
        <f t="shared" si="2"/>
        <v/>
      </c>
      <c r="C728" s="16"/>
      <c r="D728" s="40"/>
      <c r="E728" s="16"/>
      <c r="F728" s="41"/>
      <c r="G728" s="16"/>
      <c r="H728" s="16"/>
      <c r="I728" s="16"/>
      <c r="J728" s="22"/>
      <c r="K728" s="16"/>
      <c r="L728" s="16"/>
      <c r="M728" s="16"/>
      <c r="N728" s="19"/>
      <c r="O728" s="19"/>
      <c r="P728" s="19"/>
      <c r="Q728" s="19"/>
      <c r="R728" s="19"/>
      <c r="S728" s="19"/>
      <c r="T728" s="19"/>
      <c r="U728" s="19"/>
      <c r="V728" s="19"/>
      <c r="W728" s="20"/>
      <c r="X728" s="43"/>
    </row>
    <row r="729" spans="1:24" ht="15.75" hidden="1" customHeight="1" x14ac:dyDescent="0.25">
      <c r="A729" s="16"/>
      <c r="B729" s="16" t="str">
        <f t="shared" si="2"/>
        <v/>
      </c>
      <c r="C729" s="16"/>
      <c r="D729" s="40"/>
      <c r="E729" s="16"/>
      <c r="F729" s="41"/>
      <c r="G729" s="16"/>
      <c r="H729" s="16"/>
      <c r="I729" s="16"/>
      <c r="J729" s="22"/>
      <c r="K729" s="16"/>
      <c r="L729" s="16"/>
      <c r="M729" s="16"/>
      <c r="N729" s="19"/>
      <c r="O729" s="19"/>
      <c r="P729" s="19"/>
      <c r="Q729" s="19"/>
      <c r="R729" s="19"/>
      <c r="S729" s="19"/>
      <c r="T729" s="19"/>
      <c r="U729" s="19"/>
      <c r="V729" s="19"/>
      <c r="W729" s="20"/>
      <c r="X729" s="43"/>
    </row>
    <row r="730" spans="1:24" ht="15.75" hidden="1" customHeight="1" x14ac:dyDescent="0.25">
      <c r="A730" s="16"/>
      <c r="B730" s="16" t="str">
        <f t="shared" si="2"/>
        <v/>
      </c>
      <c r="C730" s="16"/>
      <c r="D730" s="40"/>
      <c r="E730" s="16"/>
      <c r="F730" s="41"/>
      <c r="G730" s="16"/>
      <c r="H730" s="16"/>
      <c r="I730" s="16"/>
      <c r="J730" s="22"/>
      <c r="K730" s="16"/>
      <c r="L730" s="16"/>
      <c r="M730" s="16"/>
      <c r="N730" s="19"/>
      <c r="O730" s="19"/>
      <c r="P730" s="19"/>
      <c r="Q730" s="19"/>
      <c r="R730" s="19"/>
      <c r="S730" s="19"/>
      <c r="T730" s="19"/>
      <c r="U730" s="19"/>
      <c r="V730" s="19"/>
      <c r="W730" s="20"/>
      <c r="X730" s="43"/>
    </row>
    <row r="731" spans="1:24" ht="15.75" hidden="1" customHeight="1" x14ac:dyDescent="0.25">
      <c r="A731" s="16"/>
      <c r="B731" s="16" t="str">
        <f t="shared" si="2"/>
        <v/>
      </c>
      <c r="C731" s="16"/>
      <c r="D731" s="40"/>
      <c r="E731" s="16"/>
      <c r="F731" s="41"/>
      <c r="G731" s="16"/>
      <c r="H731" s="16"/>
      <c r="I731" s="16"/>
      <c r="J731" s="22"/>
      <c r="K731" s="16"/>
      <c r="L731" s="16"/>
      <c r="M731" s="16"/>
      <c r="N731" s="19"/>
      <c r="O731" s="19"/>
      <c r="P731" s="19"/>
      <c r="Q731" s="19"/>
      <c r="R731" s="19"/>
      <c r="S731" s="19"/>
      <c r="T731" s="19"/>
      <c r="U731" s="19"/>
      <c r="V731" s="19"/>
      <c r="W731" s="20"/>
      <c r="X731" s="43"/>
    </row>
    <row r="732" spans="1:24" ht="15.75" hidden="1" customHeight="1" x14ac:dyDescent="0.25">
      <c r="A732" s="16"/>
      <c r="B732" s="16" t="str">
        <f t="shared" si="2"/>
        <v/>
      </c>
      <c r="C732" s="16"/>
      <c r="D732" s="40"/>
      <c r="E732" s="16"/>
      <c r="F732" s="41"/>
      <c r="G732" s="16"/>
      <c r="H732" s="16"/>
      <c r="I732" s="16"/>
      <c r="J732" s="22"/>
      <c r="K732" s="16"/>
      <c r="L732" s="16"/>
      <c r="M732" s="16"/>
      <c r="N732" s="19"/>
      <c r="O732" s="19"/>
      <c r="P732" s="19"/>
      <c r="Q732" s="19"/>
      <c r="R732" s="19"/>
      <c r="S732" s="19"/>
      <c r="T732" s="19"/>
      <c r="U732" s="19"/>
      <c r="V732" s="19"/>
      <c r="W732" s="20"/>
      <c r="X732" s="43"/>
    </row>
    <row r="733" spans="1:24" ht="15.75" hidden="1" customHeight="1" x14ac:dyDescent="0.25">
      <c r="A733" s="16"/>
      <c r="B733" s="16" t="str">
        <f t="shared" si="2"/>
        <v/>
      </c>
      <c r="C733" s="16"/>
      <c r="D733" s="40"/>
      <c r="E733" s="16"/>
      <c r="F733" s="41"/>
      <c r="G733" s="16"/>
      <c r="H733" s="16"/>
      <c r="I733" s="16"/>
      <c r="J733" s="22"/>
      <c r="K733" s="16"/>
      <c r="L733" s="16"/>
      <c r="M733" s="16"/>
      <c r="N733" s="19"/>
      <c r="O733" s="19"/>
      <c r="P733" s="19"/>
      <c r="Q733" s="19"/>
      <c r="R733" s="19"/>
      <c r="S733" s="19"/>
      <c r="T733" s="19"/>
      <c r="U733" s="19"/>
      <c r="V733" s="19"/>
      <c r="W733" s="20"/>
      <c r="X733" s="43"/>
    </row>
    <row r="734" spans="1:24" ht="15.75" hidden="1" customHeight="1" x14ac:dyDescent="0.25">
      <c r="A734" s="16"/>
      <c r="B734" s="16" t="str">
        <f t="shared" si="2"/>
        <v/>
      </c>
      <c r="C734" s="16"/>
      <c r="D734" s="40"/>
      <c r="E734" s="16"/>
      <c r="F734" s="41"/>
      <c r="G734" s="16"/>
      <c r="H734" s="16"/>
      <c r="I734" s="16"/>
      <c r="J734" s="22"/>
      <c r="K734" s="16"/>
      <c r="L734" s="16"/>
      <c r="M734" s="16"/>
      <c r="N734" s="19"/>
      <c r="O734" s="19"/>
      <c r="P734" s="19"/>
      <c r="Q734" s="19"/>
      <c r="R734" s="19"/>
      <c r="S734" s="19"/>
      <c r="T734" s="19"/>
      <c r="U734" s="19"/>
      <c r="V734" s="19"/>
      <c r="W734" s="20"/>
      <c r="X734" s="43"/>
    </row>
    <row r="735" spans="1:24" ht="15.75" hidden="1" customHeight="1" x14ac:dyDescent="0.25">
      <c r="A735" s="16"/>
      <c r="B735" s="16" t="str">
        <f t="shared" si="2"/>
        <v/>
      </c>
      <c r="C735" s="16"/>
      <c r="D735" s="40"/>
      <c r="E735" s="16"/>
      <c r="F735" s="41"/>
      <c r="G735" s="16"/>
      <c r="H735" s="16"/>
      <c r="I735" s="16"/>
      <c r="J735" s="22"/>
      <c r="K735" s="16"/>
      <c r="L735" s="16"/>
      <c r="M735" s="16"/>
      <c r="N735" s="19"/>
      <c r="O735" s="19"/>
      <c r="P735" s="19"/>
      <c r="Q735" s="19"/>
      <c r="R735" s="19"/>
      <c r="S735" s="19"/>
      <c r="T735" s="19"/>
      <c r="U735" s="19"/>
      <c r="V735" s="19"/>
      <c r="W735" s="20"/>
      <c r="X735" s="43"/>
    </row>
    <row r="736" spans="1:24" ht="15.75" hidden="1" customHeight="1" x14ac:dyDescent="0.25">
      <c r="A736" s="16"/>
      <c r="B736" s="16" t="str">
        <f t="shared" si="2"/>
        <v/>
      </c>
      <c r="C736" s="16"/>
      <c r="D736" s="40"/>
      <c r="E736" s="16"/>
      <c r="F736" s="41"/>
      <c r="G736" s="16"/>
      <c r="H736" s="16"/>
      <c r="I736" s="16"/>
      <c r="J736" s="22"/>
      <c r="K736" s="16"/>
      <c r="L736" s="16"/>
      <c r="M736" s="16"/>
      <c r="N736" s="19"/>
      <c r="O736" s="19"/>
      <c r="P736" s="19"/>
      <c r="Q736" s="19"/>
      <c r="R736" s="19"/>
      <c r="S736" s="19"/>
      <c r="T736" s="19"/>
      <c r="U736" s="19"/>
      <c r="V736" s="19"/>
      <c r="W736" s="20"/>
      <c r="X736" s="43"/>
    </row>
    <row r="737" spans="1:24" ht="15.75" hidden="1" customHeight="1" x14ac:dyDescent="0.25">
      <c r="A737" s="16"/>
      <c r="B737" s="16" t="str">
        <f t="shared" si="2"/>
        <v/>
      </c>
      <c r="C737" s="16"/>
      <c r="D737" s="40"/>
      <c r="E737" s="16"/>
      <c r="F737" s="41"/>
      <c r="G737" s="16"/>
      <c r="H737" s="16"/>
      <c r="I737" s="16"/>
      <c r="J737" s="22"/>
      <c r="K737" s="16"/>
      <c r="L737" s="16"/>
      <c r="M737" s="16"/>
      <c r="N737" s="19"/>
      <c r="O737" s="19"/>
      <c r="P737" s="19"/>
      <c r="Q737" s="19"/>
      <c r="R737" s="19"/>
      <c r="S737" s="19"/>
      <c r="T737" s="19"/>
      <c r="U737" s="19"/>
      <c r="V737" s="19"/>
      <c r="W737" s="20"/>
      <c r="X737" s="43"/>
    </row>
    <row r="738" spans="1:24" ht="15.75" hidden="1" customHeight="1" x14ac:dyDescent="0.25">
      <c r="A738" s="16"/>
      <c r="B738" s="16" t="str">
        <f t="shared" si="2"/>
        <v/>
      </c>
      <c r="C738" s="16"/>
      <c r="D738" s="40"/>
      <c r="E738" s="16"/>
      <c r="F738" s="41"/>
      <c r="G738" s="16"/>
      <c r="H738" s="16"/>
      <c r="I738" s="16"/>
      <c r="J738" s="22"/>
      <c r="K738" s="16"/>
      <c r="L738" s="16"/>
      <c r="M738" s="16"/>
      <c r="N738" s="19"/>
      <c r="O738" s="19"/>
      <c r="P738" s="19"/>
      <c r="Q738" s="19"/>
      <c r="R738" s="19"/>
      <c r="S738" s="19"/>
      <c r="T738" s="19"/>
      <c r="U738" s="19"/>
      <c r="V738" s="19"/>
      <c r="W738" s="20"/>
      <c r="X738" s="43"/>
    </row>
    <row r="739" spans="1:24" ht="15.75" hidden="1" customHeight="1" x14ac:dyDescent="0.25">
      <c r="A739" s="16"/>
      <c r="B739" s="16" t="str">
        <f t="shared" si="2"/>
        <v/>
      </c>
      <c r="C739" s="16"/>
      <c r="D739" s="40"/>
      <c r="E739" s="16"/>
      <c r="F739" s="41"/>
      <c r="G739" s="16"/>
      <c r="H739" s="16"/>
      <c r="I739" s="16"/>
      <c r="J739" s="22"/>
      <c r="K739" s="16"/>
      <c r="L739" s="16"/>
      <c r="M739" s="16"/>
      <c r="N739" s="19"/>
      <c r="O739" s="19"/>
      <c r="P739" s="19"/>
      <c r="Q739" s="19"/>
      <c r="R739" s="19"/>
      <c r="S739" s="19"/>
      <c r="T739" s="19"/>
      <c r="U739" s="19"/>
      <c r="V739" s="19"/>
      <c r="W739" s="20"/>
      <c r="X739" s="43"/>
    </row>
    <row r="740" spans="1:24" ht="15.75" hidden="1" customHeight="1" x14ac:dyDescent="0.25">
      <c r="A740" s="16"/>
      <c r="B740" s="16" t="str">
        <f t="shared" si="2"/>
        <v/>
      </c>
      <c r="C740" s="16"/>
      <c r="D740" s="40"/>
      <c r="E740" s="16"/>
      <c r="F740" s="41"/>
      <c r="G740" s="16"/>
      <c r="H740" s="16"/>
      <c r="I740" s="16"/>
      <c r="J740" s="22"/>
      <c r="K740" s="16"/>
      <c r="L740" s="16"/>
      <c r="M740" s="16"/>
      <c r="N740" s="19"/>
      <c r="O740" s="19"/>
      <c r="P740" s="19"/>
      <c r="Q740" s="19"/>
      <c r="R740" s="19"/>
      <c r="S740" s="19"/>
      <c r="T740" s="19"/>
      <c r="U740" s="19"/>
      <c r="V740" s="19"/>
      <c r="W740" s="20"/>
      <c r="X740" s="43"/>
    </row>
    <row r="741" spans="1:24" ht="15.75" hidden="1" customHeight="1" x14ac:dyDescent="0.25">
      <c r="A741" s="16"/>
      <c r="B741" s="16" t="str">
        <f t="shared" si="2"/>
        <v/>
      </c>
      <c r="C741" s="16"/>
      <c r="D741" s="40"/>
      <c r="E741" s="16"/>
      <c r="F741" s="41"/>
      <c r="G741" s="16"/>
      <c r="H741" s="16"/>
      <c r="I741" s="16"/>
      <c r="J741" s="22"/>
      <c r="K741" s="16"/>
      <c r="L741" s="16"/>
      <c r="M741" s="16"/>
      <c r="N741" s="19"/>
      <c r="O741" s="19"/>
      <c r="P741" s="19"/>
      <c r="Q741" s="19"/>
      <c r="R741" s="19"/>
      <c r="S741" s="19"/>
      <c r="T741" s="19"/>
      <c r="U741" s="19"/>
      <c r="V741" s="19"/>
      <c r="W741" s="20"/>
      <c r="X741" s="43"/>
    </row>
    <row r="742" spans="1:24" ht="15.75" hidden="1" customHeight="1" x14ac:dyDescent="0.25">
      <c r="A742" s="16"/>
      <c r="B742" s="16" t="str">
        <f t="shared" si="2"/>
        <v/>
      </c>
      <c r="C742" s="16"/>
      <c r="D742" s="40"/>
      <c r="E742" s="16"/>
      <c r="F742" s="41"/>
      <c r="G742" s="16"/>
      <c r="H742" s="16"/>
      <c r="I742" s="16"/>
      <c r="J742" s="22"/>
      <c r="K742" s="16"/>
      <c r="L742" s="16"/>
      <c r="M742" s="16"/>
      <c r="N742" s="19"/>
      <c r="O742" s="19"/>
      <c r="P742" s="19"/>
      <c r="Q742" s="19"/>
      <c r="R742" s="19"/>
      <c r="S742" s="19"/>
      <c r="T742" s="19"/>
      <c r="U742" s="19"/>
      <c r="V742" s="19"/>
      <c r="W742" s="20"/>
      <c r="X742" s="43"/>
    </row>
    <row r="743" spans="1:24" ht="15.75" hidden="1" customHeight="1" x14ac:dyDescent="0.25">
      <c r="A743" s="16"/>
      <c r="B743" s="16" t="str">
        <f t="shared" si="2"/>
        <v/>
      </c>
      <c r="C743" s="16"/>
      <c r="D743" s="40"/>
      <c r="E743" s="16"/>
      <c r="F743" s="41"/>
      <c r="G743" s="16"/>
      <c r="H743" s="16"/>
      <c r="I743" s="16"/>
      <c r="J743" s="22"/>
      <c r="K743" s="16"/>
      <c r="L743" s="16"/>
      <c r="M743" s="16"/>
      <c r="N743" s="19"/>
      <c r="O743" s="19"/>
      <c r="P743" s="19"/>
      <c r="Q743" s="19"/>
      <c r="R743" s="19"/>
      <c r="S743" s="19"/>
      <c r="T743" s="19"/>
      <c r="U743" s="19"/>
      <c r="V743" s="19"/>
      <c r="W743" s="20"/>
      <c r="X743" s="43"/>
    </row>
    <row r="744" spans="1:24" ht="15.75" hidden="1" customHeight="1" x14ac:dyDescent="0.25">
      <c r="A744" s="16"/>
      <c r="B744" s="16" t="str">
        <f t="shared" si="2"/>
        <v/>
      </c>
      <c r="C744" s="16"/>
      <c r="D744" s="40"/>
      <c r="E744" s="16"/>
      <c r="F744" s="41"/>
      <c r="G744" s="16"/>
      <c r="H744" s="16"/>
      <c r="I744" s="16"/>
      <c r="J744" s="22"/>
      <c r="K744" s="16"/>
      <c r="L744" s="16"/>
      <c r="M744" s="16"/>
      <c r="N744" s="19"/>
      <c r="O744" s="19"/>
      <c r="P744" s="19"/>
      <c r="Q744" s="19"/>
      <c r="R744" s="19"/>
      <c r="S744" s="19"/>
      <c r="T744" s="19"/>
      <c r="U744" s="19"/>
      <c r="V744" s="19"/>
      <c r="W744" s="20"/>
      <c r="X744" s="43"/>
    </row>
    <row r="745" spans="1:24" ht="15.75" hidden="1" customHeight="1" x14ac:dyDescent="0.25">
      <c r="A745" s="16"/>
      <c r="B745" s="16" t="str">
        <f t="shared" si="2"/>
        <v/>
      </c>
      <c r="C745" s="16"/>
      <c r="D745" s="40"/>
      <c r="E745" s="16"/>
      <c r="F745" s="41"/>
      <c r="G745" s="16"/>
      <c r="H745" s="16"/>
      <c r="I745" s="16"/>
      <c r="J745" s="22"/>
      <c r="K745" s="16"/>
      <c r="L745" s="16"/>
      <c r="M745" s="16"/>
      <c r="N745" s="19"/>
      <c r="O745" s="19"/>
      <c r="P745" s="19"/>
      <c r="Q745" s="19"/>
      <c r="R745" s="19"/>
      <c r="S745" s="19"/>
      <c r="T745" s="19"/>
      <c r="U745" s="19"/>
      <c r="V745" s="19"/>
      <c r="W745" s="20"/>
      <c r="X745" s="43"/>
    </row>
    <row r="746" spans="1:24" ht="15.75" hidden="1" customHeight="1" x14ac:dyDescent="0.25">
      <c r="A746" s="16"/>
      <c r="B746" s="16" t="str">
        <f t="shared" si="2"/>
        <v/>
      </c>
      <c r="C746" s="16"/>
      <c r="D746" s="40"/>
      <c r="E746" s="16"/>
      <c r="F746" s="41"/>
      <c r="G746" s="16"/>
      <c r="H746" s="16"/>
      <c r="I746" s="16"/>
      <c r="J746" s="22"/>
      <c r="K746" s="16"/>
      <c r="L746" s="16"/>
      <c r="M746" s="16"/>
      <c r="N746" s="19"/>
      <c r="O746" s="19"/>
      <c r="P746" s="19"/>
      <c r="Q746" s="19"/>
      <c r="R746" s="19"/>
      <c r="S746" s="19"/>
      <c r="T746" s="19"/>
      <c r="U746" s="19"/>
      <c r="V746" s="19"/>
      <c r="W746" s="20"/>
      <c r="X746" s="43"/>
    </row>
    <row r="747" spans="1:24" ht="15.75" hidden="1" customHeight="1" x14ac:dyDescent="0.25">
      <c r="A747" s="16"/>
      <c r="B747" s="16" t="str">
        <f t="shared" si="2"/>
        <v/>
      </c>
      <c r="C747" s="16"/>
      <c r="D747" s="40"/>
      <c r="E747" s="16"/>
      <c r="F747" s="41"/>
      <c r="G747" s="16"/>
      <c r="H747" s="16"/>
      <c r="I747" s="16"/>
      <c r="J747" s="22"/>
      <c r="K747" s="16"/>
      <c r="L747" s="16"/>
      <c r="M747" s="16"/>
      <c r="N747" s="19"/>
      <c r="O747" s="19"/>
      <c r="P747" s="19"/>
      <c r="Q747" s="19"/>
      <c r="R747" s="19"/>
      <c r="S747" s="19"/>
      <c r="T747" s="19"/>
      <c r="U747" s="19"/>
      <c r="V747" s="19"/>
      <c r="W747" s="20"/>
      <c r="X747" s="43"/>
    </row>
    <row r="748" spans="1:24" ht="15.75" hidden="1" customHeight="1" x14ac:dyDescent="0.25">
      <c r="A748" s="16"/>
      <c r="B748" s="16" t="str">
        <f t="shared" si="2"/>
        <v/>
      </c>
      <c r="C748" s="16"/>
      <c r="D748" s="40"/>
      <c r="E748" s="16"/>
      <c r="F748" s="41"/>
      <c r="G748" s="16"/>
      <c r="H748" s="16"/>
      <c r="I748" s="16"/>
      <c r="J748" s="22"/>
      <c r="K748" s="16"/>
      <c r="L748" s="16"/>
      <c r="M748" s="16"/>
      <c r="N748" s="19"/>
      <c r="O748" s="19"/>
      <c r="P748" s="19"/>
      <c r="Q748" s="19"/>
      <c r="R748" s="19"/>
      <c r="S748" s="19"/>
      <c r="T748" s="19"/>
      <c r="U748" s="19"/>
      <c r="V748" s="19"/>
      <c r="W748" s="20"/>
      <c r="X748" s="43"/>
    </row>
    <row r="749" spans="1:24" ht="15.75" hidden="1" customHeight="1" x14ac:dyDescent="0.25">
      <c r="A749" s="16"/>
      <c r="B749" s="16" t="str">
        <f t="shared" si="2"/>
        <v/>
      </c>
      <c r="C749" s="16"/>
      <c r="D749" s="40"/>
      <c r="E749" s="16"/>
      <c r="F749" s="41"/>
      <c r="G749" s="16"/>
      <c r="H749" s="16"/>
      <c r="I749" s="16"/>
      <c r="J749" s="22"/>
      <c r="K749" s="16"/>
      <c r="L749" s="16"/>
      <c r="M749" s="16"/>
      <c r="N749" s="19"/>
      <c r="O749" s="19"/>
      <c r="P749" s="19"/>
      <c r="Q749" s="19"/>
      <c r="R749" s="19"/>
      <c r="S749" s="19"/>
      <c r="T749" s="19"/>
      <c r="U749" s="19"/>
      <c r="V749" s="19"/>
      <c r="W749" s="20"/>
      <c r="X749" s="43"/>
    </row>
    <row r="750" spans="1:24" ht="15.75" hidden="1" customHeight="1" x14ac:dyDescent="0.25">
      <c r="A750" s="16"/>
      <c r="B750" s="16" t="str">
        <f t="shared" si="2"/>
        <v/>
      </c>
      <c r="C750" s="16"/>
      <c r="D750" s="40"/>
      <c r="E750" s="16"/>
      <c r="F750" s="41"/>
      <c r="G750" s="16"/>
      <c r="H750" s="16"/>
      <c r="I750" s="16"/>
      <c r="J750" s="22"/>
      <c r="K750" s="16"/>
      <c r="L750" s="16"/>
      <c r="M750" s="16"/>
      <c r="N750" s="19"/>
      <c r="O750" s="19"/>
      <c r="P750" s="19"/>
      <c r="Q750" s="19"/>
      <c r="R750" s="19"/>
      <c r="S750" s="19"/>
      <c r="T750" s="19"/>
      <c r="U750" s="19"/>
      <c r="V750" s="19"/>
      <c r="W750" s="20"/>
      <c r="X750" s="43"/>
    </row>
    <row r="751" spans="1:24" ht="15.75" hidden="1" customHeight="1" x14ac:dyDescent="0.25">
      <c r="A751" s="16"/>
      <c r="B751" s="16" t="str">
        <f t="shared" si="2"/>
        <v/>
      </c>
      <c r="C751" s="16"/>
      <c r="D751" s="40"/>
      <c r="E751" s="16"/>
      <c r="F751" s="41"/>
      <c r="G751" s="16"/>
      <c r="H751" s="16"/>
      <c r="I751" s="16"/>
      <c r="J751" s="22"/>
      <c r="K751" s="16"/>
      <c r="L751" s="16"/>
      <c r="M751" s="16"/>
      <c r="N751" s="19"/>
      <c r="O751" s="19"/>
      <c r="P751" s="19"/>
      <c r="Q751" s="19"/>
      <c r="R751" s="19"/>
      <c r="S751" s="19"/>
      <c r="T751" s="19"/>
      <c r="U751" s="19"/>
      <c r="V751" s="19"/>
      <c r="W751" s="20"/>
      <c r="X751" s="43"/>
    </row>
    <row r="752" spans="1:24" ht="15.75" hidden="1" customHeight="1" x14ac:dyDescent="0.25">
      <c r="A752" s="16"/>
      <c r="B752" s="16" t="str">
        <f t="shared" si="2"/>
        <v/>
      </c>
      <c r="C752" s="16"/>
      <c r="D752" s="40"/>
      <c r="E752" s="16"/>
      <c r="F752" s="41"/>
      <c r="G752" s="16"/>
      <c r="H752" s="16"/>
      <c r="I752" s="16"/>
      <c r="J752" s="22"/>
      <c r="K752" s="16"/>
      <c r="L752" s="16"/>
      <c r="M752" s="16"/>
      <c r="N752" s="19"/>
      <c r="O752" s="19"/>
      <c r="P752" s="19"/>
      <c r="Q752" s="19"/>
      <c r="R752" s="19"/>
      <c r="S752" s="19"/>
      <c r="T752" s="19"/>
      <c r="U752" s="19"/>
      <c r="V752" s="19"/>
      <c r="W752" s="20"/>
      <c r="X752" s="43"/>
    </row>
    <row r="753" spans="1:24" ht="15.75" hidden="1" customHeight="1" x14ac:dyDescent="0.25">
      <c r="A753" s="16"/>
      <c r="B753" s="16" t="str">
        <f t="shared" si="2"/>
        <v/>
      </c>
      <c r="C753" s="16"/>
      <c r="D753" s="40"/>
      <c r="E753" s="16"/>
      <c r="F753" s="41"/>
      <c r="G753" s="16"/>
      <c r="H753" s="16"/>
      <c r="I753" s="16"/>
      <c r="J753" s="22"/>
      <c r="K753" s="16"/>
      <c r="L753" s="16"/>
      <c r="M753" s="16"/>
      <c r="N753" s="19"/>
      <c r="O753" s="19"/>
      <c r="P753" s="19"/>
      <c r="Q753" s="19"/>
      <c r="R753" s="19"/>
      <c r="S753" s="19"/>
      <c r="T753" s="19"/>
      <c r="U753" s="19"/>
      <c r="V753" s="19"/>
      <c r="W753" s="20"/>
      <c r="X753" s="43"/>
    </row>
    <row r="754" spans="1:24" ht="15.75" hidden="1" customHeight="1" x14ac:dyDescent="0.25">
      <c r="A754" s="16"/>
      <c r="B754" s="16" t="str">
        <f t="shared" si="2"/>
        <v/>
      </c>
      <c r="C754" s="16"/>
      <c r="D754" s="40"/>
      <c r="E754" s="16"/>
      <c r="F754" s="41"/>
      <c r="G754" s="16"/>
      <c r="H754" s="16"/>
      <c r="I754" s="16"/>
      <c r="J754" s="22"/>
      <c r="K754" s="16"/>
      <c r="L754" s="16"/>
      <c r="M754" s="16"/>
      <c r="N754" s="19"/>
      <c r="O754" s="19"/>
      <c r="P754" s="19"/>
      <c r="Q754" s="19"/>
      <c r="R754" s="19"/>
      <c r="S754" s="19"/>
      <c r="T754" s="19"/>
      <c r="U754" s="19"/>
      <c r="V754" s="19"/>
      <c r="W754" s="20"/>
      <c r="X754" s="43"/>
    </row>
    <row r="755" spans="1:24" ht="15.75" hidden="1" customHeight="1" x14ac:dyDescent="0.25">
      <c r="A755" s="16"/>
      <c r="B755" s="16" t="str">
        <f t="shared" si="2"/>
        <v/>
      </c>
      <c r="C755" s="16"/>
      <c r="D755" s="40"/>
      <c r="E755" s="16"/>
      <c r="F755" s="41"/>
      <c r="G755" s="16"/>
      <c r="H755" s="16"/>
      <c r="I755" s="16"/>
      <c r="J755" s="22"/>
      <c r="K755" s="16"/>
      <c r="L755" s="16"/>
      <c r="M755" s="16"/>
      <c r="N755" s="19"/>
      <c r="O755" s="19"/>
      <c r="P755" s="19"/>
      <c r="Q755" s="19"/>
      <c r="R755" s="19"/>
      <c r="S755" s="19"/>
      <c r="T755" s="19"/>
      <c r="U755" s="19"/>
      <c r="V755" s="19"/>
      <c r="W755" s="20"/>
      <c r="X755" s="43"/>
    </row>
    <row r="756" spans="1:24" ht="15.75" hidden="1" customHeight="1" x14ac:dyDescent="0.25">
      <c r="A756" s="16"/>
      <c r="B756" s="16" t="str">
        <f t="shared" si="2"/>
        <v/>
      </c>
      <c r="C756" s="16"/>
      <c r="D756" s="40"/>
      <c r="E756" s="16"/>
      <c r="F756" s="41"/>
      <c r="G756" s="16"/>
      <c r="H756" s="16"/>
      <c r="I756" s="16"/>
      <c r="J756" s="22"/>
      <c r="K756" s="16"/>
      <c r="L756" s="16"/>
      <c r="M756" s="16"/>
      <c r="N756" s="19"/>
      <c r="O756" s="19"/>
      <c r="P756" s="19"/>
      <c r="Q756" s="19"/>
      <c r="R756" s="19"/>
      <c r="S756" s="19"/>
      <c r="T756" s="19"/>
      <c r="U756" s="19"/>
      <c r="V756" s="19"/>
      <c r="W756" s="20"/>
      <c r="X756" s="43"/>
    </row>
    <row r="757" spans="1:24" ht="15.75" hidden="1" customHeight="1" x14ac:dyDescent="0.25">
      <c r="A757" s="16"/>
      <c r="B757" s="16" t="str">
        <f t="shared" si="2"/>
        <v/>
      </c>
      <c r="C757" s="16"/>
      <c r="D757" s="40"/>
      <c r="E757" s="16"/>
      <c r="F757" s="41"/>
      <c r="G757" s="16"/>
      <c r="H757" s="16"/>
      <c r="I757" s="16"/>
      <c r="J757" s="22"/>
      <c r="K757" s="16"/>
      <c r="L757" s="16"/>
      <c r="M757" s="16"/>
      <c r="N757" s="19"/>
      <c r="O757" s="19"/>
      <c r="P757" s="19"/>
      <c r="Q757" s="19"/>
      <c r="R757" s="19"/>
      <c r="S757" s="19"/>
      <c r="T757" s="19"/>
      <c r="U757" s="19"/>
      <c r="V757" s="19"/>
      <c r="W757" s="20"/>
      <c r="X757" s="43"/>
    </row>
    <row r="758" spans="1:24" ht="15.75" hidden="1" customHeight="1" x14ac:dyDescent="0.25">
      <c r="A758" s="16"/>
      <c r="B758" s="16" t="str">
        <f t="shared" si="2"/>
        <v/>
      </c>
      <c r="C758" s="16"/>
      <c r="D758" s="40"/>
      <c r="E758" s="16"/>
      <c r="F758" s="41"/>
      <c r="G758" s="16"/>
      <c r="H758" s="16"/>
      <c r="I758" s="16"/>
      <c r="J758" s="22"/>
      <c r="K758" s="16"/>
      <c r="L758" s="16"/>
      <c r="M758" s="16"/>
      <c r="N758" s="19"/>
      <c r="O758" s="19"/>
      <c r="P758" s="19"/>
      <c r="Q758" s="19"/>
      <c r="R758" s="19"/>
      <c r="S758" s="19"/>
      <c r="T758" s="19"/>
      <c r="U758" s="19"/>
      <c r="V758" s="19"/>
      <c r="W758" s="20"/>
      <c r="X758" s="43"/>
    </row>
    <row r="759" spans="1:24" ht="15.75" hidden="1" customHeight="1" x14ac:dyDescent="0.25">
      <c r="A759" s="16"/>
      <c r="B759" s="16" t="str">
        <f t="shared" si="2"/>
        <v/>
      </c>
      <c r="C759" s="16"/>
      <c r="D759" s="40"/>
      <c r="E759" s="16"/>
      <c r="F759" s="41"/>
      <c r="G759" s="16"/>
      <c r="H759" s="16"/>
      <c r="I759" s="16"/>
      <c r="J759" s="22"/>
      <c r="K759" s="16"/>
      <c r="L759" s="16"/>
      <c r="M759" s="16"/>
      <c r="N759" s="19"/>
      <c r="O759" s="19"/>
      <c r="P759" s="19"/>
      <c r="Q759" s="19"/>
      <c r="R759" s="19"/>
      <c r="S759" s="19"/>
      <c r="T759" s="19"/>
      <c r="U759" s="19"/>
      <c r="V759" s="19"/>
      <c r="W759" s="20"/>
      <c r="X759" s="43"/>
    </row>
    <row r="760" spans="1:24" ht="15.75" hidden="1" customHeight="1" x14ac:dyDescent="0.25">
      <c r="A760" s="16"/>
      <c r="B760" s="16" t="str">
        <f t="shared" si="2"/>
        <v/>
      </c>
      <c r="C760" s="16"/>
      <c r="D760" s="40"/>
      <c r="E760" s="16"/>
      <c r="F760" s="41"/>
      <c r="G760" s="16"/>
      <c r="H760" s="16"/>
      <c r="I760" s="16"/>
      <c r="J760" s="22"/>
      <c r="K760" s="16"/>
      <c r="L760" s="16"/>
      <c r="M760" s="16"/>
      <c r="N760" s="19"/>
      <c r="O760" s="19"/>
      <c r="P760" s="19"/>
      <c r="Q760" s="19"/>
      <c r="R760" s="19"/>
      <c r="S760" s="19"/>
      <c r="T760" s="19"/>
      <c r="U760" s="19"/>
      <c r="V760" s="19"/>
      <c r="W760" s="20"/>
      <c r="X760" s="43"/>
    </row>
    <row r="761" spans="1:24" ht="15.75" hidden="1" customHeight="1" x14ac:dyDescent="0.25">
      <c r="A761" s="16"/>
      <c r="B761" s="16" t="str">
        <f t="shared" si="2"/>
        <v/>
      </c>
      <c r="C761" s="16"/>
      <c r="D761" s="40"/>
      <c r="E761" s="16"/>
      <c r="F761" s="41"/>
      <c r="G761" s="16"/>
      <c r="H761" s="16"/>
      <c r="I761" s="16"/>
      <c r="J761" s="22"/>
      <c r="K761" s="16"/>
      <c r="L761" s="16"/>
      <c r="M761" s="16"/>
      <c r="N761" s="19"/>
      <c r="O761" s="19"/>
      <c r="P761" s="19"/>
      <c r="Q761" s="19"/>
      <c r="R761" s="19"/>
      <c r="S761" s="19"/>
      <c r="T761" s="19"/>
      <c r="U761" s="19"/>
      <c r="V761" s="19"/>
      <c r="W761" s="20"/>
      <c r="X761" s="43"/>
    </row>
    <row r="762" spans="1:24" ht="15.75" hidden="1" customHeight="1" x14ac:dyDescent="0.25">
      <c r="A762" s="16"/>
      <c r="B762" s="16" t="str">
        <f t="shared" si="2"/>
        <v/>
      </c>
      <c r="C762" s="16"/>
      <c r="D762" s="40"/>
      <c r="E762" s="16"/>
      <c r="F762" s="41"/>
      <c r="G762" s="16"/>
      <c r="H762" s="16"/>
      <c r="I762" s="16"/>
      <c r="J762" s="22"/>
      <c r="K762" s="16"/>
      <c r="L762" s="16"/>
      <c r="M762" s="16"/>
      <c r="N762" s="19"/>
      <c r="O762" s="19"/>
      <c r="P762" s="19"/>
      <c r="Q762" s="19"/>
      <c r="R762" s="19"/>
      <c r="S762" s="19"/>
      <c r="T762" s="19"/>
      <c r="U762" s="19"/>
      <c r="V762" s="19"/>
      <c r="W762" s="20"/>
      <c r="X762" s="43"/>
    </row>
    <row r="763" spans="1:24" ht="15.75" hidden="1" customHeight="1" x14ac:dyDescent="0.25">
      <c r="A763" s="16"/>
      <c r="B763" s="16" t="str">
        <f t="shared" si="2"/>
        <v/>
      </c>
      <c r="C763" s="16"/>
      <c r="D763" s="40"/>
      <c r="E763" s="16"/>
      <c r="F763" s="41"/>
      <c r="G763" s="16"/>
      <c r="H763" s="16"/>
      <c r="I763" s="16"/>
      <c r="J763" s="22"/>
      <c r="K763" s="16"/>
      <c r="L763" s="16"/>
      <c r="M763" s="16"/>
      <c r="N763" s="19"/>
      <c r="O763" s="19"/>
      <c r="P763" s="19"/>
      <c r="Q763" s="19"/>
      <c r="R763" s="19"/>
      <c r="S763" s="19"/>
      <c r="T763" s="19"/>
      <c r="U763" s="19"/>
      <c r="V763" s="19"/>
      <c r="W763" s="20"/>
      <c r="X763" s="43"/>
    </row>
    <row r="764" spans="1:24" ht="15.75" hidden="1" customHeight="1" x14ac:dyDescent="0.25">
      <c r="A764" s="16"/>
      <c r="B764" s="16" t="str">
        <f t="shared" si="2"/>
        <v/>
      </c>
      <c r="C764" s="16"/>
      <c r="D764" s="40"/>
      <c r="E764" s="16"/>
      <c r="F764" s="41"/>
      <c r="G764" s="16"/>
      <c r="H764" s="16"/>
      <c r="I764" s="16"/>
      <c r="J764" s="22"/>
      <c r="K764" s="16"/>
      <c r="L764" s="16"/>
      <c r="M764" s="16"/>
      <c r="N764" s="19"/>
      <c r="O764" s="19"/>
      <c r="P764" s="19"/>
      <c r="Q764" s="19"/>
      <c r="R764" s="19"/>
      <c r="S764" s="19"/>
      <c r="T764" s="19"/>
      <c r="U764" s="19"/>
      <c r="V764" s="19"/>
      <c r="W764" s="20"/>
      <c r="X764" s="43"/>
    </row>
    <row r="765" spans="1:24" ht="15.75" hidden="1" customHeight="1" x14ac:dyDescent="0.25">
      <c r="A765" s="16"/>
      <c r="B765" s="16" t="str">
        <f t="shared" si="2"/>
        <v/>
      </c>
      <c r="C765" s="16"/>
      <c r="D765" s="40"/>
      <c r="E765" s="16"/>
      <c r="F765" s="41"/>
      <c r="G765" s="16"/>
      <c r="H765" s="16"/>
      <c r="I765" s="16"/>
      <c r="J765" s="22"/>
      <c r="K765" s="16"/>
      <c r="L765" s="16"/>
      <c r="M765" s="16"/>
      <c r="N765" s="19"/>
      <c r="O765" s="19"/>
      <c r="P765" s="19"/>
      <c r="Q765" s="19"/>
      <c r="R765" s="19"/>
      <c r="S765" s="19"/>
      <c r="T765" s="19"/>
      <c r="U765" s="19"/>
      <c r="V765" s="19"/>
      <c r="W765" s="20"/>
      <c r="X765" s="43"/>
    </row>
    <row r="766" spans="1:24" ht="15.75" hidden="1" customHeight="1" x14ac:dyDescent="0.25">
      <c r="A766" s="16"/>
      <c r="B766" s="16" t="str">
        <f t="shared" si="2"/>
        <v/>
      </c>
      <c r="C766" s="16"/>
      <c r="D766" s="40"/>
      <c r="E766" s="16"/>
      <c r="F766" s="41"/>
      <c r="G766" s="16"/>
      <c r="H766" s="16"/>
      <c r="I766" s="16"/>
      <c r="J766" s="22"/>
      <c r="K766" s="16"/>
      <c r="L766" s="16"/>
      <c r="M766" s="16"/>
      <c r="N766" s="19"/>
      <c r="O766" s="19"/>
      <c r="P766" s="19"/>
      <c r="Q766" s="19"/>
      <c r="R766" s="19"/>
      <c r="S766" s="19"/>
      <c r="T766" s="19"/>
      <c r="U766" s="19"/>
      <c r="V766" s="19"/>
      <c r="W766" s="20"/>
      <c r="X766" s="43"/>
    </row>
    <row r="767" spans="1:24" ht="15.75" hidden="1" customHeight="1" x14ac:dyDescent="0.25">
      <c r="A767" s="16"/>
      <c r="B767" s="16" t="str">
        <f t="shared" si="2"/>
        <v/>
      </c>
      <c r="C767" s="16"/>
      <c r="D767" s="40"/>
      <c r="E767" s="16"/>
      <c r="F767" s="41"/>
      <c r="G767" s="16"/>
      <c r="H767" s="16"/>
      <c r="I767" s="16"/>
      <c r="J767" s="22"/>
      <c r="K767" s="16"/>
      <c r="L767" s="16"/>
      <c r="M767" s="16"/>
      <c r="N767" s="19"/>
      <c r="O767" s="19"/>
      <c r="P767" s="19"/>
      <c r="Q767" s="19"/>
      <c r="R767" s="19"/>
      <c r="S767" s="19"/>
      <c r="T767" s="19"/>
      <c r="U767" s="19"/>
      <c r="V767" s="19"/>
      <c r="W767" s="20"/>
      <c r="X767" s="43"/>
    </row>
    <row r="768" spans="1:24" ht="15.75" hidden="1" customHeight="1" x14ac:dyDescent="0.25">
      <c r="A768" s="16"/>
      <c r="B768" s="16" t="str">
        <f t="shared" si="2"/>
        <v/>
      </c>
      <c r="C768" s="16"/>
      <c r="D768" s="40"/>
      <c r="E768" s="16"/>
      <c r="F768" s="41"/>
      <c r="G768" s="16"/>
      <c r="H768" s="16"/>
      <c r="I768" s="16"/>
      <c r="J768" s="22"/>
      <c r="K768" s="16"/>
      <c r="L768" s="16"/>
      <c r="M768" s="16"/>
      <c r="N768" s="19"/>
      <c r="O768" s="19"/>
      <c r="P768" s="19"/>
      <c r="Q768" s="19"/>
      <c r="R768" s="19"/>
      <c r="S768" s="19"/>
      <c r="T768" s="19"/>
      <c r="U768" s="19"/>
      <c r="V768" s="19"/>
      <c r="W768" s="20"/>
      <c r="X768" s="43"/>
    </row>
    <row r="769" spans="1:24" ht="15.75" hidden="1" customHeight="1" x14ac:dyDescent="0.25">
      <c r="A769" s="16"/>
      <c r="B769" s="16" t="str">
        <f t="shared" si="2"/>
        <v/>
      </c>
      <c r="C769" s="16"/>
      <c r="D769" s="40"/>
      <c r="E769" s="16"/>
      <c r="F769" s="41"/>
      <c r="G769" s="16"/>
      <c r="H769" s="16"/>
      <c r="I769" s="16"/>
      <c r="J769" s="22"/>
      <c r="K769" s="16"/>
      <c r="L769" s="16"/>
      <c r="M769" s="16"/>
      <c r="N769" s="19"/>
      <c r="O769" s="19"/>
      <c r="P769" s="19"/>
      <c r="Q769" s="19"/>
      <c r="R769" s="19"/>
      <c r="S769" s="19"/>
      <c r="T769" s="19"/>
      <c r="U769" s="19"/>
      <c r="V769" s="19"/>
      <c r="W769" s="20"/>
      <c r="X769" s="43"/>
    </row>
    <row r="770" spans="1:24" ht="15.75" hidden="1" customHeight="1" x14ac:dyDescent="0.25">
      <c r="A770" s="16"/>
      <c r="B770" s="16" t="str">
        <f t="shared" si="2"/>
        <v/>
      </c>
      <c r="C770" s="16"/>
      <c r="D770" s="40"/>
      <c r="E770" s="16"/>
      <c r="F770" s="41"/>
      <c r="G770" s="16"/>
      <c r="H770" s="16"/>
      <c r="I770" s="16"/>
      <c r="J770" s="22"/>
      <c r="K770" s="16"/>
      <c r="L770" s="16"/>
      <c r="M770" s="16"/>
      <c r="N770" s="19"/>
      <c r="O770" s="19"/>
      <c r="P770" s="19"/>
      <c r="Q770" s="19"/>
      <c r="R770" s="19"/>
      <c r="S770" s="19"/>
      <c r="T770" s="19"/>
      <c r="U770" s="19"/>
      <c r="V770" s="19"/>
      <c r="W770" s="20"/>
      <c r="X770" s="43"/>
    </row>
    <row r="771" spans="1:24" ht="15.75" hidden="1" customHeight="1" x14ac:dyDescent="0.25">
      <c r="A771" s="16"/>
      <c r="B771" s="16" t="str">
        <f t="shared" si="2"/>
        <v/>
      </c>
      <c r="C771" s="16"/>
      <c r="D771" s="40"/>
      <c r="E771" s="16"/>
      <c r="F771" s="41"/>
      <c r="G771" s="16"/>
      <c r="H771" s="16"/>
      <c r="I771" s="16"/>
      <c r="J771" s="22"/>
      <c r="K771" s="16"/>
      <c r="L771" s="16"/>
      <c r="M771" s="16"/>
      <c r="N771" s="19"/>
      <c r="O771" s="19"/>
      <c r="P771" s="19"/>
      <c r="Q771" s="19"/>
      <c r="R771" s="19"/>
      <c r="S771" s="19"/>
      <c r="T771" s="19"/>
      <c r="U771" s="19"/>
      <c r="V771" s="19"/>
      <c r="W771" s="20"/>
      <c r="X771" s="43"/>
    </row>
    <row r="772" spans="1:24" ht="15.75" hidden="1" customHeight="1" x14ac:dyDescent="0.25">
      <c r="A772" s="16"/>
      <c r="B772" s="16" t="str">
        <f t="shared" si="2"/>
        <v/>
      </c>
      <c r="C772" s="16"/>
      <c r="D772" s="40"/>
      <c r="E772" s="16"/>
      <c r="F772" s="41"/>
      <c r="G772" s="16"/>
      <c r="H772" s="16"/>
      <c r="I772" s="16"/>
      <c r="J772" s="22"/>
      <c r="K772" s="16"/>
      <c r="L772" s="16"/>
      <c r="M772" s="16"/>
      <c r="N772" s="19"/>
      <c r="O772" s="19"/>
      <c r="P772" s="19"/>
      <c r="Q772" s="19"/>
      <c r="R772" s="19"/>
      <c r="S772" s="19"/>
      <c r="T772" s="19"/>
      <c r="U772" s="19"/>
      <c r="V772" s="19"/>
      <c r="W772" s="20"/>
      <c r="X772" s="43"/>
    </row>
    <row r="773" spans="1:24" ht="15.75" hidden="1" customHeight="1" x14ac:dyDescent="0.25">
      <c r="A773" s="16"/>
      <c r="B773" s="16" t="str">
        <f t="shared" si="2"/>
        <v/>
      </c>
      <c r="C773" s="16"/>
      <c r="D773" s="40"/>
      <c r="E773" s="16"/>
      <c r="F773" s="41"/>
      <c r="G773" s="16"/>
      <c r="H773" s="16"/>
      <c r="I773" s="16"/>
      <c r="J773" s="22"/>
      <c r="K773" s="16"/>
      <c r="L773" s="16"/>
      <c r="M773" s="16"/>
      <c r="N773" s="19"/>
      <c r="O773" s="19"/>
      <c r="P773" s="19"/>
      <c r="Q773" s="19"/>
      <c r="R773" s="19"/>
      <c r="S773" s="19"/>
      <c r="T773" s="19"/>
      <c r="U773" s="19"/>
      <c r="V773" s="19"/>
      <c r="W773" s="20"/>
      <c r="X773" s="43"/>
    </row>
    <row r="774" spans="1:24" ht="15.75" hidden="1" customHeight="1" x14ac:dyDescent="0.25">
      <c r="A774" s="16"/>
      <c r="B774" s="16" t="str">
        <f t="shared" si="2"/>
        <v/>
      </c>
      <c r="C774" s="16"/>
      <c r="D774" s="40"/>
      <c r="E774" s="16"/>
      <c r="F774" s="41"/>
      <c r="G774" s="16"/>
      <c r="H774" s="16"/>
      <c r="I774" s="16"/>
      <c r="J774" s="22"/>
      <c r="K774" s="16"/>
      <c r="L774" s="16"/>
      <c r="M774" s="16"/>
      <c r="N774" s="19"/>
      <c r="O774" s="19"/>
      <c r="P774" s="19"/>
      <c r="Q774" s="19"/>
      <c r="R774" s="19"/>
      <c r="S774" s="19"/>
      <c r="T774" s="19"/>
      <c r="U774" s="19"/>
      <c r="V774" s="19"/>
      <c r="W774" s="20"/>
      <c r="X774" s="43"/>
    </row>
    <row r="775" spans="1:24" ht="15.75" hidden="1" customHeight="1" x14ac:dyDescent="0.25">
      <c r="A775" s="16"/>
      <c r="B775" s="16" t="str">
        <f t="shared" si="2"/>
        <v/>
      </c>
      <c r="C775" s="16"/>
      <c r="D775" s="40"/>
      <c r="E775" s="16"/>
      <c r="F775" s="41"/>
      <c r="G775" s="16"/>
      <c r="H775" s="16"/>
      <c r="I775" s="16"/>
      <c r="J775" s="22"/>
      <c r="K775" s="16"/>
      <c r="L775" s="16"/>
      <c r="M775" s="16"/>
      <c r="N775" s="19"/>
      <c r="O775" s="19"/>
      <c r="P775" s="19"/>
      <c r="Q775" s="19"/>
      <c r="R775" s="19"/>
      <c r="S775" s="19"/>
      <c r="T775" s="19"/>
      <c r="U775" s="19"/>
      <c r="V775" s="19"/>
      <c r="W775" s="20"/>
      <c r="X775" s="43"/>
    </row>
    <row r="776" spans="1:24" ht="15.75" hidden="1" customHeight="1" x14ac:dyDescent="0.25">
      <c r="A776" s="16"/>
      <c r="B776" s="16" t="str">
        <f t="shared" si="2"/>
        <v/>
      </c>
      <c r="C776" s="16"/>
      <c r="D776" s="40"/>
      <c r="E776" s="16"/>
      <c r="F776" s="41"/>
      <c r="G776" s="16"/>
      <c r="H776" s="16"/>
      <c r="I776" s="16"/>
      <c r="J776" s="22"/>
      <c r="K776" s="16"/>
      <c r="L776" s="16"/>
      <c r="M776" s="16"/>
      <c r="N776" s="19"/>
      <c r="O776" s="19"/>
      <c r="P776" s="19"/>
      <c r="Q776" s="19"/>
      <c r="R776" s="19"/>
      <c r="S776" s="19"/>
      <c r="T776" s="19"/>
      <c r="U776" s="19"/>
      <c r="V776" s="19"/>
      <c r="W776" s="20"/>
      <c r="X776" s="43"/>
    </row>
    <row r="777" spans="1:24" ht="15.75" hidden="1" customHeight="1" x14ac:dyDescent="0.25">
      <c r="A777" s="16"/>
      <c r="B777" s="16" t="str">
        <f t="shared" si="2"/>
        <v/>
      </c>
      <c r="C777" s="16"/>
      <c r="D777" s="40"/>
      <c r="E777" s="16"/>
      <c r="F777" s="41"/>
      <c r="G777" s="16"/>
      <c r="H777" s="16"/>
      <c r="I777" s="16"/>
      <c r="J777" s="22"/>
      <c r="K777" s="16"/>
      <c r="L777" s="16"/>
      <c r="M777" s="16"/>
      <c r="N777" s="19"/>
      <c r="O777" s="19"/>
      <c r="P777" s="19"/>
      <c r="Q777" s="19"/>
      <c r="R777" s="19"/>
      <c r="S777" s="19"/>
      <c r="T777" s="19"/>
      <c r="U777" s="19"/>
      <c r="V777" s="19"/>
      <c r="W777" s="20"/>
      <c r="X777" s="43"/>
    </row>
    <row r="778" spans="1:24" ht="15.75" hidden="1" customHeight="1" x14ac:dyDescent="0.25">
      <c r="A778" s="16"/>
      <c r="B778" s="16" t="str">
        <f t="shared" si="2"/>
        <v/>
      </c>
      <c r="C778" s="16"/>
      <c r="D778" s="40"/>
      <c r="E778" s="16"/>
      <c r="F778" s="41"/>
      <c r="G778" s="16"/>
      <c r="H778" s="16"/>
      <c r="I778" s="16"/>
      <c r="J778" s="22"/>
      <c r="K778" s="16"/>
      <c r="L778" s="16"/>
      <c r="M778" s="16"/>
      <c r="N778" s="19"/>
      <c r="O778" s="19"/>
      <c r="P778" s="19"/>
      <c r="Q778" s="19"/>
      <c r="R778" s="19"/>
      <c r="S778" s="19"/>
      <c r="T778" s="19"/>
      <c r="U778" s="19"/>
      <c r="V778" s="19"/>
      <c r="W778" s="20"/>
      <c r="X778" s="43"/>
    </row>
    <row r="779" spans="1:24" ht="15.75" hidden="1" customHeight="1" x14ac:dyDescent="0.25">
      <c r="A779" s="16"/>
      <c r="B779" s="16" t="str">
        <f t="shared" si="2"/>
        <v/>
      </c>
      <c r="C779" s="16"/>
      <c r="D779" s="40"/>
      <c r="E779" s="16"/>
      <c r="F779" s="41"/>
      <c r="G779" s="16"/>
      <c r="H779" s="16"/>
      <c r="I779" s="16"/>
      <c r="J779" s="22"/>
      <c r="K779" s="16"/>
      <c r="L779" s="16"/>
      <c r="M779" s="16"/>
      <c r="N779" s="19"/>
      <c r="O779" s="19"/>
      <c r="P779" s="19"/>
      <c r="Q779" s="19"/>
      <c r="R779" s="19"/>
      <c r="S779" s="19"/>
      <c r="T779" s="19"/>
      <c r="U779" s="19"/>
      <c r="V779" s="19"/>
      <c r="W779" s="20"/>
      <c r="X779" s="43"/>
    </row>
    <row r="780" spans="1:24" ht="15.75" hidden="1" customHeight="1" x14ac:dyDescent="0.25">
      <c r="A780" s="16"/>
      <c r="B780" s="16" t="str">
        <f t="shared" si="2"/>
        <v/>
      </c>
      <c r="C780" s="16"/>
      <c r="D780" s="40"/>
      <c r="E780" s="16"/>
      <c r="F780" s="41"/>
      <c r="G780" s="16"/>
      <c r="H780" s="16"/>
      <c r="I780" s="16"/>
      <c r="J780" s="22"/>
      <c r="K780" s="16"/>
      <c r="L780" s="16"/>
      <c r="M780" s="16"/>
      <c r="N780" s="19"/>
      <c r="O780" s="19"/>
      <c r="P780" s="19"/>
      <c r="Q780" s="19"/>
      <c r="R780" s="19"/>
      <c r="S780" s="19"/>
      <c r="T780" s="19"/>
      <c r="U780" s="19"/>
      <c r="V780" s="19"/>
      <c r="W780" s="20"/>
      <c r="X780" s="43"/>
    </row>
    <row r="781" spans="1:24" ht="15.75" hidden="1" customHeight="1" x14ac:dyDescent="0.25">
      <c r="A781" s="16"/>
      <c r="B781" s="16" t="str">
        <f t="shared" si="2"/>
        <v/>
      </c>
      <c r="C781" s="16"/>
      <c r="D781" s="40"/>
      <c r="E781" s="16"/>
      <c r="F781" s="41"/>
      <c r="G781" s="16"/>
      <c r="H781" s="16"/>
      <c r="I781" s="16"/>
      <c r="J781" s="22"/>
      <c r="K781" s="16"/>
      <c r="L781" s="16"/>
      <c r="M781" s="16"/>
      <c r="N781" s="19"/>
      <c r="O781" s="19"/>
      <c r="P781" s="19"/>
      <c r="Q781" s="19"/>
      <c r="R781" s="19"/>
      <c r="S781" s="19"/>
      <c r="T781" s="19"/>
      <c r="U781" s="19"/>
      <c r="V781" s="19"/>
      <c r="W781" s="20"/>
      <c r="X781" s="43"/>
    </row>
    <row r="782" spans="1:24" ht="15.75" hidden="1" customHeight="1" x14ac:dyDescent="0.25">
      <c r="A782" s="16"/>
      <c r="B782" s="16" t="str">
        <f t="shared" si="2"/>
        <v/>
      </c>
      <c r="C782" s="16"/>
      <c r="D782" s="40"/>
      <c r="E782" s="16"/>
      <c r="F782" s="41"/>
      <c r="G782" s="16"/>
      <c r="H782" s="16"/>
      <c r="I782" s="16"/>
      <c r="J782" s="22"/>
      <c r="K782" s="16"/>
      <c r="L782" s="16"/>
      <c r="M782" s="16"/>
      <c r="N782" s="19"/>
      <c r="O782" s="19"/>
      <c r="P782" s="19"/>
      <c r="Q782" s="19"/>
      <c r="R782" s="19"/>
      <c r="S782" s="19"/>
      <c r="T782" s="19"/>
      <c r="U782" s="19"/>
      <c r="V782" s="19"/>
      <c r="W782" s="20"/>
      <c r="X782" s="43"/>
    </row>
    <row r="783" spans="1:24" ht="15.75" hidden="1" customHeight="1" x14ac:dyDescent="0.25">
      <c r="A783" s="16"/>
      <c r="B783" s="16" t="str">
        <f t="shared" si="2"/>
        <v/>
      </c>
      <c r="C783" s="16"/>
      <c r="D783" s="40"/>
      <c r="E783" s="16"/>
      <c r="F783" s="41"/>
      <c r="G783" s="16"/>
      <c r="H783" s="16"/>
      <c r="I783" s="16"/>
      <c r="J783" s="22"/>
      <c r="K783" s="16"/>
      <c r="L783" s="16"/>
      <c r="M783" s="16"/>
      <c r="N783" s="19"/>
      <c r="O783" s="19"/>
      <c r="P783" s="19"/>
      <c r="Q783" s="19"/>
      <c r="R783" s="19"/>
      <c r="S783" s="19"/>
      <c r="T783" s="19"/>
      <c r="U783" s="19"/>
      <c r="V783" s="19"/>
      <c r="W783" s="20"/>
      <c r="X783" s="43"/>
    </row>
    <row r="784" spans="1:24" ht="15.75" hidden="1" customHeight="1" x14ac:dyDescent="0.25">
      <c r="A784" s="16"/>
      <c r="B784" s="16" t="str">
        <f t="shared" si="2"/>
        <v/>
      </c>
      <c r="C784" s="16"/>
      <c r="D784" s="40"/>
      <c r="E784" s="16"/>
      <c r="F784" s="41"/>
      <c r="G784" s="16"/>
      <c r="H784" s="16"/>
      <c r="I784" s="16"/>
      <c r="J784" s="22"/>
      <c r="K784" s="16"/>
      <c r="L784" s="16"/>
      <c r="M784" s="16"/>
      <c r="N784" s="19"/>
      <c r="O784" s="19"/>
      <c r="P784" s="19"/>
      <c r="Q784" s="19"/>
      <c r="R784" s="19"/>
      <c r="S784" s="19"/>
      <c r="T784" s="19"/>
      <c r="U784" s="19"/>
      <c r="V784" s="19"/>
      <c r="W784" s="20"/>
      <c r="X784" s="43"/>
    </row>
    <row r="785" spans="1:24" ht="15.75" hidden="1" customHeight="1" x14ac:dyDescent="0.25">
      <c r="A785" s="16"/>
      <c r="B785" s="16" t="str">
        <f t="shared" si="2"/>
        <v/>
      </c>
      <c r="C785" s="16"/>
      <c r="D785" s="40"/>
      <c r="E785" s="16"/>
      <c r="F785" s="41"/>
      <c r="G785" s="16"/>
      <c r="H785" s="16"/>
      <c r="I785" s="16"/>
      <c r="J785" s="22"/>
      <c r="K785" s="16"/>
      <c r="L785" s="16"/>
      <c r="M785" s="16"/>
      <c r="N785" s="19"/>
      <c r="O785" s="19"/>
      <c r="P785" s="19"/>
      <c r="Q785" s="19"/>
      <c r="R785" s="19"/>
      <c r="S785" s="19"/>
      <c r="T785" s="19"/>
      <c r="U785" s="19"/>
      <c r="V785" s="19"/>
      <c r="W785" s="20"/>
      <c r="X785" s="43"/>
    </row>
    <row r="786" spans="1:24" ht="15.75" hidden="1" customHeight="1" x14ac:dyDescent="0.25">
      <c r="A786" s="16"/>
      <c r="B786" s="16" t="str">
        <f t="shared" si="2"/>
        <v/>
      </c>
      <c r="C786" s="16"/>
      <c r="D786" s="40"/>
      <c r="E786" s="16"/>
      <c r="F786" s="41"/>
      <c r="G786" s="16"/>
      <c r="H786" s="16"/>
      <c r="I786" s="16"/>
      <c r="J786" s="22"/>
      <c r="K786" s="16"/>
      <c r="L786" s="16"/>
      <c r="M786" s="16"/>
      <c r="N786" s="19"/>
      <c r="O786" s="19"/>
      <c r="P786" s="19"/>
      <c r="Q786" s="19"/>
      <c r="R786" s="19"/>
      <c r="S786" s="19"/>
      <c r="T786" s="19"/>
      <c r="U786" s="19"/>
      <c r="V786" s="19"/>
      <c r="W786" s="20"/>
      <c r="X786" s="43"/>
    </row>
    <row r="787" spans="1:24" ht="15.75" hidden="1" customHeight="1" x14ac:dyDescent="0.25">
      <c r="A787" s="16"/>
      <c r="B787" s="16" t="str">
        <f t="shared" ref="B787:B1041" si="3">MID(X787,17,30)</f>
        <v/>
      </c>
      <c r="C787" s="16"/>
      <c r="D787" s="40"/>
      <c r="E787" s="16"/>
      <c r="F787" s="41"/>
      <c r="G787" s="16"/>
      <c r="H787" s="16"/>
      <c r="I787" s="16"/>
      <c r="J787" s="22"/>
      <c r="K787" s="16"/>
      <c r="L787" s="16"/>
      <c r="M787" s="16"/>
      <c r="N787" s="19"/>
      <c r="O787" s="19"/>
      <c r="P787" s="19"/>
      <c r="Q787" s="19"/>
      <c r="R787" s="19"/>
      <c r="S787" s="19"/>
      <c r="T787" s="19"/>
      <c r="U787" s="19"/>
      <c r="V787" s="19"/>
      <c r="W787" s="20"/>
      <c r="X787" s="43"/>
    </row>
    <row r="788" spans="1:24" ht="15.75" hidden="1" customHeight="1" x14ac:dyDescent="0.25">
      <c r="A788" s="16"/>
      <c r="B788" s="16" t="str">
        <f t="shared" si="3"/>
        <v/>
      </c>
      <c r="C788" s="16"/>
      <c r="D788" s="40"/>
      <c r="E788" s="16"/>
      <c r="F788" s="41"/>
      <c r="G788" s="16"/>
      <c r="H788" s="16"/>
      <c r="I788" s="16"/>
      <c r="J788" s="22"/>
      <c r="K788" s="16"/>
      <c r="L788" s="16"/>
      <c r="M788" s="16"/>
      <c r="N788" s="19"/>
      <c r="O788" s="19"/>
      <c r="P788" s="19"/>
      <c r="Q788" s="19"/>
      <c r="R788" s="19"/>
      <c r="S788" s="19"/>
      <c r="T788" s="19"/>
      <c r="U788" s="19"/>
      <c r="V788" s="19"/>
      <c r="W788" s="20"/>
      <c r="X788" s="43"/>
    </row>
    <row r="789" spans="1:24" ht="15.75" hidden="1" customHeight="1" x14ac:dyDescent="0.25">
      <c r="A789" s="16"/>
      <c r="B789" s="16" t="str">
        <f t="shared" si="3"/>
        <v/>
      </c>
      <c r="C789" s="16"/>
      <c r="D789" s="40"/>
      <c r="E789" s="16"/>
      <c r="F789" s="41"/>
      <c r="G789" s="16"/>
      <c r="H789" s="16"/>
      <c r="I789" s="16"/>
      <c r="J789" s="22"/>
      <c r="K789" s="16"/>
      <c r="L789" s="16"/>
      <c r="M789" s="16"/>
      <c r="N789" s="19"/>
      <c r="O789" s="19"/>
      <c r="P789" s="19"/>
      <c r="Q789" s="19"/>
      <c r="R789" s="19"/>
      <c r="S789" s="19"/>
      <c r="T789" s="19"/>
      <c r="U789" s="19"/>
      <c r="V789" s="19"/>
      <c r="W789" s="20"/>
      <c r="X789" s="43"/>
    </row>
    <row r="790" spans="1:24" ht="15.75" hidden="1" customHeight="1" x14ac:dyDescent="0.25">
      <c r="A790" s="16"/>
      <c r="B790" s="16" t="str">
        <f t="shared" si="3"/>
        <v/>
      </c>
      <c r="C790" s="16"/>
      <c r="D790" s="40"/>
      <c r="E790" s="16"/>
      <c r="F790" s="41"/>
      <c r="G790" s="16"/>
      <c r="H790" s="16"/>
      <c r="I790" s="16"/>
      <c r="J790" s="22"/>
      <c r="K790" s="16"/>
      <c r="L790" s="16"/>
      <c r="M790" s="16"/>
      <c r="N790" s="19"/>
      <c r="O790" s="19"/>
      <c r="P790" s="19"/>
      <c r="Q790" s="19"/>
      <c r="R790" s="19"/>
      <c r="S790" s="19"/>
      <c r="T790" s="19"/>
      <c r="U790" s="19"/>
      <c r="V790" s="19"/>
      <c r="W790" s="20"/>
      <c r="X790" s="43"/>
    </row>
    <row r="791" spans="1:24" ht="15.75" hidden="1" customHeight="1" x14ac:dyDescent="0.25">
      <c r="A791" s="16"/>
      <c r="B791" s="16" t="str">
        <f t="shared" si="3"/>
        <v/>
      </c>
      <c r="C791" s="16"/>
      <c r="D791" s="40"/>
      <c r="E791" s="16"/>
      <c r="F791" s="41"/>
      <c r="G791" s="16"/>
      <c r="H791" s="16"/>
      <c r="I791" s="16"/>
      <c r="J791" s="22"/>
      <c r="K791" s="16"/>
      <c r="L791" s="16"/>
      <c r="M791" s="16"/>
      <c r="N791" s="19"/>
      <c r="O791" s="19"/>
      <c r="P791" s="19"/>
      <c r="Q791" s="19"/>
      <c r="R791" s="19"/>
      <c r="S791" s="19"/>
      <c r="T791" s="19"/>
      <c r="U791" s="19"/>
      <c r="V791" s="19"/>
      <c r="W791" s="20"/>
      <c r="X791" s="43"/>
    </row>
    <row r="792" spans="1:24" ht="15.75" hidden="1" customHeight="1" x14ac:dyDescent="0.25">
      <c r="A792" s="16"/>
      <c r="B792" s="16" t="str">
        <f t="shared" si="3"/>
        <v/>
      </c>
      <c r="C792" s="16"/>
      <c r="D792" s="40"/>
      <c r="E792" s="16"/>
      <c r="F792" s="41"/>
      <c r="G792" s="16"/>
      <c r="H792" s="16"/>
      <c r="I792" s="16"/>
      <c r="J792" s="22"/>
      <c r="K792" s="16"/>
      <c r="L792" s="16"/>
      <c r="M792" s="16"/>
      <c r="N792" s="19"/>
      <c r="O792" s="19"/>
      <c r="P792" s="19"/>
      <c r="Q792" s="19"/>
      <c r="R792" s="19"/>
      <c r="S792" s="19"/>
      <c r="T792" s="19"/>
      <c r="U792" s="19"/>
      <c r="V792" s="19"/>
      <c r="W792" s="20"/>
      <c r="X792" s="43"/>
    </row>
    <row r="793" spans="1:24" ht="15.75" hidden="1" customHeight="1" x14ac:dyDescent="0.25">
      <c r="A793" s="16"/>
      <c r="B793" s="16" t="str">
        <f t="shared" si="3"/>
        <v/>
      </c>
      <c r="C793" s="16"/>
      <c r="D793" s="40"/>
      <c r="E793" s="16"/>
      <c r="F793" s="41"/>
      <c r="G793" s="16"/>
      <c r="H793" s="16"/>
      <c r="I793" s="16"/>
      <c r="J793" s="22"/>
      <c r="K793" s="16"/>
      <c r="L793" s="16"/>
      <c r="M793" s="16"/>
      <c r="N793" s="19"/>
      <c r="O793" s="19"/>
      <c r="P793" s="19"/>
      <c r="Q793" s="19"/>
      <c r="R793" s="19"/>
      <c r="S793" s="19"/>
      <c r="T793" s="19"/>
      <c r="U793" s="19"/>
      <c r="V793" s="19"/>
      <c r="W793" s="20"/>
      <c r="X793" s="43"/>
    </row>
    <row r="794" spans="1:24" ht="15.75" hidden="1" customHeight="1" x14ac:dyDescent="0.25">
      <c r="A794" s="16"/>
      <c r="B794" s="16" t="str">
        <f t="shared" si="3"/>
        <v/>
      </c>
      <c r="C794" s="16"/>
      <c r="D794" s="40"/>
      <c r="E794" s="16"/>
      <c r="F794" s="41"/>
      <c r="G794" s="16"/>
      <c r="H794" s="16"/>
      <c r="I794" s="16"/>
      <c r="J794" s="22"/>
      <c r="K794" s="16"/>
      <c r="L794" s="16"/>
      <c r="M794" s="16"/>
      <c r="N794" s="19"/>
      <c r="O794" s="19"/>
      <c r="P794" s="19"/>
      <c r="Q794" s="19"/>
      <c r="R794" s="19"/>
      <c r="S794" s="19"/>
      <c r="T794" s="19"/>
      <c r="U794" s="19"/>
      <c r="V794" s="19"/>
      <c r="W794" s="20"/>
      <c r="X794" s="43"/>
    </row>
    <row r="795" spans="1:24" ht="15.75" hidden="1" customHeight="1" x14ac:dyDescent="0.25">
      <c r="A795" s="16"/>
      <c r="B795" s="16" t="str">
        <f t="shared" si="3"/>
        <v/>
      </c>
      <c r="C795" s="16"/>
      <c r="D795" s="40"/>
      <c r="E795" s="16"/>
      <c r="F795" s="41"/>
      <c r="G795" s="16"/>
      <c r="H795" s="16"/>
      <c r="I795" s="16"/>
      <c r="J795" s="22"/>
      <c r="K795" s="16"/>
      <c r="L795" s="16"/>
      <c r="M795" s="16"/>
      <c r="N795" s="19"/>
      <c r="O795" s="19"/>
      <c r="P795" s="19"/>
      <c r="Q795" s="19"/>
      <c r="R795" s="19"/>
      <c r="S795" s="19"/>
      <c r="T795" s="19"/>
      <c r="U795" s="19"/>
      <c r="V795" s="19"/>
      <c r="W795" s="20"/>
      <c r="X795" s="43"/>
    </row>
    <row r="796" spans="1:24" ht="15.75" hidden="1" customHeight="1" x14ac:dyDescent="0.25">
      <c r="A796" s="16"/>
      <c r="B796" s="16" t="str">
        <f t="shared" si="3"/>
        <v/>
      </c>
      <c r="C796" s="16"/>
      <c r="D796" s="40"/>
      <c r="E796" s="16"/>
      <c r="F796" s="41"/>
      <c r="G796" s="16"/>
      <c r="H796" s="16"/>
      <c r="I796" s="16"/>
      <c r="J796" s="22"/>
      <c r="K796" s="16"/>
      <c r="L796" s="16"/>
      <c r="M796" s="16"/>
      <c r="N796" s="19"/>
      <c r="O796" s="19"/>
      <c r="P796" s="19"/>
      <c r="Q796" s="19"/>
      <c r="R796" s="19"/>
      <c r="S796" s="19"/>
      <c r="T796" s="19"/>
      <c r="U796" s="19"/>
      <c r="V796" s="19"/>
      <c r="W796" s="20"/>
      <c r="X796" s="43"/>
    </row>
    <row r="797" spans="1:24" ht="15.75" hidden="1" customHeight="1" x14ac:dyDescent="0.25">
      <c r="A797" s="16"/>
      <c r="B797" s="16" t="str">
        <f t="shared" si="3"/>
        <v/>
      </c>
      <c r="C797" s="16"/>
      <c r="D797" s="40"/>
      <c r="E797" s="16"/>
      <c r="F797" s="41"/>
      <c r="G797" s="16"/>
      <c r="H797" s="16"/>
      <c r="I797" s="16"/>
      <c r="J797" s="22"/>
      <c r="K797" s="16"/>
      <c r="L797" s="16"/>
      <c r="M797" s="16"/>
      <c r="N797" s="19"/>
      <c r="O797" s="19"/>
      <c r="P797" s="19"/>
      <c r="Q797" s="19"/>
      <c r="R797" s="19"/>
      <c r="S797" s="19"/>
      <c r="T797" s="19"/>
      <c r="U797" s="19"/>
      <c r="V797" s="19"/>
      <c r="W797" s="20"/>
      <c r="X797" s="43"/>
    </row>
    <row r="798" spans="1:24" ht="15.75" hidden="1" customHeight="1" x14ac:dyDescent="0.25">
      <c r="A798" s="16"/>
      <c r="B798" s="16" t="str">
        <f t="shared" si="3"/>
        <v/>
      </c>
      <c r="C798" s="16"/>
      <c r="D798" s="40"/>
      <c r="E798" s="16"/>
      <c r="F798" s="41"/>
      <c r="G798" s="16"/>
      <c r="H798" s="16"/>
      <c r="I798" s="16"/>
      <c r="J798" s="22"/>
      <c r="K798" s="16"/>
      <c r="L798" s="16"/>
      <c r="M798" s="16"/>
      <c r="N798" s="19"/>
      <c r="O798" s="19"/>
      <c r="P798" s="19"/>
      <c r="Q798" s="19"/>
      <c r="R798" s="19"/>
      <c r="S798" s="19"/>
      <c r="T798" s="19"/>
      <c r="U798" s="19"/>
      <c r="V798" s="19"/>
      <c r="W798" s="20"/>
      <c r="X798" s="43"/>
    </row>
    <row r="799" spans="1:24" ht="15.75" hidden="1" customHeight="1" x14ac:dyDescent="0.25">
      <c r="A799" s="16"/>
      <c r="B799" s="16" t="str">
        <f t="shared" si="3"/>
        <v/>
      </c>
      <c r="C799" s="16"/>
      <c r="D799" s="40"/>
      <c r="E799" s="16"/>
      <c r="F799" s="41"/>
      <c r="G799" s="16"/>
      <c r="H799" s="16"/>
      <c r="I799" s="16"/>
      <c r="J799" s="22"/>
      <c r="K799" s="16"/>
      <c r="L799" s="16"/>
      <c r="M799" s="16"/>
      <c r="N799" s="19"/>
      <c r="O799" s="19"/>
      <c r="P799" s="19"/>
      <c r="Q799" s="19"/>
      <c r="R799" s="19"/>
      <c r="S799" s="19"/>
      <c r="T799" s="19"/>
      <c r="U799" s="19"/>
      <c r="V799" s="19"/>
      <c r="W799" s="20"/>
      <c r="X799" s="43"/>
    </row>
    <row r="800" spans="1:24" ht="15.75" hidden="1" customHeight="1" x14ac:dyDescent="0.25">
      <c r="A800" s="16"/>
      <c r="B800" s="16" t="str">
        <f t="shared" si="3"/>
        <v/>
      </c>
      <c r="C800" s="16"/>
      <c r="D800" s="40"/>
      <c r="E800" s="16"/>
      <c r="F800" s="41"/>
      <c r="G800" s="16"/>
      <c r="H800" s="16"/>
      <c r="I800" s="16"/>
      <c r="J800" s="22"/>
      <c r="K800" s="16"/>
      <c r="L800" s="16"/>
      <c r="M800" s="16"/>
      <c r="N800" s="19"/>
      <c r="O800" s="19"/>
      <c r="P800" s="19"/>
      <c r="Q800" s="19"/>
      <c r="R800" s="19"/>
      <c r="S800" s="19"/>
      <c r="T800" s="19"/>
      <c r="U800" s="19"/>
      <c r="V800" s="19"/>
      <c r="W800" s="20"/>
      <c r="X800" s="43"/>
    </row>
    <row r="801" spans="1:24" ht="15.75" hidden="1" customHeight="1" x14ac:dyDescent="0.25">
      <c r="A801" s="16"/>
      <c r="B801" s="16" t="str">
        <f t="shared" si="3"/>
        <v/>
      </c>
      <c r="C801" s="16"/>
      <c r="D801" s="40"/>
      <c r="E801" s="16"/>
      <c r="F801" s="41"/>
      <c r="G801" s="16"/>
      <c r="H801" s="16"/>
      <c r="I801" s="16"/>
      <c r="J801" s="22"/>
      <c r="K801" s="16"/>
      <c r="L801" s="16"/>
      <c r="M801" s="16"/>
      <c r="N801" s="19"/>
      <c r="O801" s="19"/>
      <c r="P801" s="19"/>
      <c r="Q801" s="19"/>
      <c r="R801" s="19"/>
      <c r="S801" s="19"/>
      <c r="T801" s="19"/>
      <c r="U801" s="19"/>
      <c r="V801" s="19"/>
      <c r="W801" s="20"/>
      <c r="X801" s="43"/>
    </row>
    <row r="802" spans="1:24" ht="15.75" hidden="1" customHeight="1" x14ac:dyDescent="0.25">
      <c r="A802" s="16"/>
      <c r="B802" s="16" t="str">
        <f t="shared" si="3"/>
        <v/>
      </c>
      <c r="C802" s="16"/>
      <c r="D802" s="40"/>
      <c r="E802" s="16"/>
      <c r="F802" s="41"/>
      <c r="G802" s="16"/>
      <c r="H802" s="16"/>
      <c r="I802" s="16"/>
      <c r="J802" s="22"/>
      <c r="K802" s="16"/>
      <c r="L802" s="16"/>
      <c r="M802" s="16"/>
      <c r="N802" s="19"/>
      <c r="O802" s="19"/>
      <c r="P802" s="19"/>
      <c r="Q802" s="19"/>
      <c r="R802" s="19"/>
      <c r="S802" s="19"/>
      <c r="T802" s="19"/>
      <c r="U802" s="19"/>
      <c r="V802" s="19"/>
      <c r="W802" s="20"/>
      <c r="X802" s="43"/>
    </row>
    <row r="803" spans="1:24" ht="15.75" hidden="1" customHeight="1" x14ac:dyDescent="0.25">
      <c r="A803" s="16"/>
      <c r="B803" s="16" t="str">
        <f t="shared" si="3"/>
        <v/>
      </c>
      <c r="C803" s="16"/>
      <c r="D803" s="40"/>
      <c r="E803" s="16"/>
      <c r="F803" s="41"/>
      <c r="G803" s="16"/>
      <c r="H803" s="16"/>
      <c r="I803" s="16"/>
      <c r="J803" s="22"/>
      <c r="K803" s="16"/>
      <c r="L803" s="16"/>
      <c r="M803" s="16"/>
      <c r="N803" s="19"/>
      <c r="O803" s="19"/>
      <c r="P803" s="19"/>
      <c r="Q803" s="19"/>
      <c r="R803" s="19"/>
      <c r="S803" s="19"/>
      <c r="T803" s="19"/>
      <c r="U803" s="19"/>
      <c r="V803" s="19"/>
      <c r="W803" s="20"/>
      <c r="X803" s="43"/>
    </row>
    <row r="804" spans="1:24" ht="15.75" hidden="1" customHeight="1" x14ac:dyDescent="0.25">
      <c r="A804" s="16"/>
      <c r="B804" s="16" t="str">
        <f t="shared" si="3"/>
        <v/>
      </c>
      <c r="C804" s="16"/>
      <c r="D804" s="40"/>
      <c r="E804" s="16"/>
      <c r="F804" s="41"/>
      <c r="G804" s="16"/>
      <c r="H804" s="16"/>
      <c r="I804" s="16"/>
      <c r="J804" s="22"/>
      <c r="K804" s="16"/>
      <c r="L804" s="16"/>
      <c r="M804" s="16"/>
      <c r="N804" s="19"/>
      <c r="O804" s="19"/>
      <c r="P804" s="19"/>
      <c r="Q804" s="19"/>
      <c r="R804" s="19"/>
      <c r="S804" s="19"/>
      <c r="T804" s="19"/>
      <c r="U804" s="19"/>
      <c r="V804" s="19"/>
      <c r="W804" s="20"/>
      <c r="X804" s="43"/>
    </row>
    <row r="805" spans="1:24" ht="15.75" hidden="1" customHeight="1" x14ac:dyDescent="0.25">
      <c r="A805" s="16"/>
      <c r="B805" s="16" t="str">
        <f t="shared" si="3"/>
        <v/>
      </c>
      <c r="C805" s="16"/>
      <c r="D805" s="40"/>
      <c r="E805" s="16"/>
      <c r="F805" s="41"/>
      <c r="G805" s="16"/>
      <c r="H805" s="16"/>
      <c r="I805" s="16"/>
      <c r="J805" s="22"/>
      <c r="K805" s="16"/>
      <c r="L805" s="16"/>
      <c r="M805" s="16"/>
      <c r="N805" s="19"/>
      <c r="O805" s="19"/>
      <c r="P805" s="19"/>
      <c r="Q805" s="19"/>
      <c r="R805" s="19"/>
      <c r="S805" s="19"/>
      <c r="T805" s="19"/>
      <c r="U805" s="19"/>
      <c r="V805" s="19"/>
      <c r="W805" s="20"/>
      <c r="X805" s="43"/>
    </row>
    <row r="806" spans="1:24" ht="15.75" hidden="1" customHeight="1" x14ac:dyDescent="0.25">
      <c r="A806" s="16"/>
      <c r="B806" s="16" t="str">
        <f t="shared" si="3"/>
        <v/>
      </c>
      <c r="C806" s="16"/>
      <c r="D806" s="40"/>
      <c r="E806" s="16"/>
      <c r="F806" s="41"/>
      <c r="G806" s="16"/>
      <c r="H806" s="16"/>
      <c r="I806" s="16"/>
      <c r="J806" s="22"/>
      <c r="K806" s="16"/>
      <c r="L806" s="16"/>
      <c r="M806" s="16"/>
      <c r="N806" s="19"/>
      <c r="O806" s="19"/>
      <c r="P806" s="19"/>
      <c r="Q806" s="19"/>
      <c r="R806" s="19"/>
      <c r="S806" s="19"/>
      <c r="T806" s="19"/>
      <c r="U806" s="19"/>
      <c r="V806" s="19"/>
      <c r="W806" s="20"/>
      <c r="X806" s="43"/>
    </row>
    <row r="807" spans="1:24" ht="15.75" hidden="1" customHeight="1" x14ac:dyDescent="0.25">
      <c r="A807" s="16"/>
      <c r="B807" s="16" t="str">
        <f t="shared" si="3"/>
        <v/>
      </c>
      <c r="C807" s="16"/>
      <c r="D807" s="40"/>
      <c r="E807" s="16"/>
      <c r="F807" s="41"/>
      <c r="G807" s="16"/>
      <c r="H807" s="16"/>
      <c r="I807" s="16"/>
      <c r="J807" s="22"/>
      <c r="K807" s="16"/>
      <c r="L807" s="16"/>
      <c r="M807" s="16"/>
      <c r="N807" s="19"/>
      <c r="O807" s="19"/>
      <c r="P807" s="19"/>
      <c r="Q807" s="19"/>
      <c r="R807" s="19"/>
      <c r="S807" s="19"/>
      <c r="T807" s="19"/>
      <c r="U807" s="19"/>
      <c r="V807" s="19"/>
      <c r="W807" s="20"/>
      <c r="X807" s="43"/>
    </row>
    <row r="808" spans="1:24" ht="15.75" hidden="1" customHeight="1" x14ac:dyDescent="0.25">
      <c r="A808" s="16"/>
      <c r="B808" s="16" t="str">
        <f t="shared" si="3"/>
        <v/>
      </c>
      <c r="C808" s="16"/>
      <c r="D808" s="40"/>
      <c r="E808" s="16"/>
      <c r="F808" s="41"/>
      <c r="G808" s="16"/>
      <c r="H808" s="16"/>
      <c r="I808" s="16"/>
      <c r="J808" s="22"/>
      <c r="K808" s="16"/>
      <c r="L808" s="16"/>
      <c r="M808" s="16"/>
      <c r="N808" s="19"/>
      <c r="O808" s="19"/>
      <c r="P808" s="19"/>
      <c r="Q808" s="19"/>
      <c r="R808" s="19"/>
      <c r="S808" s="19"/>
      <c r="T808" s="19"/>
      <c r="U808" s="19"/>
      <c r="V808" s="19"/>
      <c r="W808" s="20"/>
      <c r="X808" s="43"/>
    </row>
    <row r="809" spans="1:24" ht="15.75" hidden="1" customHeight="1" x14ac:dyDescent="0.25">
      <c r="A809" s="16"/>
      <c r="B809" s="16" t="str">
        <f t="shared" si="3"/>
        <v/>
      </c>
      <c r="C809" s="16"/>
      <c r="D809" s="40"/>
      <c r="E809" s="16"/>
      <c r="F809" s="41"/>
      <c r="G809" s="16"/>
      <c r="H809" s="16"/>
      <c r="I809" s="16"/>
      <c r="J809" s="22"/>
      <c r="K809" s="16"/>
      <c r="L809" s="16"/>
      <c r="M809" s="16"/>
      <c r="N809" s="19"/>
      <c r="O809" s="19"/>
      <c r="P809" s="19"/>
      <c r="Q809" s="19"/>
      <c r="R809" s="19"/>
      <c r="S809" s="19"/>
      <c r="T809" s="19"/>
      <c r="U809" s="19"/>
      <c r="V809" s="19"/>
      <c r="W809" s="20"/>
      <c r="X809" s="43"/>
    </row>
    <row r="810" spans="1:24" ht="15.75" hidden="1" customHeight="1" x14ac:dyDescent="0.25">
      <c r="A810" s="16"/>
      <c r="B810" s="16" t="str">
        <f t="shared" si="3"/>
        <v/>
      </c>
      <c r="C810" s="16"/>
      <c r="D810" s="40"/>
      <c r="E810" s="16"/>
      <c r="F810" s="41"/>
      <c r="G810" s="16"/>
      <c r="H810" s="16"/>
      <c r="I810" s="16"/>
      <c r="J810" s="22"/>
      <c r="K810" s="16"/>
      <c r="L810" s="16"/>
      <c r="M810" s="16"/>
      <c r="N810" s="19"/>
      <c r="O810" s="19"/>
      <c r="P810" s="19"/>
      <c r="Q810" s="19"/>
      <c r="R810" s="19"/>
      <c r="S810" s="19"/>
      <c r="T810" s="19"/>
      <c r="U810" s="19"/>
      <c r="V810" s="19"/>
      <c r="W810" s="20"/>
      <c r="X810" s="43"/>
    </row>
    <row r="811" spans="1:24" ht="15.75" hidden="1" customHeight="1" x14ac:dyDescent="0.25">
      <c r="A811" s="16"/>
      <c r="B811" s="16" t="str">
        <f t="shared" si="3"/>
        <v/>
      </c>
      <c r="C811" s="16"/>
      <c r="D811" s="40"/>
      <c r="E811" s="16"/>
      <c r="F811" s="41"/>
      <c r="G811" s="16"/>
      <c r="H811" s="16"/>
      <c r="I811" s="16"/>
      <c r="J811" s="22"/>
      <c r="K811" s="16"/>
      <c r="L811" s="16"/>
      <c r="M811" s="16"/>
      <c r="N811" s="19"/>
      <c r="O811" s="19"/>
      <c r="P811" s="19"/>
      <c r="Q811" s="19"/>
      <c r="R811" s="19"/>
      <c r="S811" s="19"/>
      <c r="T811" s="19"/>
      <c r="U811" s="19"/>
      <c r="V811" s="19"/>
      <c r="W811" s="20"/>
      <c r="X811" s="43"/>
    </row>
    <row r="812" spans="1:24" ht="15.75" hidden="1" customHeight="1" x14ac:dyDescent="0.25">
      <c r="A812" s="16"/>
      <c r="B812" s="16" t="str">
        <f t="shared" si="3"/>
        <v/>
      </c>
      <c r="C812" s="16"/>
      <c r="D812" s="40"/>
      <c r="E812" s="16"/>
      <c r="F812" s="41"/>
      <c r="G812" s="16"/>
      <c r="H812" s="16"/>
      <c r="I812" s="16"/>
      <c r="J812" s="22"/>
      <c r="K812" s="16"/>
      <c r="L812" s="16"/>
      <c r="M812" s="16"/>
      <c r="N812" s="19"/>
      <c r="O812" s="19"/>
      <c r="P812" s="19"/>
      <c r="Q812" s="19"/>
      <c r="R812" s="19"/>
      <c r="S812" s="19"/>
      <c r="T812" s="19"/>
      <c r="U812" s="19"/>
      <c r="V812" s="19"/>
      <c r="W812" s="20"/>
      <c r="X812" s="43"/>
    </row>
    <row r="813" spans="1:24" ht="15.75" hidden="1" customHeight="1" x14ac:dyDescent="0.25">
      <c r="A813" s="16"/>
      <c r="B813" s="16" t="str">
        <f t="shared" si="3"/>
        <v/>
      </c>
      <c r="C813" s="16"/>
      <c r="D813" s="40"/>
      <c r="E813" s="16"/>
      <c r="F813" s="41"/>
      <c r="G813" s="16"/>
      <c r="H813" s="16"/>
      <c r="I813" s="16"/>
      <c r="J813" s="22"/>
      <c r="K813" s="16"/>
      <c r="L813" s="16"/>
      <c r="M813" s="16"/>
      <c r="N813" s="19"/>
      <c r="O813" s="19"/>
      <c r="P813" s="19"/>
      <c r="Q813" s="19"/>
      <c r="R813" s="19"/>
      <c r="S813" s="19"/>
      <c r="T813" s="19"/>
      <c r="U813" s="19"/>
      <c r="V813" s="19"/>
      <c r="W813" s="20"/>
      <c r="X813" s="43"/>
    </row>
    <row r="814" spans="1:24" ht="15.75" hidden="1" customHeight="1" x14ac:dyDescent="0.25">
      <c r="A814" s="16"/>
      <c r="B814" s="16" t="str">
        <f t="shared" si="3"/>
        <v/>
      </c>
      <c r="C814" s="16"/>
      <c r="D814" s="40"/>
      <c r="E814" s="16"/>
      <c r="F814" s="41"/>
      <c r="G814" s="16"/>
      <c r="H814" s="16"/>
      <c r="I814" s="16"/>
      <c r="J814" s="22"/>
      <c r="K814" s="16"/>
      <c r="L814" s="16"/>
      <c r="M814" s="16"/>
      <c r="N814" s="19"/>
      <c r="O814" s="19"/>
      <c r="P814" s="19"/>
      <c r="Q814" s="19"/>
      <c r="R814" s="19"/>
      <c r="S814" s="19"/>
      <c r="T814" s="19"/>
      <c r="U814" s="19"/>
      <c r="V814" s="19"/>
      <c r="W814" s="20"/>
      <c r="X814" s="43"/>
    </row>
    <row r="815" spans="1:24" ht="15.75" hidden="1" customHeight="1" x14ac:dyDescent="0.25">
      <c r="A815" s="16"/>
      <c r="B815" s="16" t="str">
        <f t="shared" si="3"/>
        <v/>
      </c>
      <c r="C815" s="16"/>
      <c r="D815" s="40"/>
      <c r="E815" s="16"/>
      <c r="F815" s="41"/>
      <c r="G815" s="16"/>
      <c r="H815" s="16"/>
      <c r="I815" s="16"/>
      <c r="J815" s="22"/>
      <c r="K815" s="16"/>
      <c r="L815" s="16"/>
      <c r="M815" s="16"/>
      <c r="N815" s="19"/>
      <c r="O815" s="19"/>
      <c r="P815" s="19"/>
      <c r="Q815" s="19"/>
      <c r="R815" s="19"/>
      <c r="S815" s="19"/>
      <c r="T815" s="19"/>
      <c r="U815" s="19"/>
      <c r="V815" s="19"/>
      <c r="W815" s="20"/>
      <c r="X815" s="43"/>
    </row>
    <row r="816" spans="1:24" ht="15.75" hidden="1" customHeight="1" x14ac:dyDescent="0.25">
      <c r="A816" s="16"/>
      <c r="B816" s="16" t="str">
        <f t="shared" si="3"/>
        <v/>
      </c>
      <c r="C816" s="16"/>
      <c r="D816" s="40"/>
      <c r="E816" s="16"/>
      <c r="F816" s="41"/>
      <c r="G816" s="16"/>
      <c r="H816" s="16"/>
      <c r="I816" s="16"/>
      <c r="J816" s="22"/>
      <c r="K816" s="16"/>
      <c r="L816" s="16"/>
      <c r="M816" s="16"/>
      <c r="N816" s="19"/>
      <c r="O816" s="19"/>
      <c r="P816" s="19"/>
      <c r="Q816" s="19"/>
      <c r="R816" s="19"/>
      <c r="S816" s="19"/>
      <c r="T816" s="19"/>
      <c r="U816" s="19"/>
      <c r="V816" s="19"/>
      <c r="W816" s="20"/>
      <c r="X816" s="43"/>
    </row>
    <row r="817" spans="1:24" ht="15.75" hidden="1" customHeight="1" x14ac:dyDescent="0.25">
      <c r="A817" s="16"/>
      <c r="B817" s="16" t="str">
        <f t="shared" si="3"/>
        <v/>
      </c>
      <c r="C817" s="16"/>
      <c r="D817" s="40"/>
      <c r="E817" s="16"/>
      <c r="F817" s="41"/>
      <c r="G817" s="16"/>
      <c r="H817" s="16"/>
      <c r="I817" s="16"/>
      <c r="J817" s="22"/>
      <c r="K817" s="16"/>
      <c r="L817" s="16"/>
      <c r="M817" s="16"/>
      <c r="N817" s="19"/>
      <c r="O817" s="19"/>
      <c r="P817" s="19"/>
      <c r="Q817" s="19"/>
      <c r="R817" s="19"/>
      <c r="S817" s="19"/>
      <c r="T817" s="19"/>
      <c r="U817" s="19"/>
      <c r="V817" s="19"/>
      <c r="W817" s="20"/>
      <c r="X817" s="43"/>
    </row>
    <row r="818" spans="1:24" ht="15.75" hidden="1" customHeight="1" x14ac:dyDescent="0.25">
      <c r="A818" s="16"/>
      <c r="B818" s="16" t="str">
        <f t="shared" si="3"/>
        <v/>
      </c>
      <c r="C818" s="16"/>
      <c r="D818" s="40"/>
      <c r="E818" s="16"/>
      <c r="F818" s="41"/>
      <c r="G818" s="16"/>
      <c r="H818" s="16"/>
      <c r="I818" s="16"/>
      <c r="J818" s="22"/>
      <c r="K818" s="16"/>
      <c r="L818" s="16"/>
      <c r="M818" s="16"/>
      <c r="N818" s="19"/>
      <c r="O818" s="19"/>
      <c r="P818" s="19"/>
      <c r="Q818" s="19"/>
      <c r="R818" s="19"/>
      <c r="S818" s="19"/>
      <c r="T818" s="19"/>
      <c r="U818" s="19"/>
      <c r="V818" s="19"/>
      <c r="W818" s="20"/>
      <c r="X818" s="43"/>
    </row>
    <row r="819" spans="1:24" ht="15.75" hidden="1" customHeight="1" x14ac:dyDescent="0.25">
      <c r="A819" s="16"/>
      <c r="B819" s="16" t="str">
        <f t="shared" si="3"/>
        <v/>
      </c>
      <c r="C819" s="16"/>
      <c r="D819" s="40"/>
      <c r="E819" s="16"/>
      <c r="F819" s="41"/>
      <c r="G819" s="16"/>
      <c r="H819" s="16"/>
      <c r="I819" s="16"/>
      <c r="J819" s="22"/>
      <c r="K819" s="16"/>
      <c r="L819" s="16"/>
      <c r="M819" s="16"/>
      <c r="N819" s="19"/>
      <c r="O819" s="19"/>
      <c r="P819" s="19"/>
      <c r="Q819" s="19"/>
      <c r="R819" s="19"/>
      <c r="S819" s="19"/>
      <c r="T819" s="19"/>
      <c r="U819" s="19"/>
      <c r="V819" s="19"/>
      <c r="W819" s="20"/>
      <c r="X819" s="43"/>
    </row>
    <row r="820" spans="1:24" ht="15.75" hidden="1" customHeight="1" x14ac:dyDescent="0.25">
      <c r="A820" s="16"/>
      <c r="B820" s="16" t="str">
        <f t="shared" si="3"/>
        <v/>
      </c>
      <c r="C820" s="16"/>
      <c r="D820" s="40"/>
      <c r="E820" s="16"/>
      <c r="F820" s="41"/>
      <c r="G820" s="16"/>
      <c r="H820" s="16"/>
      <c r="I820" s="16"/>
      <c r="J820" s="22"/>
      <c r="K820" s="16"/>
      <c r="L820" s="16"/>
      <c r="M820" s="16"/>
      <c r="N820" s="19"/>
      <c r="O820" s="19"/>
      <c r="P820" s="19"/>
      <c r="Q820" s="19"/>
      <c r="R820" s="19"/>
      <c r="S820" s="19"/>
      <c r="T820" s="19"/>
      <c r="U820" s="19"/>
      <c r="V820" s="19"/>
      <c r="W820" s="20"/>
      <c r="X820" s="43"/>
    </row>
    <row r="821" spans="1:24" ht="15.75" hidden="1" customHeight="1" x14ac:dyDescent="0.25">
      <c r="A821" s="16"/>
      <c r="B821" s="16" t="str">
        <f t="shared" si="3"/>
        <v/>
      </c>
      <c r="C821" s="16"/>
      <c r="D821" s="40"/>
      <c r="E821" s="16"/>
      <c r="F821" s="41"/>
      <c r="G821" s="16"/>
      <c r="H821" s="16"/>
      <c r="I821" s="16"/>
      <c r="J821" s="22"/>
      <c r="K821" s="16"/>
      <c r="L821" s="16"/>
      <c r="M821" s="16"/>
      <c r="N821" s="19"/>
      <c r="O821" s="19"/>
      <c r="P821" s="19"/>
      <c r="Q821" s="19"/>
      <c r="R821" s="19"/>
      <c r="S821" s="19"/>
      <c r="T821" s="19"/>
      <c r="U821" s="19"/>
      <c r="V821" s="19"/>
      <c r="W821" s="20"/>
      <c r="X821" s="43"/>
    </row>
    <row r="822" spans="1:24" ht="15.75" hidden="1" customHeight="1" x14ac:dyDescent="0.25">
      <c r="A822" s="16"/>
      <c r="B822" s="16" t="str">
        <f t="shared" si="3"/>
        <v/>
      </c>
      <c r="C822" s="16"/>
      <c r="D822" s="40"/>
      <c r="E822" s="16"/>
      <c r="F822" s="41"/>
      <c r="G822" s="16"/>
      <c r="H822" s="16"/>
      <c r="I822" s="16"/>
      <c r="J822" s="22"/>
      <c r="K822" s="16"/>
      <c r="L822" s="16"/>
      <c r="M822" s="16"/>
      <c r="N822" s="19"/>
      <c r="O822" s="19"/>
      <c r="P822" s="19"/>
      <c r="Q822" s="19"/>
      <c r="R822" s="19"/>
      <c r="S822" s="19"/>
      <c r="T822" s="19"/>
      <c r="U822" s="19"/>
      <c r="V822" s="19"/>
      <c r="W822" s="20"/>
      <c r="X822" s="43"/>
    </row>
    <row r="823" spans="1:24" ht="15.75" hidden="1" customHeight="1" x14ac:dyDescent="0.25">
      <c r="A823" s="16"/>
      <c r="B823" s="16" t="str">
        <f t="shared" si="3"/>
        <v/>
      </c>
      <c r="C823" s="16"/>
      <c r="D823" s="40"/>
      <c r="E823" s="16"/>
      <c r="F823" s="41"/>
      <c r="G823" s="16"/>
      <c r="H823" s="16"/>
      <c r="I823" s="16"/>
      <c r="J823" s="22"/>
      <c r="K823" s="16"/>
      <c r="L823" s="16"/>
      <c r="M823" s="16"/>
      <c r="N823" s="19"/>
      <c r="O823" s="19"/>
      <c r="P823" s="19"/>
      <c r="Q823" s="19"/>
      <c r="R823" s="19"/>
      <c r="S823" s="19"/>
      <c r="T823" s="19"/>
      <c r="U823" s="19"/>
      <c r="V823" s="19"/>
      <c r="W823" s="20"/>
      <c r="X823" s="43"/>
    </row>
    <row r="824" spans="1:24" ht="15.75" hidden="1" customHeight="1" x14ac:dyDescent="0.25">
      <c r="A824" s="16"/>
      <c r="B824" s="16" t="str">
        <f t="shared" si="3"/>
        <v/>
      </c>
      <c r="C824" s="16"/>
      <c r="D824" s="40"/>
      <c r="E824" s="16"/>
      <c r="F824" s="41"/>
      <c r="G824" s="16"/>
      <c r="H824" s="16"/>
      <c r="I824" s="16"/>
      <c r="J824" s="22"/>
      <c r="K824" s="16"/>
      <c r="L824" s="16"/>
      <c r="M824" s="16"/>
      <c r="N824" s="19"/>
      <c r="O824" s="19"/>
      <c r="P824" s="19"/>
      <c r="Q824" s="19"/>
      <c r="R824" s="19"/>
      <c r="S824" s="19"/>
      <c r="T824" s="19"/>
      <c r="U824" s="19"/>
      <c r="V824" s="19"/>
      <c r="W824" s="20"/>
      <c r="X824" s="43"/>
    </row>
    <row r="825" spans="1:24" ht="15.75" hidden="1" customHeight="1" x14ac:dyDescent="0.25">
      <c r="A825" s="16"/>
      <c r="B825" s="16" t="str">
        <f t="shared" si="3"/>
        <v/>
      </c>
      <c r="C825" s="16"/>
      <c r="D825" s="40"/>
      <c r="E825" s="16"/>
      <c r="F825" s="41"/>
      <c r="G825" s="16"/>
      <c r="H825" s="16"/>
      <c r="I825" s="16"/>
      <c r="J825" s="22"/>
      <c r="K825" s="16"/>
      <c r="L825" s="16"/>
      <c r="M825" s="16"/>
      <c r="N825" s="19"/>
      <c r="O825" s="19"/>
      <c r="P825" s="19"/>
      <c r="Q825" s="19"/>
      <c r="R825" s="19"/>
      <c r="S825" s="19"/>
      <c r="T825" s="19"/>
      <c r="U825" s="19"/>
      <c r="V825" s="19"/>
      <c r="W825" s="20"/>
      <c r="X825" s="43"/>
    </row>
    <row r="826" spans="1:24" ht="15.75" hidden="1" customHeight="1" x14ac:dyDescent="0.25">
      <c r="A826" s="16"/>
      <c r="B826" s="16" t="str">
        <f t="shared" si="3"/>
        <v/>
      </c>
      <c r="C826" s="16"/>
      <c r="D826" s="40"/>
      <c r="E826" s="16"/>
      <c r="F826" s="41"/>
      <c r="G826" s="16"/>
      <c r="H826" s="16"/>
      <c r="I826" s="16"/>
      <c r="J826" s="22"/>
      <c r="K826" s="16"/>
      <c r="L826" s="16"/>
      <c r="M826" s="16"/>
      <c r="N826" s="19"/>
      <c r="O826" s="19"/>
      <c r="P826" s="19"/>
      <c r="Q826" s="19"/>
      <c r="R826" s="19"/>
      <c r="S826" s="19"/>
      <c r="T826" s="19"/>
      <c r="U826" s="19"/>
      <c r="V826" s="19"/>
      <c r="W826" s="20"/>
      <c r="X826" s="43"/>
    </row>
    <row r="827" spans="1:24" ht="15.75" hidden="1" customHeight="1" x14ac:dyDescent="0.25">
      <c r="A827" s="16"/>
      <c r="B827" s="16" t="str">
        <f t="shared" si="3"/>
        <v/>
      </c>
      <c r="C827" s="16"/>
      <c r="D827" s="40"/>
      <c r="E827" s="16"/>
      <c r="F827" s="41"/>
      <c r="G827" s="16"/>
      <c r="H827" s="16"/>
      <c r="I827" s="16"/>
      <c r="J827" s="22"/>
      <c r="K827" s="16"/>
      <c r="L827" s="16"/>
      <c r="M827" s="16"/>
      <c r="N827" s="19"/>
      <c r="O827" s="19"/>
      <c r="P827" s="19"/>
      <c r="Q827" s="19"/>
      <c r="R827" s="19"/>
      <c r="S827" s="19"/>
      <c r="T827" s="19"/>
      <c r="U827" s="19"/>
      <c r="V827" s="19"/>
      <c r="W827" s="20"/>
      <c r="X827" s="43"/>
    </row>
    <row r="828" spans="1:24" ht="15.75" hidden="1" customHeight="1" x14ac:dyDescent="0.25">
      <c r="A828" s="16"/>
      <c r="B828" s="16" t="str">
        <f t="shared" si="3"/>
        <v/>
      </c>
      <c r="C828" s="16"/>
      <c r="D828" s="40"/>
      <c r="E828" s="16"/>
      <c r="F828" s="41"/>
      <c r="G828" s="16"/>
      <c r="H828" s="16"/>
      <c r="I828" s="16"/>
      <c r="J828" s="22"/>
      <c r="K828" s="16"/>
      <c r="L828" s="16"/>
      <c r="M828" s="16"/>
      <c r="N828" s="19"/>
      <c r="O828" s="19"/>
      <c r="P828" s="19"/>
      <c r="Q828" s="19"/>
      <c r="R828" s="19"/>
      <c r="S828" s="19"/>
      <c r="T828" s="19"/>
      <c r="U828" s="19"/>
      <c r="V828" s="19"/>
      <c r="W828" s="20"/>
      <c r="X828" s="43"/>
    </row>
    <row r="829" spans="1:24" ht="15.75" hidden="1" customHeight="1" x14ac:dyDescent="0.25">
      <c r="A829" s="16"/>
      <c r="B829" s="16" t="str">
        <f t="shared" si="3"/>
        <v/>
      </c>
      <c r="C829" s="16"/>
      <c r="D829" s="40"/>
      <c r="E829" s="16"/>
      <c r="F829" s="41"/>
      <c r="G829" s="16"/>
      <c r="H829" s="16"/>
      <c r="I829" s="16"/>
      <c r="J829" s="22"/>
      <c r="K829" s="16"/>
      <c r="L829" s="16"/>
      <c r="M829" s="16"/>
      <c r="N829" s="19"/>
      <c r="O829" s="19"/>
      <c r="P829" s="19"/>
      <c r="Q829" s="19"/>
      <c r="R829" s="19"/>
      <c r="S829" s="19"/>
      <c r="T829" s="19"/>
      <c r="U829" s="19"/>
      <c r="V829" s="19"/>
      <c r="W829" s="20"/>
      <c r="X829" s="43"/>
    </row>
    <row r="830" spans="1:24" ht="15.75" hidden="1" customHeight="1" x14ac:dyDescent="0.25">
      <c r="A830" s="16"/>
      <c r="B830" s="16" t="str">
        <f t="shared" si="3"/>
        <v/>
      </c>
      <c r="C830" s="16"/>
      <c r="D830" s="40"/>
      <c r="E830" s="16"/>
      <c r="F830" s="41"/>
      <c r="G830" s="16"/>
      <c r="H830" s="16"/>
      <c r="I830" s="16"/>
      <c r="J830" s="22"/>
      <c r="K830" s="16"/>
      <c r="L830" s="16"/>
      <c r="M830" s="16"/>
      <c r="N830" s="19"/>
      <c r="O830" s="19"/>
      <c r="P830" s="19"/>
      <c r="Q830" s="19"/>
      <c r="R830" s="19"/>
      <c r="S830" s="19"/>
      <c r="T830" s="19"/>
      <c r="U830" s="19"/>
      <c r="V830" s="19"/>
      <c r="W830" s="20"/>
      <c r="X830" s="43"/>
    </row>
    <row r="831" spans="1:24" ht="15.75" hidden="1" customHeight="1" x14ac:dyDescent="0.25">
      <c r="A831" s="16"/>
      <c r="B831" s="16" t="str">
        <f t="shared" si="3"/>
        <v/>
      </c>
      <c r="C831" s="16"/>
      <c r="D831" s="40"/>
      <c r="E831" s="16"/>
      <c r="F831" s="41"/>
      <c r="G831" s="16"/>
      <c r="H831" s="16"/>
      <c r="I831" s="16"/>
      <c r="J831" s="22"/>
      <c r="K831" s="16"/>
      <c r="L831" s="16"/>
      <c r="M831" s="16"/>
      <c r="N831" s="19"/>
      <c r="O831" s="19"/>
      <c r="P831" s="19"/>
      <c r="Q831" s="19"/>
      <c r="R831" s="19"/>
      <c r="S831" s="19"/>
      <c r="T831" s="19"/>
      <c r="U831" s="19"/>
      <c r="V831" s="19"/>
      <c r="W831" s="20"/>
      <c r="X831" s="43"/>
    </row>
    <row r="832" spans="1:24" ht="15.75" hidden="1" customHeight="1" x14ac:dyDescent="0.25">
      <c r="A832" s="16"/>
      <c r="B832" s="16" t="str">
        <f t="shared" si="3"/>
        <v/>
      </c>
      <c r="C832" s="16"/>
      <c r="D832" s="40"/>
      <c r="E832" s="16"/>
      <c r="F832" s="41"/>
      <c r="G832" s="16"/>
      <c r="H832" s="16"/>
      <c r="I832" s="16"/>
      <c r="J832" s="22"/>
      <c r="K832" s="16"/>
      <c r="L832" s="16"/>
      <c r="M832" s="16"/>
      <c r="N832" s="19"/>
      <c r="O832" s="19"/>
      <c r="P832" s="19"/>
      <c r="Q832" s="19"/>
      <c r="R832" s="19"/>
      <c r="S832" s="19"/>
      <c r="T832" s="19"/>
      <c r="U832" s="19"/>
      <c r="V832" s="19"/>
      <c r="W832" s="20"/>
      <c r="X832" s="43"/>
    </row>
    <row r="833" spans="1:24" ht="15.75" hidden="1" customHeight="1" x14ac:dyDescent="0.25">
      <c r="A833" s="16"/>
      <c r="B833" s="16" t="str">
        <f t="shared" si="3"/>
        <v/>
      </c>
      <c r="C833" s="16"/>
      <c r="D833" s="40"/>
      <c r="E833" s="16"/>
      <c r="F833" s="41"/>
      <c r="G833" s="16"/>
      <c r="H833" s="16"/>
      <c r="I833" s="16"/>
      <c r="J833" s="22"/>
      <c r="K833" s="16"/>
      <c r="L833" s="16"/>
      <c r="M833" s="16"/>
      <c r="N833" s="19"/>
      <c r="O833" s="19"/>
      <c r="P833" s="19"/>
      <c r="Q833" s="19"/>
      <c r="R833" s="19"/>
      <c r="S833" s="19"/>
      <c r="T833" s="19"/>
      <c r="U833" s="19"/>
      <c r="V833" s="19"/>
      <c r="W833" s="20"/>
      <c r="X833" s="43"/>
    </row>
    <row r="834" spans="1:24" ht="15.75" hidden="1" customHeight="1" x14ac:dyDescent="0.25">
      <c r="A834" s="16"/>
      <c r="B834" s="16" t="str">
        <f t="shared" si="3"/>
        <v/>
      </c>
      <c r="C834" s="16"/>
      <c r="D834" s="40"/>
      <c r="E834" s="16"/>
      <c r="F834" s="41"/>
      <c r="G834" s="16"/>
      <c r="H834" s="16"/>
      <c r="I834" s="16"/>
      <c r="J834" s="22"/>
      <c r="K834" s="16"/>
      <c r="L834" s="16"/>
      <c r="M834" s="16"/>
      <c r="N834" s="19"/>
      <c r="O834" s="19"/>
      <c r="P834" s="19"/>
      <c r="Q834" s="19"/>
      <c r="R834" s="19"/>
      <c r="S834" s="19"/>
      <c r="T834" s="19"/>
      <c r="U834" s="19"/>
      <c r="V834" s="19"/>
      <c r="W834" s="20"/>
      <c r="X834" s="43"/>
    </row>
    <row r="835" spans="1:24" ht="15.75" hidden="1" customHeight="1" x14ac:dyDescent="0.25">
      <c r="A835" s="16"/>
      <c r="B835" s="16" t="str">
        <f t="shared" si="3"/>
        <v/>
      </c>
      <c r="C835" s="16"/>
      <c r="D835" s="40"/>
      <c r="E835" s="16"/>
      <c r="F835" s="41"/>
      <c r="G835" s="16"/>
      <c r="H835" s="16"/>
      <c r="I835" s="16"/>
      <c r="J835" s="22"/>
      <c r="K835" s="16"/>
      <c r="L835" s="16"/>
      <c r="M835" s="16"/>
      <c r="N835" s="19"/>
      <c r="O835" s="19"/>
      <c r="P835" s="19"/>
      <c r="Q835" s="19"/>
      <c r="R835" s="19"/>
      <c r="S835" s="19"/>
      <c r="T835" s="19"/>
      <c r="U835" s="19"/>
      <c r="V835" s="19"/>
      <c r="W835" s="20"/>
      <c r="X835" s="43"/>
    </row>
    <row r="836" spans="1:24" ht="15.75" hidden="1" customHeight="1" x14ac:dyDescent="0.25">
      <c r="A836" s="16"/>
      <c r="B836" s="16" t="str">
        <f t="shared" si="3"/>
        <v/>
      </c>
      <c r="C836" s="16"/>
      <c r="D836" s="40"/>
      <c r="E836" s="16"/>
      <c r="F836" s="41"/>
      <c r="G836" s="16"/>
      <c r="H836" s="16"/>
      <c r="I836" s="16"/>
      <c r="J836" s="22"/>
      <c r="K836" s="16"/>
      <c r="L836" s="16"/>
      <c r="M836" s="16"/>
      <c r="N836" s="19"/>
      <c r="O836" s="19"/>
      <c r="P836" s="19"/>
      <c r="Q836" s="19"/>
      <c r="R836" s="19"/>
      <c r="S836" s="19"/>
      <c r="T836" s="19"/>
      <c r="U836" s="19"/>
      <c r="V836" s="19"/>
      <c r="W836" s="20"/>
      <c r="X836" s="43"/>
    </row>
    <row r="837" spans="1:24" ht="15.75" hidden="1" customHeight="1" x14ac:dyDescent="0.25">
      <c r="A837" s="16"/>
      <c r="B837" s="16" t="str">
        <f t="shared" si="3"/>
        <v/>
      </c>
      <c r="C837" s="16"/>
      <c r="D837" s="40"/>
      <c r="E837" s="16"/>
      <c r="F837" s="41"/>
      <c r="G837" s="16"/>
      <c r="H837" s="16"/>
      <c r="I837" s="16"/>
      <c r="J837" s="22"/>
      <c r="K837" s="16"/>
      <c r="L837" s="16"/>
      <c r="M837" s="16"/>
      <c r="N837" s="19"/>
      <c r="O837" s="19"/>
      <c r="P837" s="19"/>
      <c r="Q837" s="19"/>
      <c r="R837" s="19"/>
      <c r="S837" s="19"/>
      <c r="T837" s="19"/>
      <c r="U837" s="19"/>
      <c r="V837" s="19"/>
      <c r="W837" s="20"/>
      <c r="X837" s="43"/>
    </row>
    <row r="838" spans="1:24" ht="15.75" hidden="1" customHeight="1" x14ac:dyDescent="0.25">
      <c r="A838" s="16"/>
      <c r="B838" s="16" t="str">
        <f t="shared" si="3"/>
        <v/>
      </c>
      <c r="C838" s="16"/>
      <c r="D838" s="40"/>
      <c r="E838" s="16"/>
      <c r="F838" s="41"/>
      <c r="G838" s="16"/>
      <c r="H838" s="16"/>
      <c r="I838" s="16"/>
      <c r="J838" s="22"/>
      <c r="K838" s="16"/>
      <c r="L838" s="16"/>
      <c r="M838" s="16"/>
      <c r="N838" s="19"/>
      <c r="O838" s="19"/>
      <c r="P838" s="19"/>
      <c r="Q838" s="19"/>
      <c r="R838" s="19"/>
      <c r="S838" s="19"/>
      <c r="T838" s="19"/>
      <c r="U838" s="19"/>
      <c r="V838" s="19"/>
      <c r="W838" s="20"/>
      <c r="X838" s="43"/>
    </row>
    <row r="839" spans="1:24" ht="15.75" hidden="1" customHeight="1" x14ac:dyDescent="0.25">
      <c r="A839" s="16"/>
      <c r="B839" s="16" t="str">
        <f t="shared" si="3"/>
        <v/>
      </c>
      <c r="C839" s="16"/>
      <c r="D839" s="40"/>
      <c r="E839" s="16"/>
      <c r="F839" s="41"/>
      <c r="G839" s="16"/>
      <c r="H839" s="16"/>
      <c r="I839" s="16"/>
      <c r="J839" s="22"/>
      <c r="K839" s="16"/>
      <c r="L839" s="16"/>
      <c r="M839" s="16"/>
      <c r="N839" s="19"/>
      <c r="O839" s="19"/>
      <c r="P839" s="19"/>
      <c r="Q839" s="19"/>
      <c r="R839" s="19"/>
      <c r="S839" s="19"/>
      <c r="T839" s="19"/>
      <c r="U839" s="19"/>
      <c r="V839" s="19"/>
      <c r="W839" s="20"/>
      <c r="X839" s="43"/>
    </row>
    <row r="840" spans="1:24" ht="15.75" hidden="1" customHeight="1" x14ac:dyDescent="0.25">
      <c r="A840" s="16"/>
      <c r="B840" s="16" t="str">
        <f t="shared" si="3"/>
        <v/>
      </c>
      <c r="C840" s="16"/>
      <c r="D840" s="40"/>
      <c r="E840" s="16"/>
      <c r="F840" s="41"/>
      <c r="G840" s="16"/>
      <c r="H840" s="16"/>
      <c r="I840" s="16"/>
      <c r="J840" s="22"/>
      <c r="K840" s="16"/>
      <c r="L840" s="16"/>
      <c r="M840" s="16"/>
      <c r="N840" s="19"/>
      <c r="O840" s="19"/>
      <c r="P840" s="19"/>
      <c r="Q840" s="19"/>
      <c r="R840" s="19"/>
      <c r="S840" s="19"/>
      <c r="T840" s="19"/>
      <c r="U840" s="19"/>
      <c r="V840" s="19"/>
      <c r="W840" s="20"/>
      <c r="X840" s="43"/>
    </row>
    <row r="841" spans="1:24" ht="15.75" hidden="1" customHeight="1" x14ac:dyDescent="0.25">
      <c r="A841" s="16"/>
      <c r="B841" s="16" t="str">
        <f t="shared" si="3"/>
        <v/>
      </c>
      <c r="C841" s="16"/>
      <c r="D841" s="40"/>
      <c r="E841" s="16"/>
      <c r="F841" s="41"/>
      <c r="G841" s="16"/>
      <c r="H841" s="16"/>
      <c r="I841" s="16"/>
      <c r="J841" s="22"/>
      <c r="K841" s="16"/>
      <c r="L841" s="16"/>
      <c r="M841" s="16"/>
      <c r="N841" s="19"/>
      <c r="O841" s="19"/>
      <c r="P841" s="19"/>
      <c r="Q841" s="19"/>
      <c r="R841" s="19"/>
      <c r="S841" s="19"/>
      <c r="T841" s="19"/>
      <c r="U841" s="19"/>
      <c r="V841" s="19"/>
      <c r="W841" s="20"/>
      <c r="X841" s="43"/>
    </row>
    <row r="842" spans="1:24" ht="15.75" hidden="1" customHeight="1" x14ac:dyDescent="0.25">
      <c r="A842" s="16"/>
      <c r="B842" s="16" t="str">
        <f t="shared" si="3"/>
        <v/>
      </c>
      <c r="C842" s="16"/>
      <c r="D842" s="40"/>
      <c r="E842" s="16"/>
      <c r="F842" s="41"/>
      <c r="G842" s="16"/>
      <c r="H842" s="16"/>
      <c r="I842" s="16"/>
      <c r="J842" s="22"/>
      <c r="K842" s="16"/>
      <c r="L842" s="16"/>
      <c r="M842" s="16"/>
      <c r="N842" s="19"/>
      <c r="O842" s="19"/>
      <c r="P842" s="19"/>
      <c r="Q842" s="19"/>
      <c r="R842" s="19"/>
      <c r="S842" s="19"/>
      <c r="T842" s="19"/>
      <c r="U842" s="19"/>
      <c r="V842" s="19"/>
      <c r="W842" s="20"/>
      <c r="X842" s="43"/>
    </row>
    <row r="843" spans="1:24" ht="15.75" hidden="1" customHeight="1" x14ac:dyDescent="0.25">
      <c r="A843" s="16"/>
      <c r="B843" s="16" t="str">
        <f t="shared" si="3"/>
        <v/>
      </c>
      <c r="C843" s="16"/>
      <c r="D843" s="40"/>
      <c r="E843" s="16"/>
      <c r="F843" s="41"/>
      <c r="G843" s="16"/>
      <c r="H843" s="16"/>
      <c r="I843" s="16"/>
      <c r="J843" s="22"/>
      <c r="K843" s="16"/>
      <c r="L843" s="16"/>
      <c r="M843" s="16"/>
      <c r="N843" s="19"/>
      <c r="O843" s="19"/>
      <c r="P843" s="19"/>
      <c r="Q843" s="19"/>
      <c r="R843" s="19"/>
      <c r="S843" s="19"/>
      <c r="T843" s="19"/>
      <c r="U843" s="19"/>
      <c r="V843" s="19"/>
      <c r="W843" s="20"/>
      <c r="X843" s="43"/>
    </row>
    <row r="844" spans="1:24" ht="15.75" hidden="1" customHeight="1" x14ac:dyDescent="0.25">
      <c r="A844" s="16"/>
      <c r="B844" s="16" t="str">
        <f t="shared" si="3"/>
        <v/>
      </c>
      <c r="C844" s="16"/>
      <c r="D844" s="40"/>
      <c r="E844" s="16"/>
      <c r="F844" s="41"/>
      <c r="G844" s="16"/>
      <c r="H844" s="16"/>
      <c r="I844" s="16"/>
      <c r="J844" s="22"/>
      <c r="K844" s="16"/>
      <c r="L844" s="16"/>
      <c r="M844" s="16"/>
      <c r="N844" s="19"/>
      <c r="O844" s="19"/>
      <c r="P844" s="19"/>
      <c r="Q844" s="19"/>
      <c r="R844" s="19"/>
      <c r="S844" s="19"/>
      <c r="T844" s="19"/>
      <c r="U844" s="19"/>
      <c r="V844" s="19"/>
      <c r="W844" s="20"/>
      <c r="X844" s="43"/>
    </row>
    <row r="845" spans="1:24" ht="15.75" hidden="1" customHeight="1" x14ac:dyDescent="0.25">
      <c r="A845" s="16"/>
      <c r="B845" s="16" t="str">
        <f t="shared" si="3"/>
        <v/>
      </c>
      <c r="C845" s="16"/>
      <c r="D845" s="40"/>
      <c r="E845" s="16"/>
      <c r="F845" s="41"/>
      <c r="G845" s="16"/>
      <c r="H845" s="16"/>
      <c r="I845" s="16"/>
      <c r="J845" s="22"/>
      <c r="K845" s="16"/>
      <c r="L845" s="16"/>
      <c r="M845" s="16"/>
      <c r="N845" s="19"/>
      <c r="O845" s="19"/>
      <c r="P845" s="19"/>
      <c r="Q845" s="19"/>
      <c r="R845" s="19"/>
      <c r="S845" s="19"/>
      <c r="T845" s="19"/>
      <c r="U845" s="19"/>
      <c r="V845" s="19"/>
      <c r="W845" s="20"/>
      <c r="X845" s="43"/>
    </row>
    <row r="846" spans="1:24" ht="15.75" hidden="1" customHeight="1" x14ac:dyDescent="0.25">
      <c r="A846" s="16"/>
      <c r="B846" s="16" t="str">
        <f t="shared" si="3"/>
        <v/>
      </c>
      <c r="C846" s="16"/>
      <c r="D846" s="40"/>
      <c r="E846" s="16"/>
      <c r="F846" s="41"/>
      <c r="G846" s="16"/>
      <c r="H846" s="16"/>
      <c r="I846" s="16"/>
      <c r="J846" s="22"/>
      <c r="K846" s="16"/>
      <c r="L846" s="16"/>
      <c r="M846" s="16"/>
      <c r="N846" s="19"/>
      <c r="O846" s="19"/>
      <c r="P846" s="19"/>
      <c r="Q846" s="19"/>
      <c r="R846" s="19"/>
      <c r="S846" s="19"/>
      <c r="T846" s="19"/>
      <c r="U846" s="19"/>
      <c r="V846" s="19"/>
      <c r="W846" s="20"/>
      <c r="X846" s="43"/>
    </row>
    <row r="847" spans="1:24" ht="15.75" hidden="1" customHeight="1" x14ac:dyDescent="0.25">
      <c r="A847" s="16"/>
      <c r="B847" s="16" t="str">
        <f t="shared" si="3"/>
        <v/>
      </c>
      <c r="C847" s="16"/>
      <c r="D847" s="40"/>
      <c r="E847" s="16"/>
      <c r="F847" s="41"/>
      <c r="G847" s="16"/>
      <c r="H847" s="16"/>
      <c r="I847" s="16"/>
      <c r="J847" s="22"/>
      <c r="K847" s="16"/>
      <c r="L847" s="16"/>
      <c r="M847" s="16"/>
      <c r="N847" s="19"/>
      <c r="O847" s="19"/>
      <c r="P847" s="19"/>
      <c r="Q847" s="19"/>
      <c r="R847" s="19"/>
      <c r="S847" s="19"/>
      <c r="T847" s="19"/>
      <c r="U847" s="19"/>
      <c r="V847" s="19"/>
      <c r="W847" s="20"/>
      <c r="X847" s="43"/>
    </row>
    <row r="848" spans="1:24" ht="15.75" hidden="1" customHeight="1" x14ac:dyDescent="0.25">
      <c r="A848" s="16"/>
      <c r="B848" s="16" t="str">
        <f t="shared" si="3"/>
        <v/>
      </c>
      <c r="C848" s="16"/>
      <c r="D848" s="40"/>
      <c r="E848" s="16"/>
      <c r="F848" s="41"/>
      <c r="G848" s="16"/>
      <c r="H848" s="16"/>
      <c r="I848" s="16"/>
      <c r="J848" s="22"/>
      <c r="K848" s="16"/>
      <c r="L848" s="16"/>
      <c r="M848" s="16"/>
      <c r="N848" s="19"/>
      <c r="O848" s="19"/>
      <c r="P848" s="19"/>
      <c r="Q848" s="19"/>
      <c r="R848" s="19"/>
      <c r="S848" s="19"/>
      <c r="T848" s="19"/>
      <c r="U848" s="19"/>
      <c r="V848" s="19"/>
      <c r="W848" s="20"/>
      <c r="X848" s="43"/>
    </row>
    <row r="849" spans="1:24" ht="15.75" hidden="1" customHeight="1" x14ac:dyDescent="0.25">
      <c r="A849" s="16"/>
      <c r="B849" s="16" t="str">
        <f t="shared" si="3"/>
        <v/>
      </c>
      <c r="C849" s="16"/>
      <c r="D849" s="40"/>
      <c r="E849" s="16"/>
      <c r="F849" s="41"/>
      <c r="G849" s="16"/>
      <c r="H849" s="16"/>
      <c r="I849" s="16"/>
      <c r="J849" s="22"/>
      <c r="K849" s="16"/>
      <c r="L849" s="16"/>
      <c r="M849" s="16"/>
      <c r="N849" s="19"/>
      <c r="O849" s="19"/>
      <c r="P849" s="19"/>
      <c r="Q849" s="19"/>
      <c r="R849" s="19"/>
      <c r="S849" s="19"/>
      <c r="T849" s="19"/>
      <c r="U849" s="19"/>
      <c r="V849" s="19"/>
      <c r="W849" s="20"/>
      <c r="X849" s="43"/>
    </row>
    <row r="850" spans="1:24" ht="15.75" hidden="1" customHeight="1" x14ac:dyDescent="0.25">
      <c r="A850" s="16"/>
      <c r="B850" s="16" t="str">
        <f t="shared" si="3"/>
        <v/>
      </c>
      <c r="C850" s="16"/>
      <c r="D850" s="40"/>
      <c r="E850" s="16"/>
      <c r="F850" s="41"/>
      <c r="G850" s="16"/>
      <c r="H850" s="16"/>
      <c r="I850" s="16"/>
      <c r="J850" s="22"/>
      <c r="K850" s="16"/>
      <c r="L850" s="16"/>
      <c r="M850" s="16"/>
      <c r="N850" s="19"/>
      <c r="O850" s="19"/>
      <c r="P850" s="19"/>
      <c r="Q850" s="19"/>
      <c r="R850" s="19"/>
      <c r="S850" s="19"/>
      <c r="T850" s="19"/>
      <c r="U850" s="19"/>
      <c r="V850" s="19"/>
      <c r="W850" s="20"/>
      <c r="X850" s="43"/>
    </row>
    <row r="851" spans="1:24" ht="15.75" hidden="1" customHeight="1" x14ac:dyDescent="0.25">
      <c r="A851" s="16"/>
      <c r="B851" s="16" t="str">
        <f t="shared" si="3"/>
        <v/>
      </c>
      <c r="C851" s="16"/>
      <c r="D851" s="40"/>
      <c r="E851" s="16"/>
      <c r="F851" s="41"/>
      <c r="G851" s="16"/>
      <c r="H851" s="16"/>
      <c r="I851" s="16"/>
      <c r="J851" s="22"/>
      <c r="K851" s="16"/>
      <c r="L851" s="16"/>
      <c r="M851" s="16"/>
      <c r="N851" s="19"/>
      <c r="O851" s="19"/>
      <c r="P851" s="19"/>
      <c r="Q851" s="19"/>
      <c r="R851" s="19"/>
      <c r="S851" s="19"/>
      <c r="T851" s="19"/>
      <c r="U851" s="19"/>
      <c r="V851" s="19"/>
      <c r="W851" s="20"/>
      <c r="X851" s="43"/>
    </row>
    <row r="852" spans="1:24" ht="15.75" hidden="1" customHeight="1" x14ac:dyDescent="0.25">
      <c r="A852" s="16"/>
      <c r="B852" s="16" t="str">
        <f t="shared" si="3"/>
        <v/>
      </c>
      <c r="C852" s="16"/>
      <c r="D852" s="40"/>
      <c r="E852" s="16"/>
      <c r="F852" s="41"/>
      <c r="G852" s="16"/>
      <c r="H852" s="16"/>
      <c r="I852" s="16"/>
      <c r="J852" s="22"/>
      <c r="K852" s="16"/>
      <c r="L852" s="16"/>
      <c r="M852" s="16"/>
      <c r="N852" s="19"/>
      <c r="O852" s="19"/>
      <c r="P852" s="19"/>
      <c r="Q852" s="19"/>
      <c r="R852" s="19"/>
      <c r="S852" s="19"/>
      <c r="T852" s="19"/>
      <c r="U852" s="19"/>
      <c r="V852" s="19"/>
      <c r="W852" s="20"/>
      <c r="X852" s="43"/>
    </row>
    <row r="853" spans="1:24" ht="15.75" hidden="1" customHeight="1" x14ac:dyDescent="0.25">
      <c r="A853" s="16"/>
      <c r="B853" s="16" t="str">
        <f t="shared" si="3"/>
        <v/>
      </c>
      <c r="C853" s="16"/>
      <c r="D853" s="40"/>
      <c r="E853" s="16"/>
      <c r="F853" s="41"/>
      <c r="G853" s="16"/>
      <c r="H853" s="16"/>
      <c r="I853" s="16"/>
      <c r="J853" s="22"/>
      <c r="K853" s="16"/>
      <c r="L853" s="16"/>
      <c r="M853" s="16"/>
      <c r="N853" s="19"/>
      <c r="O853" s="19"/>
      <c r="P853" s="19"/>
      <c r="Q853" s="19"/>
      <c r="R853" s="19"/>
      <c r="S853" s="19"/>
      <c r="T853" s="19"/>
      <c r="U853" s="19"/>
      <c r="V853" s="19"/>
      <c r="W853" s="20"/>
      <c r="X853" s="43"/>
    </row>
    <row r="854" spans="1:24" ht="15.75" hidden="1" customHeight="1" x14ac:dyDescent="0.25">
      <c r="A854" s="16"/>
      <c r="B854" s="16" t="str">
        <f t="shared" si="3"/>
        <v/>
      </c>
      <c r="C854" s="16"/>
      <c r="D854" s="40"/>
      <c r="E854" s="16"/>
      <c r="F854" s="41"/>
      <c r="G854" s="16"/>
      <c r="H854" s="16"/>
      <c r="I854" s="16"/>
      <c r="J854" s="22"/>
      <c r="K854" s="16"/>
      <c r="L854" s="16"/>
      <c r="M854" s="16"/>
      <c r="N854" s="19"/>
      <c r="O854" s="19"/>
      <c r="P854" s="19"/>
      <c r="Q854" s="19"/>
      <c r="R854" s="19"/>
      <c r="S854" s="19"/>
      <c r="T854" s="19"/>
      <c r="U854" s="19"/>
      <c r="V854" s="19"/>
      <c r="W854" s="20"/>
      <c r="X854" s="43"/>
    </row>
    <row r="855" spans="1:24" ht="15.75" hidden="1" customHeight="1" x14ac:dyDescent="0.25">
      <c r="A855" s="16"/>
      <c r="B855" s="16" t="str">
        <f t="shared" si="3"/>
        <v/>
      </c>
      <c r="C855" s="16"/>
      <c r="D855" s="40"/>
      <c r="E855" s="16"/>
      <c r="F855" s="41"/>
      <c r="G855" s="16"/>
      <c r="H855" s="16"/>
      <c r="I855" s="16"/>
      <c r="J855" s="22"/>
      <c r="K855" s="16"/>
      <c r="L855" s="16"/>
      <c r="M855" s="16"/>
      <c r="N855" s="19"/>
      <c r="O855" s="19"/>
      <c r="P855" s="19"/>
      <c r="Q855" s="19"/>
      <c r="R855" s="19"/>
      <c r="S855" s="19"/>
      <c r="T855" s="19"/>
      <c r="U855" s="19"/>
      <c r="V855" s="19"/>
      <c r="W855" s="20"/>
      <c r="X855" s="43"/>
    </row>
    <row r="856" spans="1:24" ht="15.75" hidden="1" customHeight="1" x14ac:dyDescent="0.25">
      <c r="A856" s="16"/>
      <c r="B856" s="16" t="str">
        <f t="shared" si="3"/>
        <v/>
      </c>
      <c r="C856" s="16"/>
      <c r="D856" s="40"/>
      <c r="E856" s="16"/>
      <c r="F856" s="41"/>
      <c r="G856" s="16"/>
      <c r="H856" s="16"/>
      <c r="I856" s="16"/>
      <c r="J856" s="22"/>
      <c r="K856" s="16"/>
      <c r="L856" s="16"/>
      <c r="M856" s="16"/>
      <c r="N856" s="19"/>
      <c r="O856" s="19"/>
      <c r="P856" s="19"/>
      <c r="Q856" s="19"/>
      <c r="R856" s="19"/>
      <c r="S856" s="19"/>
      <c r="T856" s="19"/>
      <c r="U856" s="19"/>
      <c r="V856" s="19"/>
      <c r="W856" s="20"/>
      <c r="X856" s="43"/>
    </row>
    <row r="857" spans="1:24" ht="15.75" hidden="1" customHeight="1" x14ac:dyDescent="0.25">
      <c r="A857" s="16"/>
      <c r="B857" s="16" t="str">
        <f t="shared" si="3"/>
        <v/>
      </c>
      <c r="C857" s="16"/>
      <c r="D857" s="40"/>
      <c r="E857" s="16"/>
      <c r="F857" s="41"/>
      <c r="G857" s="16"/>
      <c r="H857" s="16"/>
      <c r="I857" s="16"/>
      <c r="J857" s="22"/>
      <c r="K857" s="16"/>
      <c r="L857" s="16"/>
      <c r="M857" s="16"/>
      <c r="N857" s="19"/>
      <c r="O857" s="19"/>
      <c r="P857" s="19"/>
      <c r="Q857" s="19"/>
      <c r="R857" s="19"/>
      <c r="S857" s="19"/>
      <c r="T857" s="19"/>
      <c r="U857" s="19"/>
      <c r="V857" s="19"/>
      <c r="W857" s="20"/>
      <c r="X857" s="43"/>
    </row>
    <row r="858" spans="1:24" ht="15.75" hidden="1" customHeight="1" x14ac:dyDescent="0.25">
      <c r="A858" s="16"/>
      <c r="B858" s="16" t="str">
        <f t="shared" si="3"/>
        <v/>
      </c>
      <c r="C858" s="16"/>
      <c r="D858" s="40"/>
      <c r="E858" s="16"/>
      <c r="F858" s="41"/>
      <c r="G858" s="16"/>
      <c r="H858" s="16"/>
      <c r="I858" s="16"/>
      <c r="J858" s="22"/>
      <c r="K858" s="16"/>
      <c r="L858" s="16"/>
      <c r="M858" s="16"/>
      <c r="N858" s="19"/>
      <c r="O858" s="19"/>
      <c r="P858" s="19"/>
      <c r="Q858" s="19"/>
      <c r="R858" s="19"/>
      <c r="S858" s="19"/>
      <c r="T858" s="19"/>
      <c r="U858" s="19"/>
      <c r="V858" s="19"/>
      <c r="W858" s="20"/>
      <c r="X858" s="43"/>
    </row>
    <row r="859" spans="1:24" ht="15.75" hidden="1" customHeight="1" x14ac:dyDescent="0.25">
      <c r="A859" s="16"/>
      <c r="B859" s="16" t="str">
        <f t="shared" si="3"/>
        <v/>
      </c>
      <c r="C859" s="16"/>
      <c r="D859" s="40"/>
      <c r="E859" s="16"/>
      <c r="F859" s="41"/>
      <c r="G859" s="16"/>
      <c r="H859" s="16"/>
      <c r="I859" s="16"/>
      <c r="J859" s="22"/>
      <c r="K859" s="16"/>
      <c r="L859" s="16"/>
      <c r="M859" s="16"/>
      <c r="N859" s="19"/>
      <c r="O859" s="19"/>
      <c r="P859" s="19"/>
      <c r="Q859" s="19"/>
      <c r="R859" s="19"/>
      <c r="S859" s="19"/>
      <c r="T859" s="19"/>
      <c r="U859" s="19"/>
      <c r="V859" s="19"/>
      <c r="W859" s="20"/>
      <c r="X859" s="43"/>
    </row>
    <row r="860" spans="1:24" ht="15.75" hidden="1" customHeight="1" x14ac:dyDescent="0.25">
      <c r="A860" s="16"/>
      <c r="B860" s="16" t="str">
        <f t="shared" si="3"/>
        <v/>
      </c>
      <c r="C860" s="16"/>
      <c r="D860" s="40"/>
      <c r="E860" s="16"/>
      <c r="F860" s="41"/>
      <c r="G860" s="16"/>
      <c r="H860" s="16"/>
      <c r="I860" s="16"/>
      <c r="J860" s="22"/>
      <c r="K860" s="16"/>
      <c r="L860" s="16"/>
      <c r="M860" s="16"/>
      <c r="N860" s="19"/>
      <c r="O860" s="19"/>
      <c r="P860" s="19"/>
      <c r="Q860" s="19"/>
      <c r="R860" s="19"/>
      <c r="S860" s="19"/>
      <c r="T860" s="19"/>
      <c r="U860" s="19"/>
      <c r="V860" s="19"/>
      <c r="W860" s="20"/>
      <c r="X860" s="43"/>
    </row>
    <row r="861" spans="1:24" ht="15.75" hidden="1" customHeight="1" x14ac:dyDescent="0.25">
      <c r="A861" s="16"/>
      <c r="B861" s="16" t="str">
        <f t="shared" si="3"/>
        <v/>
      </c>
      <c r="C861" s="16"/>
      <c r="D861" s="40"/>
      <c r="E861" s="16"/>
      <c r="F861" s="41"/>
      <c r="G861" s="16"/>
      <c r="H861" s="16"/>
      <c r="I861" s="16"/>
      <c r="J861" s="22"/>
      <c r="K861" s="16"/>
      <c r="L861" s="16"/>
      <c r="M861" s="16"/>
      <c r="N861" s="19"/>
      <c r="O861" s="19"/>
      <c r="P861" s="19"/>
      <c r="Q861" s="19"/>
      <c r="R861" s="19"/>
      <c r="S861" s="19"/>
      <c r="T861" s="19"/>
      <c r="U861" s="19"/>
      <c r="V861" s="19"/>
      <c r="W861" s="20"/>
      <c r="X861" s="43"/>
    </row>
    <row r="862" spans="1:24" ht="15.75" hidden="1" customHeight="1" x14ac:dyDescent="0.25">
      <c r="A862" s="16"/>
      <c r="B862" s="16" t="str">
        <f t="shared" si="3"/>
        <v/>
      </c>
      <c r="C862" s="16"/>
      <c r="D862" s="40"/>
      <c r="E862" s="16"/>
      <c r="F862" s="41"/>
      <c r="G862" s="16"/>
      <c r="H862" s="16"/>
      <c r="I862" s="16"/>
      <c r="J862" s="22"/>
      <c r="K862" s="16"/>
      <c r="L862" s="16"/>
      <c r="M862" s="16"/>
      <c r="N862" s="19"/>
      <c r="O862" s="19"/>
      <c r="P862" s="19"/>
      <c r="Q862" s="19"/>
      <c r="R862" s="19"/>
      <c r="S862" s="19"/>
      <c r="T862" s="19"/>
      <c r="U862" s="19"/>
      <c r="V862" s="19"/>
      <c r="W862" s="20"/>
      <c r="X862" s="43"/>
    </row>
    <row r="863" spans="1:24" ht="15.75" hidden="1" customHeight="1" x14ac:dyDescent="0.25">
      <c r="A863" s="16"/>
      <c r="B863" s="16" t="str">
        <f t="shared" si="3"/>
        <v/>
      </c>
      <c r="C863" s="16"/>
      <c r="D863" s="40"/>
      <c r="E863" s="16"/>
      <c r="F863" s="41"/>
      <c r="G863" s="16"/>
      <c r="H863" s="16"/>
      <c r="I863" s="16"/>
      <c r="J863" s="22"/>
      <c r="K863" s="16"/>
      <c r="L863" s="16"/>
      <c r="M863" s="16"/>
      <c r="N863" s="19"/>
      <c r="O863" s="19"/>
      <c r="P863" s="19"/>
      <c r="Q863" s="19"/>
      <c r="R863" s="19"/>
      <c r="S863" s="19"/>
      <c r="T863" s="19"/>
      <c r="U863" s="19"/>
      <c r="V863" s="19"/>
      <c r="W863" s="20"/>
      <c r="X863" s="43"/>
    </row>
    <row r="864" spans="1:24" ht="15.75" hidden="1" customHeight="1" x14ac:dyDescent="0.25">
      <c r="A864" s="16"/>
      <c r="B864" s="16" t="str">
        <f t="shared" si="3"/>
        <v/>
      </c>
      <c r="C864" s="16"/>
      <c r="D864" s="40"/>
      <c r="E864" s="16"/>
      <c r="F864" s="41"/>
      <c r="G864" s="16"/>
      <c r="H864" s="16"/>
      <c r="I864" s="16"/>
      <c r="J864" s="22"/>
      <c r="K864" s="16"/>
      <c r="L864" s="16"/>
      <c r="M864" s="16"/>
      <c r="N864" s="19"/>
      <c r="O864" s="19"/>
      <c r="P864" s="19"/>
      <c r="Q864" s="19"/>
      <c r="R864" s="19"/>
      <c r="S864" s="19"/>
      <c r="T864" s="19"/>
      <c r="U864" s="19"/>
      <c r="V864" s="19"/>
      <c r="W864" s="20"/>
      <c r="X864" s="43"/>
    </row>
    <row r="865" spans="1:24" ht="15.75" hidden="1" customHeight="1" x14ac:dyDescent="0.25">
      <c r="A865" s="16"/>
      <c r="B865" s="16" t="str">
        <f t="shared" si="3"/>
        <v/>
      </c>
      <c r="C865" s="16"/>
      <c r="D865" s="40"/>
      <c r="E865" s="16"/>
      <c r="F865" s="41"/>
      <c r="G865" s="16"/>
      <c r="H865" s="16"/>
      <c r="I865" s="16"/>
      <c r="J865" s="22"/>
      <c r="K865" s="16"/>
      <c r="L865" s="16"/>
      <c r="M865" s="16"/>
      <c r="N865" s="19"/>
      <c r="O865" s="19"/>
      <c r="P865" s="19"/>
      <c r="Q865" s="19"/>
      <c r="R865" s="19"/>
      <c r="S865" s="19"/>
      <c r="T865" s="19"/>
      <c r="U865" s="19"/>
      <c r="V865" s="19"/>
      <c r="W865" s="20"/>
      <c r="X865" s="43"/>
    </row>
    <row r="866" spans="1:24" ht="15.75" hidden="1" customHeight="1" x14ac:dyDescent="0.25">
      <c r="A866" s="16"/>
      <c r="B866" s="16" t="str">
        <f t="shared" si="3"/>
        <v/>
      </c>
      <c r="C866" s="16"/>
      <c r="D866" s="40"/>
      <c r="E866" s="16"/>
      <c r="F866" s="41"/>
      <c r="G866" s="16"/>
      <c r="H866" s="16"/>
      <c r="I866" s="16"/>
      <c r="J866" s="22"/>
      <c r="K866" s="16"/>
      <c r="L866" s="16"/>
      <c r="M866" s="16"/>
      <c r="N866" s="19"/>
      <c r="O866" s="19"/>
      <c r="P866" s="19"/>
      <c r="Q866" s="19"/>
      <c r="R866" s="19"/>
      <c r="S866" s="19"/>
      <c r="T866" s="19"/>
      <c r="U866" s="19"/>
      <c r="V866" s="19"/>
      <c r="W866" s="20"/>
      <c r="X866" s="43"/>
    </row>
    <row r="867" spans="1:24" ht="15.75" hidden="1" customHeight="1" x14ac:dyDescent="0.25">
      <c r="A867" s="16"/>
      <c r="B867" s="16" t="str">
        <f t="shared" si="3"/>
        <v/>
      </c>
      <c r="C867" s="16"/>
      <c r="D867" s="40"/>
      <c r="E867" s="16"/>
      <c r="F867" s="41"/>
      <c r="G867" s="16"/>
      <c r="H867" s="16"/>
      <c r="I867" s="16"/>
      <c r="J867" s="22"/>
      <c r="K867" s="16"/>
      <c r="L867" s="16"/>
      <c r="M867" s="16"/>
      <c r="N867" s="19"/>
      <c r="O867" s="19"/>
      <c r="P867" s="19"/>
      <c r="Q867" s="19"/>
      <c r="R867" s="19"/>
      <c r="S867" s="19"/>
      <c r="T867" s="19"/>
      <c r="U867" s="19"/>
      <c r="V867" s="19"/>
      <c r="W867" s="20"/>
      <c r="X867" s="43"/>
    </row>
    <row r="868" spans="1:24" ht="15.75" hidden="1" customHeight="1" x14ac:dyDescent="0.25">
      <c r="A868" s="16"/>
      <c r="B868" s="16" t="str">
        <f t="shared" si="3"/>
        <v/>
      </c>
      <c r="C868" s="16"/>
      <c r="D868" s="40"/>
      <c r="E868" s="16"/>
      <c r="F868" s="41"/>
      <c r="G868" s="16"/>
      <c r="H868" s="16"/>
      <c r="I868" s="16"/>
      <c r="J868" s="22"/>
      <c r="K868" s="16"/>
      <c r="L868" s="16"/>
      <c r="M868" s="16"/>
      <c r="N868" s="19"/>
      <c r="O868" s="19"/>
      <c r="P868" s="19"/>
      <c r="Q868" s="19"/>
      <c r="R868" s="19"/>
      <c r="S868" s="19"/>
      <c r="T868" s="19"/>
      <c r="U868" s="19"/>
      <c r="V868" s="19"/>
      <c r="W868" s="20"/>
      <c r="X868" s="43"/>
    </row>
    <row r="869" spans="1:24" ht="15.75" hidden="1" customHeight="1" x14ac:dyDescent="0.25">
      <c r="A869" s="16"/>
      <c r="B869" s="16" t="str">
        <f t="shared" si="3"/>
        <v/>
      </c>
      <c r="C869" s="16"/>
      <c r="D869" s="40"/>
      <c r="E869" s="16"/>
      <c r="F869" s="41"/>
      <c r="G869" s="16"/>
      <c r="H869" s="16"/>
      <c r="I869" s="16"/>
      <c r="J869" s="22"/>
      <c r="K869" s="16"/>
      <c r="L869" s="16"/>
      <c r="M869" s="16"/>
      <c r="N869" s="19"/>
      <c r="O869" s="19"/>
      <c r="P869" s="19"/>
      <c r="Q869" s="19"/>
      <c r="R869" s="19"/>
      <c r="S869" s="19"/>
      <c r="T869" s="19"/>
      <c r="U869" s="19"/>
      <c r="V869" s="19"/>
      <c r="W869" s="20"/>
      <c r="X869" s="43"/>
    </row>
    <row r="870" spans="1:24" ht="15.75" hidden="1" customHeight="1" x14ac:dyDescent="0.25">
      <c r="A870" s="16"/>
      <c r="B870" s="16" t="str">
        <f t="shared" si="3"/>
        <v/>
      </c>
      <c r="C870" s="16"/>
      <c r="D870" s="40"/>
      <c r="E870" s="16"/>
      <c r="F870" s="41"/>
      <c r="G870" s="16"/>
      <c r="H870" s="16"/>
      <c r="I870" s="16"/>
      <c r="J870" s="22"/>
      <c r="K870" s="16"/>
      <c r="L870" s="16"/>
      <c r="M870" s="16"/>
      <c r="N870" s="19"/>
      <c r="O870" s="19"/>
      <c r="P870" s="19"/>
      <c r="Q870" s="19"/>
      <c r="R870" s="19"/>
      <c r="S870" s="19"/>
      <c r="T870" s="19"/>
      <c r="U870" s="19"/>
      <c r="V870" s="19"/>
      <c r="W870" s="20"/>
      <c r="X870" s="43"/>
    </row>
    <row r="871" spans="1:24" ht="15.75" hidden="1" customHeight="1" x14ac:dyDescent="0.25">
      <c r="A871" s="16"/>
      <c r="B871" s="16" t="str">
        <f t="shared" si="3"/>
        <v/>
      </c>
      <c r="C871" s="16"/>
      <c r="D871" s="40"/>
      <c r="E871" s="16"/>
      <c r="F871" s="41"/>
      <c r="G871" s="16"/>
      <c r="H871" s="16"/>
      <c r="I871" s="16"/>
      <c r="J871" s="22"/>
      <c r="K871" s="16"/>
      <c r="L871" s="16"/>
      <c r="M871" s="16"/>
      <c r="N871" s="19"/>
      <c r="O871" s="19"/>
      <c r="P871" s="19"/>
      <c r="Q871" s="19"/>
      <c r="R871" s="19"/>
      <c r="S871" s="19"/>
      <c r="T871" s="19"/>
      <c r="U871" s="19"/>
      <c r="V871" s="19"/>
      <c r="W871" s="20"/>
      <c r="X871" s="43"/>
    </row>
    <row r="872" spans="1:24" ht="15.75" hidden="1" customHeight="1" x14ac:dyDescent="0.25">
      <c r="A872" s="16"/>
      <c r="B872" s="16" t="str">
        <f t="shared" si="3"/>
        <v/>
      </c>
      <c r="C872" s="16"/>
      <c r="D872" s="40"/>
      <c r="E872" s="16"/>
      <c r="F872" s="41"/>
      <c r="G872" s="16"/>
      <c r="H872" s="16"/>
      <c r="I872" s="16"/>
      <c r="J872" s="22"/>
      <c r="K872" s="16"/>
      <c r="L872" s="16"/>
      <c r="M872" s="16"/>
      <c r="N872" s="19"/>
      <c r="O872" s="19"/>
      <c r="P872" s="19"/>
      <c r="Q872" s="19"/>
      <c r="R872" s="19"/>
      <c r="S872" s="19"/>
      <c r="T872" s="19"/>
      <c r="U872" s="19"/>
      <c r="V872" s="19"/>
      <c r="W872" s="20"/>
      <c r="X872" s="43"/>
    </row>
    <row r="873" spans="1:24" ht="15.75" hidden="1" customHeight="1" x14ac:dyDescent="0.25">
      <c r="A873" s="16"/>
      <c r="B873" s="16" t="str">
        <f t="shared" si="3"/>
        <v/>
      </c>
      <c r="C873" s="16"/>
      <c r="D873" s="40"/>
      <c r="E873" s="16"/>
      <c r="F873" s="41"/>
      <c r="G873" s="16"/>
      <c r="H873" s="16"/>
      <c r="I873" s="16"/>
      <c r="J873" s="22"/>
      <c r="K873" s="16"/>
      <c r="L873" s="16"/>
      <c r="M873" s="16"/>
      <c r="N873" s="19"/>
      <c r="O873" s="19"/>
      <c r="P873" s="19"/>
      <c r="Q873" s="19"/>
      <c r="R873" s="19"/>
      <c r="S873" s="19"/>
      <c r="T873" s="19"/>
      <c r="U873" s="19"/>
      <c r="V873" s="19"/>
      <c r="W873" s="20"/>
      <c r="X873" s="43"/>
    </row>
    <row r="874" spans="1:24" ht="15.75" hidden="1" customHeight="1" x14ac:dyDescent="0.25">
      <c r="A874" s="16"/>
      <c r="B874" s="16" t="str">
        <f t="shared" si="3"/>
        <v/>
      </c>
      <c r="C874" s="16"/>
      <c r="D874" s="40"/>
      <c r="E874" s="16"/>
      <c r="F874" s="41"/>
      <c r="G874" s="16"/>
      <c r="H874" s="16"/>
      <c r="I874" s="16"/>
      <c r="J874" s="22"/>
      <c r="K874" s="16"/>
      <c r="L874" s="16"/>
      <c r="M874" s="16"/>
      <c r="N874" s="19"/>
      <c r="O874" s="19"/>
      <c r="P874" s="19"/>
      <c r="Q874" s="19"/>
      <c r="R874" s="19"/>
      <c r="S874" s="19"/>
      <c r="T874" s="19"/>
      <c r="U874" s="19"/>
      <c r="V874" s="19"/>
      <c r="W874" s="20"/>
      <c r="X874" s="43"/>
    </row>
    <row r="875" spans="1:24" ht="15.75" hidden="1" customHeight="1" x14ac:dyDescent="0.25">
      <c r="A875" s="16"/>
      <c r="B875" s="16" t="str">
        <f t="shared" si="3"/>
        <v/>
      </c>
      <c r="C875" s="16"/>
      <c r="D875" s="40"/>
      <c r="E875" s="16"/>
      <c r="F875" s="41"/>
      <c r="G875" s="16"/>
      <c r="H875" s="16"/>
      <c r="I875" s="16"/>
      <c r="J875" s="22"/>
      <c r="K875" s="16"/>
      <c r="L875" s="16"/>
      <c r="M875" s="16"/>
      <c r="N875" s="19"/>
      <c r="O875" s="19"/>
      <c r="P875" s="19"/>
      <c r="Q875" s="19"/>
      <c r="R875" s="19"/>
      <c r="S875" s="19"/>
      <c r="T875" s="19"/>
      <c r="U875" s="19"/>
      <c r="V875" s="19"/>
      <c r="W875" s="20"/>
      <c r="X875" s="43"/>
    </row>
    <row r="876" spans="1:24" ht="15.75" hidden="1" customHeight="1" x14ac:dyDescent="0.25">
      <c r="A876" s="16"/>
      <c r="B876" s="16" t="str">
        <f t="shared" si="3"/>
        <v/>
      </c>
      <c r="C876" s="16"/>
      <c r="D876" s="40"/>
      <c r="E876" s="16"/>
      <c r="F876" s="41"/>
      <c r="G876" s="16"/>
      <c r="H876" s="16"/>
      <c r="I876" s="16"/>
      <c r="J876" s="22"/>
      <c r="K876" s="16"/>
      <c r="L876" s="16"/>
      <c r="M876" s="16"/>
      <c r="N876" s="19"/>
      <c r="O876" s="19"/>
      <c r="P876" s="19"/>
      <c r="Q876" s="19"/>
      <c r="R876" s="19"/>
      <c r="S876" s="19"/>
      <c r="T876" s="19"/>
      <c r="U876" s="19"/>
      <c r="V876" s="19"/>
      <c r="W876" s="20"/>
      <c r="X876" s="43"/>
    </row>
    <row r="877" spans="1:24" ht="15.75" hidden="1" customHeight="1" x14ac:dyDescent="0.25">
      <c r="A877" s="16"/>
      <c r="B877" s="16" t="str">
        <f t="shared" si="3"/>
        <v/>
      </c>
      <c r="C877" s="16"/>
      <c r="D877" s="40"/>
      <c r="E877" s="16"/>
      <c r="F877" s="41"/>
      <c r="G877" s="16"/>
      <c r="H877" s="16"/>
      <c r="I877" s="16"/>
      <c r="J877" s="22"/>
      <c r="K877" s="16"/>
      <c r="L877" s="16"/>
      <c r="M877" s="16"/>
      <c r="N877" s="19"/>
      <c r="O877" s="19"/>
      <c r="P877" s="19"/>
      <c r="Q877" s="19"/>
      <c r="R877" s="19"/>
      <c r="S877" s="19"/>
      <c r="T877" s="19"/>
      <c r="U877" s="19"/>
      <c r="V877" s="19"/>
      <c r="W877" s="20"/>
      <c r="X877" s="43"/>
    </row>
    <row r="878" spans="1:24" ht="15.75" hidden="1" customHeight="1" x14ac:dyDescent="0.25">
      <c r="A878" s="16"/>
      <c r="B878" s="16" t="str">
        <f t="shared" si="3"/>
        <v/>
      </c>
      <c r="C878" s="16"/>
      <c r="D878" s="40"/>
      <c r="E878" s="16"/>
      <c r="F878" s="41"/>
      <c r="G878" s="16"/>
      <c r="H878" s="16"/>
      <c r="I878" s="16"/>
      <c r="J878" s="22"/>
      <c r="K878" s="16"/>
      <c r="L878" s="16"/>
      <c r="M878" s="16"/>
      <c r="N878" s="19"/>
      <c r="O878" s="19"/>
      <c r="P878" s="19"/>
      <c r="Q878" s="19"/>
      <c r="R878" s="19"/>
      <c r="S878" s="19"/>
      <c r="T878" s="19"/>
      <c r="U878" s="19"/>
      <c r="V878" s="19"/>
      <c r="W878" s="20"/>
      <c r="X878" s="43"/>
    </row>
    <row r="879" spans="1:24" ht="15.75" hidden="1" customHeight="1" x14ac:dyDescent="0.25">
      <c r="A879" s="16"/>
      <c r="B879" s="16" t="str">
        <f t="shared" si="3"/>
        <v/>
      </c>
      <c r="C879" s="16"/>
      <c r="D879" s="40"/>
      <c r="E879" s="16"/>
      <c r="F879" s="41"/>
      <c r="G879" s="16"/>
      <c r="H879" s="16"/>
      <c r="I879" s="16"/>
      <c r="J879" s="22"/>
      <c r="K879" s="16"/>
      <c r="L879" s="16"/>
      <c r="M879" s="16"/>
      <c r="N879" s="19"/>
      <c r="O879" s="19"/>
      <c r="P879" s="19"/>
      <c r="Q879" s="19"/>
      <c r="R879" s="19"/>
      <c r="S879" s="19"/>
      <c r="T879" s="19"/>
      <c r="U879" s="19"/>
      <c r="V879" s="19"/>
      <c r="W879" s="20"/>
      <c r="X879" s="43"/>
    </row>
    <row r="880" spans="1:24" ht="15.75" hidden="1" customHeight="1" x14ac:dyDescent="0.25">
      <c r="A880" s="16"/>
      <c r="B880" s="16" t="str">
        <f t="shared" si="3"/>
        <v/>
      </c>
      <c r="C880" s="16"/>
      <c r="D880" s="40"/>
      <c r="E880" s="16"/>
      <c r="F880" s="41"/>
      <c r="G880" s="16"/>
      <c r="H880" s="16"/>
      <c r="I880" s="16"/>
      <c r="J880" s="22"/>
      <c r="K880" s="16"/>
      <c r="L880" s="16"/>
      <c r="M880" s="16"/>
      <c r="N880" s="19"/>
      <c r="O880" s="19"/>
      <c r="P880" s="19"/>
      <c r="Q880" s="19"/>
      <c r="R880" s="19"/>
      <c r="S880" s="19"/>
      <c r="T880" s="19"/>
      <c r="U880" s="19"/>
      <c r="V880" s="19"/>
      <c r="W880" s="20"/>
      <c r="X880" s="43"/>
    </row>
    <row r="881" spans="1:24" ht="15.75" hidden="1" customHeight="1" x14ac:dyDescent="0.25">
      <c r="A881" s="16"/>
      <c r="B881" s="16" t="str">
        <f t="shared" si="3"/>
        <v/>
      </c>
      <c r="C881" s="16"/>
      <c r="D881" s="40"/>
      <c r="E881" s="16"/>
      <c r="F881" s="41"/>
      <c r="G881" s="16"/>
      <c r="H881" s="16"/>
      <c r="I881" s="16"/>
      <c r="J881" s="22"/>
      <c r="K881" s="16"/>
      <c r="L881" s="16"/>
      <c r="M881" s="16"/>
      <c r="N881" s="19"/>
      <c r="O881" s="19"/>
      <c r="P881" s="19"/>
      <c r="Q881" s="19"/>
      <c r="R881" s="19"/>
      <c r="S881" s="19"/>
      <c r="T881" s="19"/>
      <c r="U881" s="19"/>
      <c r="V881" s="19"/>
      <c r="W881" s="20"/>
      <c r="X881" s="43"/>
    </row>
    <row r="882" spans="1:24" ht="15.75" hidden="1" customHeight="1" x14ac:dyDescent="0.25">
      <c r="A882" s="16"/>
      <c r="B882" s="16" t="str">
        <f t="shared" si="3"/>
        <v/>
      </c>
      <c r="C882" s="16"/>
      <c r="D882" s="40"/>
      <c r="E882" s="16"/>
      <c r="F882" s="41"/>
      <c r="G882" s="16"/>
      <c r="H882" s="16"/>
      <c r="I882" s="16"/>
      <c r="J882" s="22"/>
      <c r="K882" s="16"/>
      <c r="L882" s="16"/>
      <c r="M882" s="16"/>
      <c r="N882" s="19"/>
      <c r="O882" s="19"/>
      <c r="P882" s="19"/>
      <c r="Q882" s="19"/>
      <c r="R882" s="19"/>
      <c r="S882" s="19"/>
      <c r="T882" s="19"/>
      <c r="U882" s="19"/>
      <c r="V882" s="19"/>
      <c r="W882" s="20"/>
      <c r="X882" s="43"/>
    </row>
    <row r="883" spans="1:24" ht="15.75" hidden="1" customHeight="1" x14ac:dyDescent="0.25">
      <c r="A883" s="16"/>
      <c r="B883" s="16" t="str">
        <f t="shared" si="3"/>
        <v/>
      </c>
      <c r="C883" s="16"/>
      <c r="D883" s="40"/>
      <c r="E883" s="16"/>
      <c r="F883" s="41"/>
      <c r="G883" s="16"/>
      <c r="H883" s="16"/>
      <c r="I883" s="16"/>
      <c r="J883" s="22"/>
      <c r="K883" s="16"/>
      <c r="L883" s="16"/>
      <c r="M883" s="16"/>
      <c r="N883" s="19"/>
      <c r="O883" s="19"/>
      <c r="P883" s="19"/>
      <c r="Q883" s="19"/>
      <c r="R883" s="19"/>
      <c r="S883" s="19"/>
      <c r="T883" s="19"/>
      <c r="U883" s="19"/>
      <c r="V883" s="19"/>
      <c r="W883" s="20"/>
      <c r="X883" s="43"/>
    </row>
    <row r="884" spans="1:24" ht="15.75" hidden="1" customHeight="1" x14ac:dyDescent="0.25">
      <c r="A884" s="16"/>
      <c r="B884" s="16" t="str">
        <f t="shared" si="3"/>
        <v/>
      </c>
      <c r="C884" s="16"/>
      <c r="D884" s="40"/>
      <c r="E884" s="16"/>
      <c r="F884" s="41"/>
      <c r="G884" s="16"/>
      <c r="H884" s="16"/>
      <c r="I884" s="16"/>
      <c r="J884" s="22"/>
      <c r="K884" s="16"/>
      <c r="L884" s="16"/>
      <c r="M884" s="16"/>
      <c r="N884" s="19"/>
      <c r="O884" s="19"/>
      <c r="P884" s="19"/>
      <c r="Q884" s="19"/>
      <c r="R884" s="19"/>
      <c r="S884" s="19"/>
      <c r="T884" s="19"/>
      <c r="U884" s="19"/>
      <c r="V884" s="19"/>
      <c r="W884" s="20"/>
      <c r="X884" s="43"/>
    </row>
    <row r="885" spans="1:24" ht="15.75" hidden="1" customHeight="1" x14ac:dyDescent="0.25">
      <c r="A885" s="16"/>
      <c r="B885" s="16" t="str">
        <f t="shared" si="3"/>
        <v/>
      </c>
      <c r="C885" s="16"/>
      <c r="D885" s="40"/>
      <c r="E885" s="16"/>
      <c r="F885" s="41"/>
      <c r="G885" s="16"/>
      <c r="H885" s="16"/>
      <c r="I885" s="16"/>
      <c r="J885" s="22"/>
      <c r="K885" s="16"/>
      <c r="L885" s="16"/>
      <c r="M885" s="16"/>
      <c r="N885" s="19"/>
      <c r="O885" s="19"/>
      <c r="P885" s="19"/>
      <c r="Q885" s="19"/>
      <c r="R885" s="19"/>
      <c r="S885" s="19"/>
      <c r="T885" s="19"/>
      <c r="U885" s="19"/>
      <c r="V885" s="19"/>
      <c r="W885" s="20"/>
      <c r="X885" s="43"/>
    </row>
    <row r="886" spans="1:24" ht="15.75" hidden="1" customHeight="1" x14ac:dyDescent="0.25">
      <c r="A886" s="16"/>
      <c r="B886" s="16" t="str">
        <f t="shared" si="3"/>
        <v/>
      </c>
      <c r="C886" s="16"/>
      <c r="D886" s="40"/>
      <c r="E886" s="16"/>
      <c r="F886" s="41"/>
      <c r="G886" s="16"/>
      <c r="H886" s="16"/>
      <c r="I886" s="16"/>
      <c r="J886" s="22"/>
      <c r="K886" s="16"/>
      <c r="L886" s="16"/>
      <c r="M886" s="16"/>
      <c r="N886" s="19"/>
      <c r="O886" s="19"/>
      <c r="P886" s="19"/>
      <c r="Q886" s="19"/>
      <c r="R886" s="19"/>
      <c r="S886" s="19"/>
      <c r="T886" s="19"/>
      <c r="U886" s="19"/>
      <c r="V886" s="19"/>
      <c r="W886" s="20"/>
      <c r="X886" s="43"/>
    </row>
    <row r="887" spans="1:24" ht="15.75" hidden="1" customHeight="1" x14ac:dyDescent="0.25">
      <c r="A887" s="16"/>
      <c r="B887" s="16" t="str">
        <f t="shared" si="3"/>
        <v/>
      </c>
      <c r="C887" s="16"/>
      <c r="D887" s="40"/>
      <c r="E887" s="16"/>
      <c r="F887" s="41"/>
      <c r="G887" s="16"/>
      <c r="H887" s="16"/>
      <c r="I887" s="16"/>
      <c r="J887" s="22"/>
      <c r="K887" s="16"/>
      <c r="L887" s="16"/>
      <c r="M887" s="16"/>
      <c r="N887" s="19"/>
      <c r="O887" s="19"/>
      <c r="P887" s="19"/>
      <c r="Q887" s="19"/>
      <c r="R887" s="19"/>
      <c r="S887" s="19"/>
      <c r="T887" s="19"/>
      <c r="U887" s="19"/>
      <c r="V887" s="19"/>
      <c r="W887" s="20"/>
      <c r="X887" s="43"/>
    </row>
    <row r="888" spans="1:24" ht="15.75" hidden="1" customHeight="1" x14ac:dyDescent="0.25">
      <c r="A888" s="16"/>
      <c r="B888" s="16" t="str">
        <f t="shared" si="3"/>
        <v/>
      </c>
      <c r="C888" s="16"/>
      <c r="D888" s="40"/>
      <c r="E888" s="16"/>
      <c r="F888" s="41"/>
      <c r="G888" s="16"/>
      <c r="H888" s="16"/>
      <c r="I888" s="16"/>
      <c r="J888" s="22"/>
      <c r="K888" s="16"/>
      <c r="L888" s="16"/>
      <c r="M888" s="16"/>
      <c r="N888" s="19"/>
      <c r="O888" s="19"/>
      <c r="P888" s="19"/>
      <c r="Q888" s="19"/>
      <c r="R888" s="19"/>
      <c r="S888" s="19"/>
      <c r="T888" s="19"/>
      <c r="U888" s="19"/>
      <c r="V888" s="19"/>
      <c r="W888" s="20"/>
      <c r="X888" s="43"/>
    </row>
    <row r="889" spans="1:24" ht="15.75" hidden="1" customHeight="1" x14ac:dyDescent="0.25">
      <c r="A889" s="16"/>
      <c r="B889" s="16" t="str">
        <f t="shared" si="3"/>
        <v/>
      </c>
      <c r="C889" s="16"/>
      <c r="D889" s="40"/>
      <c r="E889" s="16"/>
      <c r="F889" s="41"/>
      <c r="G889" s="16"/>
      <c r="H889" s="16"/>
      <c r="I889" s="16"/>
      <c r="J889" s="22"/>
      <c r="K889" s="16"/>
      <c r="L889" s="16"/>
      <c r="M889" s="16"/>
      <c r="N889" s="19"/>
      <c r="O889" s="19"/>
      <c r="P889" s="19"/>
      <c r="Q889" s="19"/>
      <c r="R889" s="19"/>
      <c r="S889" s="19"/>
      <c r="T889" s="19"/>
      <c r="U889" s="19"/>
      <c r="V889" s="19"/>
      <c r="W889" s="20"/>
      <c r="X889" s="43"/>
    </row>
    <row r="890" spans="1:24" ht="15.75" hidden="1" customHeight="1" x14ac:dyDescent="0.25">
      <c r="A890" s="16"/>
      <c r="B890" s="16" t="str">
        <f t="shared" si="3"/>
        <v/>
      </c>
      <c r="C890" s="16"/>
      <c r="D890" s="40"/>
      <c r="E890" s="16"/>
      <c r="F890" s="41"/>
      <c r="G890" s="16"/>
      <c r="H890" s="16"/>
      <c r="I890" s="16"/>
      <c r="J890" s="22"/>
      <c r="K890" s="16"/>
      <c r="L890" s="16"/>
      <c r="M890" s="16"/>
      <c r="N890" s="19"/>
      <c r="O890" s="19"/>
      <c r="P890" s="19"/>
      <c r="Q890" s="19"/>
      <c r="R890" s="19"/>
      <c r="S890" s="19"/>
      <c r="T890" s="19"/>
      <c r="U890" s="19"/>
      <c r="V890" s="19"/>
      <c r="W890" s="20"/>
      <c r="X890" s="43"/>
    </row>
    <row r="891" spans="1:24" ht="15.75" hidden="1" customHeight="1" x14ac:dyDescent="0.25">
      <c r="A891" s="16"/>
      <c r="B891" s="16" t="str">
        <f t="shared" si="3"/>
        <v/>
      </c>
      <c r="C891" s="16"/>
      <c r="D891" s="40"/>
      <c r="E891" s="16"/>
      <c r="F891" s="41"/>
      <c r="G891" s="16"/>
      <c r="H891" s="16"/>
      <c r="I891" s="16"/>
      <c r="J891" s="22"/>
      <c r="K891" s="16"/>
      <c r="L891" s="16"/>
      <c r="M891" s="16"/>
      <c r="N891" s="19"/>
      <c r="O891" s="19"/>
      <c r="P891" s="19"/>
      <c r="Q891" s="19"/>
      <c r="R891" s="19"/>
      <c r="S891" s="19"/>
      <c r="T891" s="19"/>
      <c r="U891" s="19"/>
      <c r="V891" s="19"/>
      <c r="W891" s="20"/>
      <c r="X891" s="43"/>
    </row>
    <row r="892" spans="1:24" ht="15.75" hidden="1" customHeight="1" x14ac:dyDescent="0.25">
      <c r="A892" s="16"/>
      <c r="B892" s="16" t="str">
        <f t="shared" si="3"/>
        <v/>
      </c>
      <c r="C892" s="16"/>
      <c r="D892" s="40"/>
      <c r="E892" s="16"/>
      <c r="F892" s="41"/>
      <c r="G892" s="16"/>
      <c r="H892" s="16"/>
      <c r="I892" s="16"/>
      <c r="J892" s="22"/>
      <c r="K892" s="16"/>
      <c r="L892" s="16"/>
      <c r="M892" s="16"/>
      <c r="N892" s="19"/>
      <c r="O892" s="19"/>
      <c r="P892" s="19"/>
      <c r="Q892" s="19"/>
      <c r="R892" s="19"/>
      <c r="S892" s="19"/>
      <c r="T892" s="19"/>
      <c r="U892" s="19"/>
      <c r="V892" s="19"/>
      <c r="W892" s="20"/>
      <c r="X892" s="43"/>
    </row>
    <row r="893" spans="1:24" ht="15.75" hidden="1" customHeight="1" x14ac:dyDescent="0.25">
      <c r="A893" s="16"/>
      <c r="B893" s="16" t="str">
        <f t="shared" si="3"/>
        <v/>
      </c>
      <c r="C893" s="16"/>
      <c r="D893" s="40"/>
      <c r="E893" s="16"/>
      <c r="F893" s="41"/>
      <c r="G893" s="16"/>
      <c r="H893" s="16"/>
      <c r="I893" s="16"/>
      <c r="J893" s="22"/>
      <c r="K893" s="16"/>
      <c r="L893" s="16"/>
      <c r="M893" s="16"/>
      <c r="N893" s="19"/>
      <c r="O893" s="19"/>
      <c r="P893" s="19"/>
      <c r="Q893" s="19"/>
      <c r="R893" s="19"/>
      <c r="S893" s="19"/>
      <c r="T893" s="19"/>
      <c r="U893" s="19"/>
      <c r="V893" s="19"/>
      <c r="W893" s="20"/>
      <c r="X893" s="43"/>
    </row>
    <row r="894" spans="1:24" ht="15.75" hidden="1" customHeight="1" x14ac:dyDescent="0.25">
      <c r="A894" s="16"/>
      <c r="B894" s="16" t="str">
        <f t="shared" si="3"/>
        <v/>
      </c>
      <c r="C894" s="16"/>
      <c r="D894" s="40"/>
      <c r="E894" s="16"/>
      <c r="F894" s="41"/>
      <c r="G894" s="16"/>
      <c r="H894" s="16"/>
      <c r="I894" s="16"/>
      <c r="J894" s="22"/>
      <c r="K894" s="16"/>
      <c r="L894" s="16"/>
      <c r="M894" s="16"/>
      <c r="N894" s="19"/>
      <c r="O894" s="19"/>
      <c r="P894" s="19"/>
      <c r="Q894" s="19"/>
      <c r="R894" s="19"/>
      <c r="S894" s="19"/>
      <c r="T894" s="19"/>
      <c r="U894" s="19"/>
      <c r="V894" s="19"/>
      <c r="W894" s="20"/>
      <c r="X894" s="43"/>
    </row>
    <row r="895" spans="1:24" ht="15.75" hidden="1" customHeight="1" x14ac:dyDescent="0.25">
      <c r="A895" s="16"/>
      <c r="B895" s="16" t="str">
        <f t="shared" si="3"/>
        <v/>
      </c>
      <c r="C895" s="16"/>
      <c r="D895" s="40"/>
      <c r="E895" s="16"/>
      <c r="F895" s="41"/>
      <c r="G895" s="16"/>
      <c r="H895" s="16"/>
      <c r="I895" s="16"/>
      <c r="J895" s="22"/>
      <c r="K895" s="16"/>
      <c r="L895" s="16"/>
      <c r="M895" s="16"/>
      <c r="N895" s="19"/>
      <c r="O895" s="19"/>
      <c r="P895" s="19"/>
      <c r="Q895" s="19"/>
      <c r="R895" s="19"/>
      <c r="S895" s="19"/>
      <c r="T895" s="19"/>
      <c r="U895" s="19"/>
      <c r="V895" s="19"/>
      <c r="W895" s="20"/>
      <c r="X895" s="43"/>
    </row>
    <row r="896" spans="1:24" ht="15.75" hidden="1" customHeight="1" x14ac:dyDescent="0.25">
      <c r="A896" s="16"/>
      <c r="B896" s="16" t="str">
        <f t="shared" si="3"/>
        <v/>
      </c>
      <c r="C896" s="16"/>
      <c r="D896" s="40"/>
      <c r="E896" s="16"/>
      <c r="F896" s="41"/>
      <c r="G896" s="16"/>
      <c r="H896" s="16"/>
      <c r="I896" s="16"/>
      <c r="J896" s="22"/>
      <c r="K896" s="16"/>
      <c r="L896" s="16"/>
      <c r="M896" s="16"/>
      <c r="N896" s="19"/>
      <c r="O896" s="19"/>
      <c r="P896" s="19"/>
      <c r="Q896" s="19"/>
      <c r="R896" s="19"/>
      <c r="S896" s="19"/>
      <c r="T896" s="19"/>
      <c r="U896" s="19"/>
      <c r="V896" s="19"/>
      <c r="W896" s="20"/>
      <c r="X896" s="43"/>
    </row>
    <row r="897" spans="1:24" ht="15.75" hidden="1" customHeight="1" x14ac:dyDescent="0.25">
      <c r="A897" s="16"/>
      <c r="B897" s="16" t="str">
        <f t="shared" si="3"/>
        <v/>
      </c>
      <c r="C897" s="16"/>
      <c r="D897" s="40"/>
      <c r="E897" s="16"/>
      <c r="F897" s="41"/>
      <c r="G897" s="16"/>
      <c r="H897" s="16"/>
      <c r="I897" s="16"/>
      <c r="J897" s="22"/>
      <c r="K897" s="16"/>
      <c r="L897" s="16"/>
      <c r="M897" s="16"/>
      <c r="N897" s="19"/>
      <c r="O897" s="19"/>
      <c r="P897" s="19"/>
      <c r="Q897" s="19"/>
      <c r="R897" s="19"/>
      <c r="S897" s="19"/>
      <c r="T897" s="19"/>
      <c r="U897" s="19"/>
      <c r="V897" s="19"/>
      <c r="W897" s="20"/>
      <c r="X897" s="43"/>
    </row>
    <row r="898" spans="1:24" ht="15.75" hidden="1" customHeight="1" x14ac:dyDescent="0.25">
      <c r="A898" s="16"/>
      <c r="B898" s="16" t="str">
        <f t="shared" si="3"/>
        <v/>
      </c>
      <c r="C898" s="16"/>
      <c r="D898" s="40"/>
      <c r="E898" s="16"/>
      <c r="F898" s="41"/>
      <c r="G898" s="16"/>
      <c r="H898" s="16"/>
      <c r="I898" s="16"/>
      <c r="J898" s="22"/>
      <c r="K898" s="16"/>
      <c r="L898" s="16"/>
      <c r="M898" s="16"/>
      <c r="N898" s="19"/>
      <c r="O898" s="19"/>
      <c r="P898" s="19"/>
      <c r="Q898" s="19"/>
      <c r="R898" s="19"/>
      <c r="S898" s="19"/>
      <c r="T898" s="19"/>
      <c r="U898" s="19"/>
      <c r="V898" s="19"/>
      <c r="W898" s="20"/>
      <c r="X898" s="43"/>
    </row>
    <row r="899" spans="1:24" ht="15.75" hidden="1" customHeight="1" x14ac:dyDescent="0.25">
      <c r="A899" s="16"/>
      <c r="B899" s="16" t="str">
        <f t="shared" si="3"/>
        <v/>
      </c>
      <c r="C899" s="16"/>
      <c r="D899" s="40"/>
      <c r="E899" s="16"/>
      <c r="F899" s="41"/>
      <c r="G899" s="16"/>
      <c r="H899" s="16"/>
      <c r="I899" s="16"/>
      <c r="J899" s="22"/>
      <c r="K899" s="16"/>
      <c r="L899" s="16"/>
      <c r="M899" s="16"/>
      <c r="N899" s="19"/>
      <c r="O899" s="19"/>
      <c r="P899" s="19"/>
      <c r="Q899" s="19"/>
      <c r="R899" s="19"/>
      <c r="S899" s="19"/>
      <c r="T899" s="19"/>
      <c r="U899" s="19"/>
      <c r="V899" s="19"/>
      <c r="W899" s="20"/>
      <c r="X899" s="43"/>
    </row>
    <row r="900" spans="1:24" ht="15.75" hidden="1" customHeight="1" x14ac:dyDescent="0.25">
      <c r="A900" s="16"/>
      <c r="B900" s="16" t="str">
        <f t="shared" si="3"/>
        <v/>
      </c>
      <c r="C900" s="16"/>
      <c r="D900" s="40"/>
      <c r="E900" s="16"/>
      <c r="F900" s="41"/>
      <c r="G900" s="16"/>
      <c r="H900" s="16"/>
      <c r="I900" s="16"/>
      <c r="J900" s="22"/>
      <c r="K900" s="16"/>
      <c r="L900" s="16"/>
      <c r="M900" s="16"/>
      <c r="N900" s="19"/>
      <c r="O900" s="19"/>
      <c r="P900" s="19"/>
      <c r="Q900" s="19"/>
      <c r="R900" s="19"/>
      <c r="S900" s="19"/>
      <c r="T900" s="19"/>
      <c r="U900" s="19"/>
      <c r="V900" s="19"/>
      <c r="W900" s="20"/>
      <c r="X900" s="43"/>
    </row>
    <row r="901" spans="1:24" ht="15.75" hidden="1" customHeight="1" x14ac:dyDescent="0.25">
      <c r="A901" s="16"/>
      <c r="B901" s="16" t="str">
        <f t="shared" si="3"/>
        <v/>
      </c>
      <c r="C901" s="16"/>
      <c r="D901" s="40"/>
      <c r="E901" s="16"/>
      <c r="F901" s="41"/>
      <c r="G901" s="16"/>
      <c r="H901" s="16"/>
      <c r="I901" s="16"/>
      <c r="J901" s="22"/>
      <c r="K901" s="16"/>
      <c r="L901" s="16"/>
      <c r="M901" s="16"/>
      <c r="N901" s="19"/>
      <c r="O901" s="19"/>
      <c r="P901" s="19"/>
      <c r="Q901" s="19"/>
      <c r="R901" s="19"/>
      <c r="S901" s="19"/>
      <c r="T901" s="19"/>
      <c r="U901" s="19"/>
      <c r="V901" s="19"/>
      <c r="W901" s="20"/>
      <c r="X901" s="43"/>
    </row>
    <row r="902" spans="1:24" ht="15.75" hidden="1" customHeight="1" x14ac:dyDescent="0.25">
      <c r="A902" s="16"/>
      <c r="B902" s="16" t="str">
        <f t="shared" si="3"/>
        <v/>
      </c>
      <c r="C902" s="16"/>
      <c r="D902" s="40"/>
      <c r="E902" s="16"/>
      <c r="F902" s="41"/>
      <c r="G902" s="16"/>
      <c r="H902" s="16"/>
      <c r="I902" s="16"/>
      <c r="J902" s="22"/>
      <c r="K902" s="16"/>
      <c r="L902" s="16"/>
      <c r="M902" s="16"/>
      <c r="N902" s="19"/>
      <c r="O902" s="19"/>
      <c r="P902" s="19"/>
      <c r="Q902" s="19"/>
      <c r="R902" s="19"/>
      <c r="S902" s="19"/>
      <c r="T902" s="19"/>
      <c r="U902" s="19"/>
      <c r="V902" s="19"/>
      <c r="W902" s="20"/>
      <c r="X902" s="43"/>
    </row>
    <row r="903" spans="1:24" ht="15.75" hidden="1" customHeight="1" x14ac:dyDescent="0.25">
      <c r="A903" s="16"/>
      <c r="B903" s="16" t="str">
        <f t="shared" si="3"/>
        <v/>
      </c>
      <c r="C903" s="16"/>
      <c r="D903" s="40"/>
      <c r="E903" s="16"/>
      <c r="F903" s="41"/>
      <c r="G903" s="16"/>
      <c r="H903" s="16"/>
      <c r="I903" s="16"/>
      <c r="J903" s="22"/>
      <c r="K903" s="16"/>
      <c r="L903" s="16"/>
      <c r="M903" s="16"/>
      <c r="N903" s="19"/>
      <c r="O903" s="19"/>
      <c r="P903" s="19"/>
      <c r="Q903" s="19"/>
      <c r="R903" s="19"/>
      <c r="S903" s="19"/>
      <c r="T903" s="19"/>
      <c r="U903" s="19"/>
      <c r="V903" s="19"/>
      <c r="W903" s="20"/>
      <c r="X903" s="43"/>
    </row>
    <row r="904" spans="1:24" ht="15.75" hidden="1" customHeight="1" x14ac:dyDescent="0.25">
      <c r="A904" s="16"/>
      <c r="B904" s="16" t="str">
        <f t="shared" si="3"/>
        <v/>
      </c>
      <c r="C904" s="16"/>
      <c r="D904" s="40"/>
      <c r="E904" s="16"/>
      <c r="F904" s="41"/>
      <c r="G904" s="16"/>
      <c r="H904" s="16"/>
      <c r="I904" s="16"/>
      <c r="J904" s="22"/>
      <c r="K904" s="16"/>
      <c r="L904" s="16"/>
      <c r="M904" s="16"/>
      <c r="N904" s="19"/>
      <c r="O904" s="19"/>
      <c r="P904" s="19"/>
      <c r="Q904" s="19"/>
      <c r="R904" s="19"/>
      <c r="S904" s="19"/>
      <c r="T904" s="19"/>
      <c r="U904" s="19"/>
      <c r="V904" s="19"/>
      <c r="W904" s="20"/>
      <c r="X904" s="43"/>
    </row>
    <row r="905" spans="1:24" ht="15.75" hidden="1" customHeight="1" x14ac:dyDescent="0.25">
      <c r="A905" s="16"/>
      <c r="B905" s="16" t="str">
        <f t="shared" si="3"/>
        <v/>
      </c>
      <c r="C905" s="16"/>
      <c r="D905" s="40"/>
      <c r="E905" s="16"/>
      <c r="F905" s="41"/>
      <c r="G905" s="16"/>
      <c r="H905" s="16"/>
      <c r="I905" s="16"/>
      <c r="J905" s="22"/>
      <c r="K905" s="16"/>
      <c r="L905" s="16"/>
      <c r="M905" s="16"/>
      <c r="N905" s="19"/>
      <c r="O905" s="19"/>
      <c r="P905" s="19"/>
      <c r="Q905" s="19"/>
      <c r="R905" s="19"/>
      <c r="S905" s="19"/>
      <c r="T905" s="19"/>
      <c r="U905" s="19"/>
      <c r="V905" s="19"/>
      <c r="W905" s="20"/>
      <c r="X905" s="43"/>
    </row>
    <row r="906" spans="1:24" ht="15.75" hidden="1" customHeight="1" x14ac:dyDescent="0.25">
      <c r="A906" s="16"/>
      <c r="B906" s="16" t="str">
        <f t="shared" si="3"/>
        <v/>
      </c>
      <c r="C906" s="16"/>
      <c r="D906" s="40"/>
      <c r="E906" s="16"/>
      <c r="F906" s="41"/>
      <c r="G906" s="16"/>
      <c r="H906" s="16"/>
      <c r="I906" s="16"/>
      <c r="J906" s="22"/>
      <c r="K906" s="16"/>
      <c r="L906" s="16"/>
      <c r="M906" s="16"/>
      <c r="N906" s="19"/>
      <c r="O906" s="19"/>
      <c r="P906" s="19"/>
      <c r="Q906" s="19"/>
      <c r="R906" s="19"/>
      <c r="S906" s="19"/>
      <c r="T906" s="19"/>
      <c r="U906" s="19"/>
      <c r="V906" s="19"/>
      <c r="W906" s="20"/>
      <c r="X906" s="43"/>
    </row>
    <row r="907" spans="1:24" ht="15.75" hidden="1" customHeight="1" x14ac:dyDescent="0.25">
      <c r="A907" s="16"/>
      <c r="B907" s="16" t="str">
        <f t="shared" si="3"/>
        <v/>
      </c>
      <c r="C907" s="16"/>
      <c r="D907" s="40"/>
      <c r="E907" s="16"/>
      <c r="F907" s="41"/>
      <c r="G907" s="16"/>
      <c r="H907" s="16"/>
      <c r="I907" s="16"/>
      <c r="J907" s="22"/>
      <c r="K907" s="16"/>
      <c r="L907" s="16"/>
      <c r="M907" s="16"/>
      <c r="N907" s="19"/>
      <c r="O907" s="19"/>
      <c r="P907" s="19"/>
      <c r="Q907" s="19"/>
      <c r="R907" s="19"/>
      <c r="S907" s="19"/>
      <c r="T907" s="19"/>
      <c r="U907" s="19"/>
      <c r="V907" s="19"/>
      <c r="W907" s="20"/>
      <c r="X907" s="43"/>
    </row>
    <row r="908" spans="1:24" ht="15.75" hidden="1" customHeight="1" x14ac:dyDescent="0.25">
      <c r="A908" s="16"/>
      <c r="B908" s="16" t="str">
        <f t="shared" si="3"/>
        <v/>
      </c>
      <c r="C908" s="16"/>
      <c r="D908" s="40"/>
      <c r="E908" s="16"/>
      <c r="F908" s="41"/>
      <c r="G908" s="16"/>
      <c r="H908" s="16"/>
      <c r="I908" s="16"/>
      <c r="J908" s="22"/>
      <c r="K908" s="16"/>
      <c r="L908" s="16"/>
      <c r="M908" s="16"/>
      <c r="N908" s="19"/>
      <c r="O908" s="19"/>
      <c r="P908" s="19"/>
      <c r="Q908" s="19"/>
      <c r="R908" s="19"/>
      <c r="S908" s="19"/>
      <c r="T908" s="19"/>
      <c r="U908" s="19"/>
      <c r="V908" s="19"/>
      <c r="W908" s="20"/>
      <c r="X908" s="43"/>
    </row>
    <row r="909" spans="1:24" ht="15.75" hidden="1" customHeight="1" x14ac:dyDescent="0.25">
      <c r="A909" s="16"/>
      <c r="B909" s="16" t="str">
        <f t="shared" si="3"/>
        <v/>
      </c>
      <c r="C909" s="16"/>
      <c r="D909" s="40"/>
      <c r="E909" s="16"/>
      <c r="F909" s="41"/>
      <c r="G909" s="16"/>
      <c r="H909" s="16"/>
      <c r="I909" s="16"/>
      <c r="J909" s="22"/>
      <c r="K909" s="16"/>
      <c r="L909" s="16"/>
      <c r="M909" s="16"/>
      <c r="N909" s="19"/>
      <c r="O909" s="19"/>
      <c r="P909" s="19"/>
      <c r="Q909" s="19"/>
      <c r="R909" s="19"/>
      <c r="S909" s="19"/>
      <c r="T909" s="19"/>
      <c r="U909" s="19"/>
      <c r="V909" s="19"/>
      <c r="W909" s="20"/>
      <c r="X909" s="43"/>
    </row>
    <row r="910" spans="1:24" ht="15.75" hidden="1" customHeight="1" x14ac:dyDescent="0.25">
      <c r="A910" s="16"/>
      <c r="B910" s="16" t="str">
        <f t="shared" si="3"/>
        <v/>
      </c>
      <c r="C910" s="16"/>
      <c r="D910" s="40"/>
      <c r="E910" s="16"/>
      <c r="F910" s="41"/>
      <c r="G910" s="16"/>
      <c r="H910" s="16"/>
      <c r="I910" s="16"/>
      <c r="J910" s="22"/>
      <c r="K910" s="16"/>
      <c r="L910" s="16"/>
      <c r="M910" s="16"/>
      <c r="N910" s="19"/>
      <c r="O910" s="19"/>
      <c r="P910" s="19"/>
      <c r="Q910" s="19"/>
      <c r="R910" s="19"/>
      <c r="S910" s="19"/>
      <c r="T910" s="19"/>
      <c r="U910" s="19"/>
      <c r="V910" s="19"/>
      <c r="W910" s="20"/>
      <c r="X910" s="43"/>
    </row>
    <row r="911" spans="1:24" ht="15.75" hidden="1" customHeight="1" x14ac:dyDescent="0.25">
      <c r="A911" s="16"/>
      <c r="B911" s="16" t="str">
        <f t="shared" si="3"/>
        <v/>
      </c>
      <c r="C911" s="16"/>
      <c r="D911" s="40"/>
      <c r="E911" s="16"/>
      <c r="F911" s="41"/>
      <c r="G911" s="16"/>
      <c r="H911" s="16"/>
      <c r="I911" s="16"/>
      <c r="J911" s="22"/>
      <c r="K911" s="16"/>
      <c r="L911" s="16"/>
      <c r="M911" s="16"/>
      <c r="N911" s="19"/>
      <c r="O911" s="19"/>
      <c r="P911" s="19"/>
      <c r="Q911" s="19"/>
      <c r="R911" s="19"/>
      <c r="S911" s="19"/>
      <c r="T911" s="19"/>
      <c r="U911" s="19"/>
      <c r="V911" s="19"/>
      <c r="W911" s="20"/>
      <c r="X911" s="43"/>
    </row>
    <row r="912" spans="1:24" ht="15.75" hidden="1" customHeight="1" x14ac:dyDescent="0.25">
      <c r="A912" s="16"/>
      <c r="B912" s="16" t="str">
        <f t="shared" si="3"/>
        <v/>
      </c>
      <c r="C912" s="16"/>
      <c r="D912" s="40"/>
      <c r="E912" s="16"/>
      <c r="F912" s="41"/>
      <c r="G912" s="16"/>
      <c r="H912" s="16"/>
      <c r="I912" s="16"/>
      <c r="J912" s="22"/>
      <c r="K912" s="16"/>
      <c r="L912" s="16"/>
      <c r="M912" s="16"/>
      <c r="N912" s="19"/>
      <c r="O912" s="19"/>
      <c r="P912" s="19"/>
      <c r="Q912" s="19"/>
      <c r="R912" s="19"/>
      <c r="S912" s="19"/>
      <c r="T912" s="19"/>
      <c r="U912" s="19"/>
      <c r="V912" s="19"/>
      <c r="W912" s="20"/>
      <c r="X912" s="43"/>
    </row>
    <row r="913" spans="1:24" ht="15.75" hidden="1" customHeight="1" x14ac:dyDescent="0.25">
      <c r="A913" s="16"/>
      <c r="B913" s="16" t="str">
        <f t="shared" si="3"/>
        <v/>
      </c>
      <c r="C913" s="16"/>
      <c r="D913" s="40"/>
      <c r="E913" s="16"/>
      <c r="F913" s="41"/>
      <c r="G913" s="16"/>
      <c r="H913" s="16"/>
      <c r="I913" s="16"/>
      <c r="J913" s="22"/>
      <c r="K913" s="16"/>
      <c r="L913" s="16"/>
      <c r="M913" s="16"/>
      <c r="N913" s="19"/>
      <c r="O913" s="19"/>
      <c r="P913" s="19"/>
      <c r="Q913" s="19"/>
      <c r="R913" s="19"/>
      <c r="S913" s="19"/>
      <c r="T913" s="19"/>
      <c r="U913" s="19"/>
      <c r="V913" s="19"/>
      <c r="W913" s="20"/>
      <c r="X913" s="43"/>
    </row>
    <row r="914" spans="1:24" ht="15.75" hidden="1" customHeight="1" x14ac:dyDescent="0.25">
      <c r="A914" s="16"/>
      <c r="B914" s="16" t="str">
        <f t="shared" si="3"/>
        <v/>
      </c>
      <c r="C914" s="16"/>
      <c r="D914" s="40"/>
      <c r="E914" s="16"/>
      <c r="F914" s="41"/>
      <c r="G914" s="16"/>
      <c r="H914" s="16"/>
      <c r="I914" s="16"/>
      <c r="J914" s="22"/>
      <c r="K914" s="16"/>
      <c r="L914" s="16"/>
      <c r="M914" s="16"/>
      <c r="N914" s="19"/>
      <c r="O914" s="19"/>
      <c r="P914" s="19"/>
      <c r="Q914" s="19"/>
      <c r="R914" s="19"/>
      <c r="S914" s="19"/>
      <c r="T914" s="19"/>
      <c r="U914" s="19"/>
      <c r="V914" s="19"/>
      <c r="W914" s="20"/>
      <c r="X914" s="43"/>
    </row>
    <row r="915" spans="1:24" ht="15.75" hidden="1" customHeight="1" x14ac:dyDescent="0.25">
      <c r="A915" s="16"/>
      <c r="B915" s="16" t="str">
        <f t="shared" si="3"/>
        <v/>
      </c>
      <c r="C915" s="16"/>
      <c r="D915" s="40"/>
      <c r="E915" s="16"/>
      <c r="F915" s="41"/>
      <c r="G915" s="16"/>
      <c r="H915" s="16"/>
      <c r="I915" s="16"/>
      <c r="J915" s="22"/>
      <c r="K915" s="16"/>
      <c r="L915" s="16"/>
      <c r="M915" s="16"/>
      <c r="N915" s="19"/>
      <c r="O915" s="19"/>
      <c r="P915" s="19"/>
      <c r="Q915" s="19"/>
      <c r="R915" s="19"/>
      <c r="S915" s="19"/>
      <c r="T915" s="19"/>
      <c r="U915" s="19"/>
      <c r="V915" s="19"/>
      <c r="W915" s="20"/>
      <c r="X915" s="43"/>
    </row>
    <row r="916" spans="1:24" ht="15.75" hidden="1" customHeight="1" x14ac:dyDescent="0.25">
      <c r="A916" s="16"/>
      <c r="B916" s="16" t="str">
        <f t="shared" si="3"/>
        <v/>
      </c>
      <c r="C916" s="16"/>
      <c r="D916" s="40"/>
      <c r="E916" s="16"/>
      <c r="F916" s="41"/>
      <c r="G916" s="16"/>
      <c r="H916" s="16"/>
      <c r="I916" s="16"/>
      <c r="J916" s="22"/>
      <c r="K916" s="16"/>
      <c r="L916" s="16"/>
      <c r="M916" s="16"/>
      <c r="N916" s="19"/>
      <c r="O916" s="19"/>
      <c r="P916" s="19"/>
      <c r="Q916" s="19"/>
      <c r="R916" s="19"/>
      <c r="S916" s="19"/>
      <c r="T916" s="19"/>
      <c r="U916" s="19"/>
      <c r="V916" s="19"/>
      <c r="W916" s="20"/>
      <c r="X916" s="43"/>
    </row>
    <row r="917" spans="1:24" ht="15.75" hidden="1" customHeight="1" x14ac:dyDescent="0.25">
      <c r="A917" s="16"/>
      <c r="B917" s="16" t="str">
        <f t="shared" si="3"/>
        <v/>
      </c>
      <c r="C917" s="16"/>
      <c r="D917" s="40"/>
      <c r="E917" s="16"/>
      <c r="F917" s="41"/>
      <c r="G917" s="16"/>
      <c r="H917" s="16"/>
      <c r="I917" s="16"/>
      <c r="J917" s="22"/>
      <c r="K917" s="16"/>
      <c r="L917" s="16"/>
      <c r="M917" s="16"/>
      <c r="N917" s="19"/>
      <c r="O917" s="19"/>
      <c r="P917" s="19"/>
      <c r="Q917" s="19"/>
      <c r="R917" s="19"/>
      <c r="S917" s="19"/>
      <c r="T917" s="19"/>
      <c r="U917" s="19"/>
      <c r="V917" s="19"/>
      <c r="W917" s="20"/>
      <c r="X917" s="43"/>
    </row>
    <row r="918" spans="1:24" ht="15.75" hidden="1" customHeight="1" x14ac:dyDescent="0.25">
      <c r="A918" s="16"/>
      <c r="B918" s="16" t="str">
        <f t="shared" si="3"/>
        <v/>
      </c>
      <c r="C918" s="16"/>
      <c r="D918" s="40"/>
      <c r="E918" s="16"/>
      <c r="F918" s="41"/>
      <c r="G918" s="16"/>
      <c r="H918" s="16"/>
      <c r="I918" s="16"/>
      <c r="J918" s="22"/>
      <c r="K918" s="16"/>
      <c r="L918" s="16"/>
      <c r="M918" s="16"/>
      <c r="N918" s="19"/>
      <c r="O918" s="19"/>
      <c r="P918" s="19"/>
      <c r="Q918" s="19"/>
      <c r="R918" s="19"/>
      <c r="S918" s="19"/>
      <c r="T918" s="19"/>
      <c r="U918" s="19"/>
      <c r="V918" s="19"/>
      <c r="W918" s="20"/>
      <c r="X918" s="43"/>
    </row>
    <row r="919" spans="1:24" ht="15.75" hidden="1" customHeight="1" x14ac:dyDescent="0.25">
      <c r="A919" s="16"/>
      <c r="B919" s="16" t="str">
        <f t="shared" si="3"/>
        <v/>
      </c>
      <c r="C919" s="16"/>
      <c r="D919" s="40"/>
      <c r="E919" s="16"/>
      <c r="F919" s="41"/>
      <c r="G919" s="16"/>
      <c r="H919" s="16"/>
      <c r="I919" s="16"/>
      <c r="J919" s="22"/>
      <c r="K919" s="16"/>
      <c r="L919" s="16"/>
      <c r="M919" s="16"/>
      <c r="N919" s="19"/>
      <c r="O919" s="19"/>
      <c r="P919" s="19"/>
      <c r="Q919" s="19"/>
      <c r="R919" s="19"/>
      <c r="S919" s="19"/>
      <c r="T919" s="19"/>
      <c r="U919" s="19"/>
      <c r="V919" s="19"/>
      <c r="W919" s="20"/>
      <c r="X919" s="43"/>
    </row>
    <row r="920" spans="1:24" ht="15.75" hidden="1" customHeight="1" x14ac:dyDescent="0.25">
      <c r="A920" s="16"/>
      <c r="B920" s="16" t="str">
        <f t="shared" si="3"/>
        <v/>
      </c>
      <c r="C920" s="16"/>
      <c r="D920" s="40"/>
      <c r="E920" s="16"/>
      <c r="F920" s="41"/>
      <c r="G920" s="16"/>
      <c r="H920" s="16"/>
      <c r="I920" s="16"/>
      <c r="J920" s="22"/>
      <c r="K920" s="16"/>
      <c r="L920" s="16"/>
      <c r="M920" s="16"/>
      <c r="N920" s="19"/>
      <c r="O920" s="19"/>
      <c r="P920" s="19"/>
      <c r="Q920" s="19"/>
      <c r="R920" s="19"/>
      <c r="S920" s="19"/>
      <c r="T920" s="19"/>
      <c r="U920" s="19"/>
      <c r="V920" s="19"/>
      <c r="W920" s="20"/>
      <c r="X920" s="43"/>
    </row>
    <row r="921" spans="1:24" ht="15.75" hidden="1" customHeight="1" x14ac:dyDescent="0.25">
      <c r="A921" s="16"/>
      <c r="B921" s="16" t="str">
        <f t="shared" si="3"/>
        <v/>
      </c>
      <c r="C921" s="16"/>
      <c r="D921" s="40"/>
      <c r="E921" s="16"/>
      <c r="F921" s="41"/>
      <c r="G921" s="16"/>
      <c r="H921" s="16"/>
      <c r="I921" s="16"/>
      <c r="J921" s="22"/>
      <c r="K921" s="16"/>
      <c r="L921" s="16"/>
      <c r="M921" s="16"/>
      <c r="N921" s="19"/>
      <c r="O921" s="19"/>
      <c r="P921" s="19"/>
      <c r="Q921" s="19"/>
      <c r="R921" s="19"/>
      <c r="S921" s="19"/>
      <c r="T921" s="19"/>
      <c r="U921" s="19"/>
      <c r="V921" s="19"/>
      <c r="W921" s="20"/>
      <c r="X921" s="43"/>
    </row>
    <row r="922" spans="1:24" ht="15.75" hidden="1" customHeight="1" x14ac:dyDescent="0.25">
      <c r="A922" s="16"/>
      <c r="B922" s="16" t="str">
        <f t="shared" si="3"/>
        <v/>
      </c>
      <c r="C922" s="16"/>
      <c r="D922" s="40"/>
      <c r="E922" s="16"/>
      <c r="F922" s="41"/>
      <c r="G922" s="16"/>
      <c r="H922" s="16"/>
      <c r="I922" s="16"/>
      <c r="J922" s="22"/>
      <c r="K922" s="16"/>
      <c r="L922" s="16"/>
      <c r="M922" s="16"/>
      <c r="N922" s="19"/>
      <c r="O922" s="19"/>
      <c r="P922" s="19"/>
      <c r="Q922" s="19"/>
      <c r="R922" s="19"/>
      <c r="S922" s="19"/>
      <c r="T922" s="19"/>
      <c r="U922" s="19"/>
      <c r="V922" s="19"/>
      <c r="W922" s="20"/>
      <c r="X922" s="43"/>
    </row>
    <row r="923" spans="1:24" ht="15.75" hidden="1" customHeight="1" x14ac:dyDescent="0.25">
      <c r="A923" s="16"/>
      <c r="B923" s="16" t="str">
        <f t="shared" si="3"/>
        <v/>
      </c>
      <c r="C923" s="16"/>
      <c r="D923" s="40"/>
      <c r="E923" s="16"/>
      <c r="F923" s="41"/>
      <c r="G923" s="16"/>
      <c r="H923" s="16"/>
      <c r="I923" s="16"/>
      <c r="J923" s="22"/>
      <c r="K923" s="16"/>
      <c r="L923" s="16"/>
      <c r="M923" s="16"/>
      <c r="N923" s="19"/>
      <c r="O923" s="19"/>
      <c r="P923" s="19"/>
      <c r="Q923" s="19"/>
      <c r="R923" s="19"/>
      <c r="S923" s="19"/>
      <c r="T923" s="19"/>
      <c r="U923" s="19"/>
      <c r="V923" s="19"/>
      <c r="W923" s="20"/>
      <c r="X923" s="43"/>
    </row>
    <row r="924" spans="1:24" ht="15.75" hidden="1" customHeight="1" x14ac:dyDescent="0.25">
      <c r="A924" s="16"/>
      <c r="B924" s="16" t="str">
        <f t="shared" si="3"/>
        <v/>
      </c>
      <c r="C924" s="16"/>
      <c r="D924" s="40"/>
      <c r="E924" s="16"/>
      <c r="F924" s="41"/>
      <c r="G924" s="16"/>
      <c r="H924" s="16"/>
      <c r="I924" s="16"/>
      <c r="J924" s="22"/>
      <c r="K924" s="16"/>
      <c r="L924" s="16"/>
      <c r="M924" s="16"/>
      <c r="N924" s="19"/>
      <c r="O924" s="19"/>
      <c r="P924" s="19"/>
      <c r="Q924" s="19"/>
      <c r="R924" s="19"/>
      <c r="S924" s="19"/>
      <c r="T924" s="19"/>
      <c r="U924" s="19"/>
      <c r="V924" s="19"/>
      <c r="W924" s="20"/>
      <c r="X924" s="43"/>
    </row>
    <row r="925" spans="1:24" ht="15.75" hidden="1" customHeight="1" x14ac:dyDescent="0.25">
      <c r="A925" s="16"/>
      <c r="B925" s="16" t="str">
        <f t="shared" si="3"/>
        <v/>
      </c>
      <c r="C925" s="16"/>
      <c r="D925" s="40"/>
      <c r="E925" s="16"/>
      <c r="F925" s="41"/>
      <c r="G925" s="16"/>
      <c r="H925" s="16"/>
      <c r="I925" s="16"/>
      <c r="J925" s="22"/>
      <c r="K925" s="16"/>
      <c r="L925" s="16"/>
      <c r="M925" s="16"/>
      <c r="N925" s="19"/>
      <c r="O925" s="19"/>
      <c r="P925" s="19"/>
      <c r="Q925" s="19"/>
      <c r="R925" s="19"/>
      <c r="S925" s="19"/>
      <c r="T925" s="19"/>
      <c r="U925" s="19"/>
      <c r="V925" s="19"/>
      <c r="W925" s="20"/>
      <c r="X925" s="43"/>
    </row>
    <row r="926" spans="1:24" ht="15.75" hidden="1" customHeight="1" x14ac:dyDescent="0.25">
      <c r="A926" s="16"/>
      <c r="B926" s="16" t="str">
        <f t="shared" si="3"/>
        <v/>
      </c>
      <c r="C926" s="16"/>
      <c r="D926" s="40"/>
      <c r="E926" s="16"/>
      <c r="F926" s="41"/>
      <c r="G926" s="16"/>
      <c r="H926" s="16"/>
      <c r="I926" s="16"/>
      <c r="J926" s="22"/>
      <c r="K926" s="16"/>
      <c r="L926" s="16"/>
      <c r="M926" s="16"/>
      <c r="N926" s="19"/>
      <c r="O926" s="19"/>
      <c r="P926" s="19"/>
      <c r="Q926" s="19"/>
      <c r="R926" s="19"/>
      <c r="S926" s="19"/>
      <c r="T926" s="19"/>
      <c r="U926" s="19"/>
      <c r="V926" s="19"/>
      <c r="W926" s="20"/>
      <c r="X926" s="43"/>
    </row>
    <row r="927" spans="1:24" ht="15.75" hidden="1" customHeight="1" x14ac:dyDescent="0.25">
      <c r="A927" s="16"/>
      <c r="B927" s="16" t="str">
        <f t="shared" si="3"/>
        <v/>
      </c>
      <c r="C927" s="16"/>
      <c r="D927" s="40"/>
      <c r="E927" s="16"/>
      <c r="F927" s="41"/>
      <c r="G927" s="16"/>
      <c r="H927" s="16"/>
      <c r="I927" s="16"/>
      <c r="J927" s="22"/>
      <c r="K927" s="16"/>
      <c r="L927" s="16"/>
      <c r="M927" s="16"/>
      <c r="N927" s="19"/>
      <c r="O927" s="19"/>
      <c r="P927" s="19"/>
      <c r="Q927" s="19"/>
      <c r="R927" s="19"/>
      <c r="S927" s="19"/>
      <c r="T927" s="19"/>
      <c r="U927" s="19"/>
      <c r="V927" s="19"/>
      <c r="W927" s="20"/>
      <c r="X927" s="43"/>
    </row>
    <row r="928" spans="1:24" ht="15.75" hidden="1" customHeight="1" x14ac:dyDescent="0.25">
      <c r="A928" s="16"/>
      <c r="B928" s="16" t="str">
        <f t="shared" si="3"/>
        <v/>
      </c>
      <c r="C928" s="16"/>
      <c r="D928" s="40"/>
      <c r="E928" s="16"/>
      <c r="F928" s="41"/>
      <c r="G928" s="16"/>
      <c r="H928" s="16"/>
      <c r="I928" s="16"/>
      <c r="J928" s="22"/>
      <c r="K928" s="16"/>
      <c r="L928" s="16"/>
      <c r="M928" s="16"/>
      <c r="N928" s="19"/>
      <c r="O928" s="19"/>
      <c r="P928" s="19"/>
      <c r="Q928" s="19"/>
      <c r="R928" s="19"/>
      <c r="S928" s="19"/>
      <c r="T928" s="19"/>
      <c r="U928" s="19"/>
      <c r="V928" s="19"/>
      <c r="W928" s="20"/>
      <c r="X928" s="43"/>
    </row>
    <row r="929" spans="1:24" ht="15.75" hidden="1" customHeight="1" x14ac:dyDescent="0.25">
      <c r="A929" s="16"/>
      <c r="B929" s="16" t="str">
        <f t="shared" si="3"/>
        <v/>
      </c>
      <c r="C929" s="16"/>
      <c r="D929" s="40"/>
      <c r="E929" s="16"/>
      <c r="F929" s="41"/>
      <c r="G929" s="16"/>
      <c r="H929" s="16"/>
      <c r="I929" s="16"/>
      <c r="J929" s="22"/>
      <c r="K929" s="16"/>
      <c r="L929" s="16"/>
      <c r="M929" s="16"/>
      <c r="N929" s="19"/>
      <c r="O929" s="19"/>
      <c r="P929" s="19"/>
      <c r="Q929" s="19"/>
      <c r="R929" s="19"/>
      <c r="S929" s="19"/>
      <c r="T929" s="19"/>
      <c r="U929" s="19"/>
      <c r="V929" s="19"/>
      <c r="W929" s="20"/>
      <c r="X929" s="43"/>
    </row>
    <row r="930" spans="1:24" ht="15.75" hidden="1" customHeight="1" x14ac:dyDescent="0.25">
      <c r="A930" s="16"/>
      <c r="B930" s="16" t="str">
        <f t="shared" si="3"/>
        <v/>
      </c>
      <c r="C930" s="16"/>
      <c r="D930" s="40"/>
      <c r="E930" s="16"/>
      <c r="F930" s="41"/>
      <c r="G930" s="16"/>
      <c r="H930" s="16"/>
      <c r="I930" s="16"/>
      <c r="J930" s="22"/>
      <c r="K930" s="16"/>
      <c r="L930" s="16"/>
      <c r="M930" s="16"/>
      <c r="N930" s="19"/>
      <c r="O930" s="19"/>
      <c r="P930" s="19"/>
      <c r="Q930" s="19"/>
      <c r="R930" s="19"/>
      <c r="S930" s="19"/>
      <c r="T930" s="19"/>
      <c r="U930" s="19"/>
      <c r="V930" s="19"/>
      <c r="W930" s="20"/>
      <c r="X930" s="43"/>
    </row>
    <row r="931" spans="1:24" ht="15.75" hidden="1" customHeight="1" x14ac:dyDescent="0.25">
      <c r="A931" s="16"/>
      <c r="B931" s="16" t="str">
        <f t="shared" si="3"/>
        <v/>
      </c>
      <c r="C931" s="16"/>
      <c r="D931" s="40"/>
      <c r="E931" s="16"/>
      <c r="F931" s="41"/>
      <c r="G931" s="16"/>
      <c r="H931" s="16"/>
      <c r="I931" s="16"/>
      <c r="J931" s="22"/>
      <c r="K931" s="16"/>
      <c r="L931" s="16"/>
      <c r="M931" s="16"/>
      <c r="N931" s="19"/>
      <c r="O931" s="19"/>
      <c r="P931" s="19"/>
      <c r="Q931" s="19"/>
      <c r="R931" s="19"/>
      <c r="S931" s="19"/>
      <c r="T931" s="19"/>
      <c r="U931" s="19"/>
      <c r="V931" s="19"/>
      <c r="W931" s="20"/>
      <c r="X931" s="43"/>
    </row>
    <row r="932" spans="1:24" ht="15.75" hidden="1" customHeight="1" x14ac:dyDescent="0.25">
      <c r="A932" s="16"/>
      <c r="B932" s="16" t="str">
        <f t="shared" si="3"/>
        <v/>
      </c>
      <c r="C932" s="16"/>
      <c r="D932" s="40"/>
      <c r="E932" s="16"/>
      <c r="F932" s="41"/>
      <c r="G932" s="16"/>
      <c r="H932" s="16"/>
      <c r="I932" s="16"/>
      <c r="J932" s="22"/>
      <c r="K932" s="16"/>
      <c r="L932" s="16"/>
      <c r="M932" s="16"/>
      <c r="N932" s="19"/>
      <c r="O932" s="19"/>
      <c r="P932" s="19"/>
      <c r="Q932" s="19"/>
      <c r="R932" s="19"/>
      <c r="S932" s="19"/>
      <c r="T932" s="19"/>
      <c r="U932" s="19"/>
      <c r="V932" s="19"/>
      <c r="W932" s="20"/>
      <c r="X932" s="43"/>
    </row>
    <row r="933" spans="1:24" ht="15.75" hidden="1" customHeight="1" x14ac:dyDescent="0.25">
      <c r="A933" s="16"/>
      <c r="B933" s="16" t="str">
        <f t="shared" si="3"/>
        <v/>
      </c>
      <c r="C933" s="16"/>
      <c r="D933" s="40"/>
      <c r="E933" s="16"/>
      <c r="F933" s="41"/>
      <c r="G933" s="16"/>
      <c r="H933" s="16"/>
      <c r="I933" s="16"/>
      <c r="J933" s="22"/>
      <c r="K933" s="16"/>
      <c r="L933" s="16"/>
      <c r="M933" s="16"/>
      <c r="N933" s="19"/>
      <c r="O933" s="19"/>
      <c r="P933" s="19"/>
      <c r="Q933" s="19"/>
      <c r="R933" s="19"/>
      <c r="S933" s="19"/>
      <c r="T933" s="19"/>
      <c r="U933" s="19"/>
      <c r="V933" s="19"/>
      <c r="W933" s="20"/>
      <c r="X933" s="43"/>
    </row>
    <row r="934" spans="1:24" ht="15.75" hidden="1" customHeight="1" x14ac:dyDescent="0.25">
      <c r="A934" s="16"/>
      <c r="B934" s="16" t="str">
        <f t="shared" si="3"/>
        <v/>
      </c>
      <c r="C934" s="16"/>
      <c r="D934" s="40"/>
      <c r="E934" s="16"/>
      <c r="F934" s="41"/>
      <c r="G934" s="16"/>
      <c r="H934" s="16"/>
      <c r="I934" s="16"/>
      <c r="J934" s="22"/>
      <c r="K934" s="16"/>
      <c r="L934" s="16"/>
      <c r="M934" s="16"/>
      <c r="N934" s="19"/>
      <c r="O934" s="19"/>
      <c r="P934" s="19"/>
      <c r="Q934" s="19"/>
      <c r="R934" s="19"/>
      <c r="S934" s="19"/>
      <c r="T934" s="19"/>
      <c r="U934" s="19"/>
      <c r="V934" s="19"/>
      <c r="W934" s="20"/>
      <c r="X934" s="43"/>
    </row>
    <row r="935" spans="1:24" ht="15.75" hidden="1" customHeight="1" x14ac:dyDescent="0.25">
      <c r="A935" s="16"/>
      <c r="B935" s="16" t="str">
        <f t="shared" si="3"/>
        <v/>
      </c>
      <c r="C935" s="16"/>
      <c r="D935" s="40"/>
      <c r="E935" s="16"/>
      <c r="F935" s="41"/>
      <c r="G935" s="16"/>
      <c r="H935" s="16"/>
      <c r="I935" s="16"/>
      <c r="J935" s="22"/>
      <c r="K935" s="16"/>
      <c r="L935" s="16"/>
      <c r="M935" s="16"/>
      <c r="N935" s="19"/>
      <c r="O935" s="19"/>
      <c r="P935" s="19"/>
      <c r="Q935" s="19"/>
      <c r="R935" s="19"/>
      <c r="S935" s="19"/>
      <c r="T935" s="19"/>
      <c r="U935" s="19"/>
      <c r="V935" s="19"/>
      <c r="W935" s="20"/>
      <c r="X935" s="43"/>
    </row>
    <row r="936" spans="1:24" ht="15.75" hidden="1" customHeight="1" x14ac:dyDescent="0.25">
      <c r="A936" s="16"/>
      <c r="B936" s="16" t="str">
        <f t="shared" si="3"/>
        <v/>
      </c>
      <c r="C936" s="16"/>
      <c r="D936" s="40"/>
      <c r="E936" s="16"/>
      <c r="F936" s="41"/>
      <c r="G936" s="16"/>
      <c r="H936" s="16"/>
      <c r="I936" s="16"/>
      <c r="J936" s="22"/>
      <c r="K936" s="16"/>
      <c r="L936" s="16"/>
      <c r="M936" s="16"/>
      <c r="N936" s="19"/>
      <c r="O936" s="19"/>
      <c r="P936" s="19"/>
      <c r="Q936" s="19"/>
      <c r="R936" s="19"/>
      <c r="S936" s="19"/>
      <c r="T936" s="19"/>
      <c r="U936" s="19"/>
      <c r="V936" s="19"/>
      <c r="W936" s="20"/>
      <c r="X936" s="43"/>
    </row>
    <row r="937" spans="1:24" ht="15.75" hidden="1" customHeight="1" x14ac:dyDescent="0.25">
      <c r="A937" s="16"/>
      <c r="B937" s="16" t="str">
        <f t="shared" si="3"/>
        <v/>
      </c>
      <c r="C937" s="16"/>
      <c r="D937" s="40"/>
      <c r="E937" s="16"/>
      <c r="F937" s="41"/>
      <c r="G937" s="16"/>
      <c r="H937" s="16"/>
      <c r="I937" s="16"/>
      <c r="J937" s="22"/>
      <c r="K937" s="16"/>
      <c r="L937" s="16"/>
      <c r="M937" s="16"/>
      <c r="N937" s="19"/>
      <c r="O937" s="19"/>
      <c r="P937" s="19"/>
      <c r="Q937" s="19"/>
      <c r="R937" s="19"/>
      <c r="S937" s="19"/>
      <c r="T937" s="19"/>
      <c r="U937" s="19"/>
      <c r="V937" s="19"/>
      <c r="W937" s="20"/>
      <c r="X937" s="43"/>
    </row>
    <row r="938" spans="1:24" ht="15.75" hidden="1" customHeight="1" x14ac:dyDescent="0.25">
      <c r="A938" s="16"/>
      <c r="B938" s="16" t="str">
        <f t="shared" si="3"/>
        <v/>
      </c>
      <c r="C938" s="16"/>
      <c r="D938" s="40"/>
      <c r="E938" s="16"/>
      <c r="F938" s="41"/>
      <c r="G938" s="16"/>
      <c r="H938" s="16"/>
      <c r="I938" s="16"/>
      <c r="J938" s="22"/>
      <c r="K938" s="16"/>
      <c r="L938" s="16"/>
      <c r="M938" s="16"/>
      <c r="N938" s="19"/>
      <c r="O938" s="19"/>
      <c r="P938" s="19"/>
      <c r="Q938" s="19"/>
      <c r="R938" s="19"/>
      <c r="S938" s="19"/>
      <c r="T938" s="19"/>
      <c r="U938" s="19"/>
      <c r="V938" s="19"/>
      <c r="W938" s="20"/>
      <c r="X938" s="43"/>
    </row>
    <row r="939" spans="1:24" ht="15.75" hidden="1" customHeight="1" x14ac:dyDescent="0.25">
      <c r="A939" s="16"/>
      <c r="B939" s="16" t="str">
        <f t="shared" si="3"/>
        <v/>
      </c>
      <c r="C939" s="16"/>
      <c r="D939" s="40"/>
      <c r="E939" s="16"/>
      <c r="F939" s="41"/>
      <c r="G939" s="16"/>
      <c r="H939" s="16"/>
      <c r="I939" s="16"/>
      <c r="J939" s="22"/>
      <c r="K939" s="16"/>
      <c r="L939" s="16"/>
      <c r="M939" s="16"/>
      <c r="N939" s="19"/>
      <c r="O939" s="19"/>
      <c r="P939" s="19"/>
      <c r="Q939" s="19"/>
      <c r="R939" s="19"/>
      <c r="S939" s="19"/>
      <c r="T939" s="19"/>
      <c r="U939" s="19"/>
      <c r="V939" s="19"/>
      <c r="W939" s="20"/>
      <c r="X939" s="43"/>
    </row>
    <row r="940" spans="1:24" ht="15.75" hidden="1" customHeight="1" x14ac:dyDescent="0.25">
      <c r="A940" s="16"/>
      <c r="B940" s="16" t="str">
        <f t="shared" si="3"/>
        <v/>
      </c>
      <c r="C940" s="16"/>
      <c r="D940" s="40"/>
      <c r="E940" s="16"/>
      <c r="F940" s="41"/>
      <c r="G940" s="16"/>
      <c r="H940" s="16"/>
      <c r="I940" s="16"/>
      <c r="J940" s="22"/>
      <c r="K940" s="16"/>
      <c r="L940" s="16"/>
      <c r="M940" s="16"/>
      <c r="N940" s="19"/>
      <c r="O940" s="19"/>
      <c r="P940" s="19"/>
      <c r="Q940" s="19"/>
      <c r="R940" s="19"/>
      <c r="S940" s="19"/>
      <c r="T940" s="19"/>
      <c r="U940" s="19"/>
      <c r="V940" s="19"/>
      <c r="W940" s="20"/>
      <c r="X940" s="43"/>
    </row>
    <row r="941" spans="1:24" ht="15.75" hidden="1" customHeight="1" x14ac:dyDescent="0.25">
      <c r="A941" s="16"/>
      <c r="B941" s="16" t="str">
        <f t="shared" si="3"/>
        <v/>
      </c>
      <c r="C941" s="16"/>
      <c r="D941" s="40"/>
      <c r="E941" s="16"/>
      <c r="F941" s="41"/>
      <c r="G941" s="16"/>
      <c r="H941" s="16"/>
      <c r="I941" s="16"/>
      <c r="J941" s="22"/>
      <c r="K941" s="16"/>
      <c r="L941" s="16"/>
      <c r="M941" s="16"/>
      <c r="N941" s="19"/>
      <c r="O941" s="19"/>
      <c r="P941" s="19"/>
      <c r="Q941" s="19"/>
      <c r="R941" s="19"/>
      <c r="S941" s="19"/>
      <c r="T941" s="19"/>
      <c r="U941" s="19"/>
      <c r="V941" s="19"/>
      <c r="W941" s="20"/>
      <c r="X941" s="43"/>
    </row>
    <row r="942" spans="1:24" ht="15.75" hidden="1" customHeight="1" x14ac:dyDescent="0.25">
      <c r="A942" s="16"/>
      <c r="B942" s="16" t="str">
        <f t="shared" si="3"/>
        <v/>
      </c>
      <c r="C942" s="16"/>
      <c r="D942" s="40"/>
      <c r="E942" s="16"/>
      <c r="F942" s="41"/>
      <c r="G942" s="16"/>
      <c r="H942" s="16"/>
      <c r="I942" s="16"/>
      <c r="J942" s="22"/>
      <c r="K942" s="16"/>
      <c r="L942" s="16"/>
      <c r="M942" s="16"/>
      <c r="N942" s="19"/>
      <c r="O942" s="19"/>
      <c r="P942" s="19"/>
      <c r="Q942" s="19"/>
      <c r="R942" s="19"/>
      <c r="S942" s="19"/>
      <c r="T942" s="19"/>
      <c r="U942" s="19"/>
      <c r="V942" s="19"/>
      <c r="W942" s="20"/>
      <c r="X942" s="43"/>
    </row>
    <row r="943" spans="1:24" ht="15.75" hidden="1" customHeight="1" x14ac:dyDescent="0.25">
      <c r="A943" s="16"/>
      <c r="B943" s="16" t="str">
        <f t="shared" si="3"/>
        <v/>
      </c>
      <c r="C943" s="16"/>
      <c r="D943" s="40"/>
      <c r="E943" s="16"/>
      <c r="F943" s="41"/>
      <c r="G943" s="16"/>
      <c r="H943" s="16"/>
      <c r="I943" s="16"/>
      <c r="J943" s="22"/>
      <c r="K943" s="16"/>
      <c r="L943" s="16"/>
      <c r="M943" s="16"/>
      <c r="N943" s="19"/>
      <c r="O943" s="19"/>
      <c r="P943" s="19"/>
      <c r="Q943" s="19"/>
      <c r="R943" s="19"/>
      <c r="S943" s="19"/>
      <c r="T943" s="19"/>
      <c r="U943" s="19"/>
      <c r="V943" s="19"/>
      <c r="W943" s="20"/>
      <c r="X943" s="43"/>
    </row>
    <row r="944" spans="1:24" ht="15.75" hidden="1" customHeight="1" x14ac:dyDescent="0.25">
      <c r="A944" s="16"/>
      <c r="B944" s="16" t="str">
        <f t="shared" si="3"/>
        <v/>
      </c>
      <c r="C944" s="16"/>
      <c r="D944" s="40"/>
      <c r="E944" s="16"/>
      <c r="F944" s="41"/>
      <c r="G944" s="16"/>
      <c r="H944" s="16"/>
      <c r="I944" s="16"/>
      <c r="J944" s="22"/>
      <c r="K944" s="16"/>
      <c r="L944" s="16"/>
      <c r="M944" s="16"/>
      <c r="N944" s="19"/>
      <c r="O944" s="19"/>
      <c r="P944" s="19"/>
      <c r="Q944" s="19"/>
      <c r="R944" s="19"/>
      <c r="S944" s="19"/>
      <c r="T944" s="19"/>
      <c r="U944" s="19"/>
      <c r="V944" s="19"/>
      <c r="W944" s="20"/>
      <c r="X944" s="43"/>
    </row>
    <row r="945" spans="1:24" ht="15.75" hidden="1" customHeight="1" x14ac:dyDescent="0.25">
      <c r="A945" s="16"/>
      <c r="B945" s="16" t="str">
        <f t="shared" si="3"/>
        <v/>
      </c>
      <c r="C945" s="16"/>
      <c r="D945" s="40"/>
      <c r="E945" s="16"/>
      <c r="F945" s="41"/>
      <c r="G945" s="16"/>
      <c r="H945" s="16"/>
      <c r="I945" s="16"/>
      <c r="J945" s="22"/>
      <c r="K945" s="16"/>
      <c r="L945" s="16"/>
      <c r="M945" s="16"/>
      <c r="N945" s="19"/>
      <c r="O945" s="19"/>
      <c r="P945" s="19"/>
      <c r="Q945" s="19"/>
      <c r="R945" s="19"/>
      <c r="S945" s="19"/>
      <c r="T945" s="19"/>
      <c r="U945" s="19"/>
      <c r="V945" s="19"/>
      <c r="W945" s="20"/>
      <c r="X945" s="43"/>
    </row>
    <row r="946" spans="1:24" ht="15.75" hidden="1" customHeight="1" x14ac:dyDescent="0.25">
      <c r="A946" s="16"/>
      <c r="B946" s="16" t="str">
        <f t="shared" si="3"/>
        <v/>
      </c>
      <c r="C946" s="16"/>
      <c r="D946" s="40"/>
      <c r="E946" s="16"/>
      <c r="F946" s="41"/>
      <c r="G946" s="16"/>
      <c r="H946" s="16"/>
      <c r="I946" s="16"/>
      <c r="J946" s="22"/>
      <c r="K946" s="16"/>
      <c r="L946" s="16"/>
      <c r="M946" s="16"/>
      <c r="N946" s="19"/>
      <c r="O946" s="19"/>
      <c r="P946" s="19"/>
      <c r="Q946" s="19"/>
      <c r="R946" s="19"/>
      <c r="S946" s="19"/>
      <c r="T946" s="19"/>
      <c r="U946" s="19"/>
      <c r="V946" s="19"/>
      <c r="W946" s="20"/>
      <c r="X946" s="43"/>
    </row>
    <row r="947" spans="1:24" ht="15.75" hidden="1" customHeight="1" x14ac:dyDescent="0.25">
      <c r="A947" s="16"/>
      <c r="B947" s="16" t="str">
        <f t="shared" si="3"/>
        <v/>
      </c>
      <c r="C947" s="16"/>
      <c r="D947" s="40"/>
      <c r="E947" s="16"/>
      <c r="F947" s="41"/>
      <c r="G947" s="16"/>
      <c r="H947" s="16"/>
      <c r="I947" s="16"/>
      <c r="J947" s="22"/>
      <c r="K947" s="16"/>
      <c r="L947" s="16"/>
      <c r="M947" s="16"/>
      <c r="N947" s="19"/>
      <c r="O947" s="19"/>
      <c r="P947" s="19"/>
      <c r="Q947" s="19"/>
      <c r="R947" s="19"/>
      <c r="S947" s="19"/>
      <c r="T947" s="19"/>
      <c r="U947" s="19"/>
      <c r="V947" s="19"/>
      <c r="W947" s="20"/>
      <c r="X947" s="43"/>
    </row>
    <row r="948" spans="1:24" ht="15.75" hidden="1" customHeight="1" x14ac:dyDescent="0.25">
      <c r="A948" s="16"/>
      <c r="B948" s="16" t="str">
        <f t="shared" si="3"/>
        <v/>
      </c>
      <c r="C948" s="16"/>
      <c r="D948" s="40"/>
      <c r="E948" s="16"/>
      <c r="F948" s="41"/>
      <c r="G948" s="16"/>
      <c r="H948" s="16"/>
      <c r="I948" s="16"/>
      <c r="J948" s="22"/>
      <c r="K948" s="16"/>
      <c r="L948" s="16"/>
      <c r="M948" s="16"/>
      <c r="N948" s="19"/>
      <c r="O948" s="19"/>
      <c r="P948" s="19"/>
      <c r="Q948" s="19"/>
      <c r="R948" s="19"/>
      <c r="S948" s="19"/>
      <c r="T948" s="19"/>
      <c r="U948" s="19"/>
      <c r="V948" s="19"/>
      <c r="W948" s="20"/>
      <c r="X948" s="43"/>
    </row>
    <row r="949" spans="1:24" ht="15.75" hidden="1" customHeight="1" x14ac:dyDescent="0.25">
      <c r="A949" s="16"/>
      <c r="B949" s="16" t="str">
        <f t="shared" si="3"/>
        <v/>
      </c>
      <c r="C949" s="16"/>
      <c r="D949" s="40"/>
      <c r="E949" s="16"/>
      <c r="F949" s="41"/>
      <c r="G949" s="16"/>
      <c r="H949" s="16"/>
      <c r="I949" s="16"/>
      <c r="J949" s="22"/>
      <c r="K949" s="16"/>
      <c r="L949" s="16"/>
      <c r="M949" s="16"/>
      <c r="N949" s="19"/>
      <c r="O949" s="19"/>
      <c r="P949" s="19"/>
      <c r="Q949" s="19"/>
      <c r="R949" s="19"/>
      <c r="S949" s="19"/>
      <c r="T949" s="19"/>
      <c r="U949" s="19"/>
      <c r="V949" s="19"/>
      <c r="W949" s="20"/>
      <c r="X949" s="43"/>
    </row>
    <row r="950" spans="1:24" ht="15.75" hidden="1" customHeight="1" x14ac:dyDescent="0.25">
      <c r="A950" s="16"/>
      <c r="B950" s="16" t="str">
        <f t="shared" si="3"/>
        <v/>
      </c>
      <c r="C950" s="16"/>
      <c r="D950" s="40"/>
      <c r="E950" s="16"/>
      <c r="F950" s="41"/>
      <c r="G950" s="16"/>
      <c r="H950" s="16"/>
      <c r="I950" s="16"/>
      <c r="J950" s="22"/>
      <c r="K950" s="16"/>
      <c r="L950" s="16"/>
      <c r="M950" s="16"/>
      <c r="N950" s="19"/>
      <c r="O950" s="19"/>
      <c r="P950" s="19"/>
      <c r="Q950" s="19"/>
      <c r="R950" s="19"/>
      <c r="S950" s="19"/>
      <c r="T950" s="19"/>
      <c r="U950" s="19"/>
      <c r="V950" s="19"/>
      <c r="W950" s="20"/>
      <c r="X950" s="43"/>
    </row>
    <row r="951" spans="1:24" ht="15.75" hidden="1" customHeight="1" x14ac:dyDescent="0.25">
      <c r="A951" s="16"/>
      <c r="B951" s="16" t="str">
        <f t="shared" si="3"/>
        <v/>
      </c>
      <c r="C951" s="16"/>
      <c r="D951" s="40"/>
      <c r="E951" s="16"/>
      <c r="F951" s="41"/>
      <c r="G951" s="16"/>
      <c r="H951" s="16"/>
      <c r="I951" s="16"/>
      <c r="J951" s="22"/>
      <c r="K951" s="16"/>
      <c r="L951" s="16"/>
      <c r="M951" s="16"/>
      <c r="N951" s="19"/>
      <c r="O951" s="19"/>
      <c r="P951" s="19"/>
      <c r="Q951" s="19"/>
      <c r="R951" s="19"/>
      <c r="S951" s="19"/>
      <c r="T951" s="19"/>
      <c r="U951" s="19"/>
      <c r="V951" s="19"/>
      <c r="W951" s="20"/>
      <c r="X951" s="43"/>
    </row>
    <row r="952" spans="1:24" ht="15.75" hidden="1" customHeight="1" x14ac:dyDescent="0.25">
      <c r="A952" s="16"/>
      <c r="B952" s="16" t="str">
        <f t="shared" si="3"/>
        <v/>
      </c>
      <c r="C952" s="16"/>
      <c r="D952" s="40"/>
      <c r="E952" s="16"/>
      <c r="F952" s="41"/>
      <c r="G952" s="16"/>
      <c r="H952" s="16"/>
      <c r="I952" s="16"/>
      <c r="J952" s="22"/>
      <c r="K952" s="16"/>
      <c r="L952" s="16"/>
      <c r="M952" s="16"/>
      <c r="N952" s="19"/>
      <c r="O952" s="19"/>
      <c r="P952" s="19"/>
      <c r="Q952" s="19"/>
      <c r="R952" s="19"/>
      <c r="S952" s="19"/>
      <c r="T952" s="19"/>
      <c r="U952" s="19"/>
      <c r="V952" s="19"/>
      <c r="W952" s="20"/>
      <c r="X952" s="43"/>
    </row>
    <row r="953" spans="1:24" ht="15.75" hidden="1" customHeight="1" x14ac:dyDescent="0.25">
      <c r="A953" s="16"/>
      <c r="B953" s="16" t="str">
        <f t="shared" si="3"/>
        <v/>
      </c>
      <c r="C953" s="16"/>
      <c r="D953" s="40"/>
      <c r="E953" s="16"/>
      <c r="F953" s="41"/>
      <c r="G953" s="16"/>
      <c r="H953" s="16"/>
      <c r="I953" s="16"/>
      <c r="J953" s="22"/>
      <c r="K953" s="16"/>
      <c r="L953" s="16"/>
      <c r="M953" s="16"/>
      <c r="N953" s="19"/>
      <c r="O953" s="19"/>
      <c r="P953" s="19"/>
      <c r="Q953" s="19"/>
      <c r="R953" s="19"/>
      <c r="S953" s="19"/>
      <c r="T953" s="19"/>
      <c r="U953" s="19"/>
      <c r="V953" s="19"/>
      <c r="W953" s="20"/>
      <c r="X953" s="43"/>
    </row>
    <row r="954" spans="1:24" ht="15.75" hidden="1" customHeight="1" x14ac:dyDescent="0.25">
      <c r="A954" s="16"/>
      <c r="B954" s="16" t="str">
        <f t="shared" si="3"/>
        <v/>
      </c>
      <c r="C954" s="16"/>
      <c r="D954" s="40"/>
      <c r="E954" s="16"/>
      <c r="F954" s="41"/>
      <c r="G954" s="16"/>
      <c r="H954" s="16"/>
      <c r="I954" s="16"/>
      <c r="J954" s="22"/>
      <c r="K954" s="16"/>
      <c r="L954" s="16"/>
      <c r="M954" s="16"/>
      <c r="N954" s="19"/>
      <c r="O954" s="19"/>
      <c r="P954" s="19"/>
      <c r="Q954" s="19"/>
      <c r="R954" s="19"/>
      <c r="S954" s="19"/>
      <c r="T954" s="19"/>
      <c r="U954" s="19"/>
      <c r="V954" s="19"/>
      <c r="W954" s="20"/>
      <c r="X954" s="43"/>
    </row>
    <row r="955" spans="1:24" ht="15.75" hidden="1" customHeight="1" x14ac:dyDescent="0.25">
      <c r="A955" s="16"/>
      <c r="B955" s="16" t="str">
        <f t="shared" si="3"/>
        <v/>
      </c>
      <c r="C955" s="16"/>
      <c r="D955" s="40"/>
      <c r="E955" s="16"/>
      <c r="F955" s="41"/>
      <c r="G955" s="16"/>
      <c r="H955" s="16"/>
      <c r="I955" s="16"/>
      <c r="J955" s="22"/>
      <c r="K955" s="16"/>
      <c r="L955" s="16"/>
      <c r="M955" s="16"/>
      <c r="N955" s="19"/>
      <c r="O955" s="19"/>
      <c r="P955" s="19"/>
      <c r="Q955" s="19"/>
      <c r="R955" s="19"/>
      <c r="S955" s="19"/>
      <c r="T955" s="19"/>
      <c r="U955" s="19"/>
      <c r="V955" s="19"/>
      <c r="W955" s="20"/>
      <c r="X955" s="43"/>
    </row>
    <row r="956" spans="1:24" ht="15.75" hidden="1" customHeight="1" x14ac:dyDescent="0.25">
      <c r="A956" s="16"/>
      <c r="B956" s="16" t="str">
        <f t="shared" si="3"/>
        <v/>
      </c>
      <c r="C956" s="16"/>
      <c r="D956" s="40"/>
      <c r="E956" s="16"/>
      <c r="F956" s="41"/>
      <c r="G956" s="16"/>
      <c r="H956" s="16"/>
      <c r="I956" s="16"/>
      <c r="J956" s="22"/>
      <c r="K956" s="16"/>
      <c r="L956" s="16"/>
      <c r="M956" s="16"/>
      <c r="N956" s="19"/>
      <c r="O956" s="19"/>
      <c r="P956" s="19"/>
      <c r="Q956" s="19"/>
      <c r="R956" s="19"/>
      <c r="S956" s="19"/>
      <c r="T956" s="19"/>
      <c r="U956" s="19"/>
      <c r="V956" s="19"/>
      <c r="W956" s="20"/>
      <c r="X956" s="43"/>
    </row>
    <row r="957" spans="1:24" ht="15.75" hidden="1" customHeight="1" x14ac:dyDescent="0.25">
      <c r="A957" s="16"/>
      <c r="B957" s="16" t="str">
        <f t="shared" si="3"/>
        <v/>
      </c>
      <c r="C957" s="16"/>
      <c r="D957" s="40"/>
      <c r="E957" s="16"/>
      <c r="F957" s="41"/>
      <c r="G957" s="16"/>
      <c r="H957" s="16"/>
      <c r="I957" s="16"/>
      <c r="J957" s="22"/>
      <c r="K957" s="16"/>
      <c r="L957" s="16"/>
      <c r="M957" s="16"/>
      <c r="N957" s="19"/>
      <c r="O957" s="19"/>
      <c r="P957" s="19"/>
      <c r="Q957" s="19"/>
      <c r="R957" s="19"/>
      <c r="S957" s="19"/>
      <c r="T957" s="19"/>
      <c r="U957" s="19"/>
      <c r="V957" s="19"/>
      <c r="W957" s="20"/>
      <c r="X957" s="43"/>
    </row>
    <row r="958" spans="1:24" ht="15.75" hidden="1" customHeight="1" x14ac:dyDescent="0.25">
      <c r="A958" s="16"/>
      <c r="B958" s="16" t="str">
        <f t="shared" si="3"/>
        <v/>
      </c>
      <c r="C958" s="16"/>
      <c r="D958" s="40"/>
      <c r="E958" s="16"/>
      <c r="F958" s="41"/>
      <c r="G958" s="16"/>
      <c r="H958" s="16"/>
      <c r="I958" s="16"/>
      <c r="J958" s="22"/>
      <c r="K958" s="16"/>
      <c r="L958" s="16"/>
      <c r="M958" s="16"/>
      <c r="N958" s="19"/>
      <c r="O958" s="19"/>
      <c r="P958" s="19"/>
      <c r="Q958" s="19"/>
      <c r="R958" s="19"/>
      <c r="S958" s="19"/>
      <c r="T958" s="19"/>
      <c r="U958" s="19"/>
      <c r="V958" s="19"/>
      <c r="W958" s="20"/>
      <c r="X958" s="43"/>
    </row>
    <row r="959" spans="1:24" ht="15.75" hidden="1" customHeight="1" x14ac:dyDescent="0.25">
      <c r="A959" s="16"/>
      <c r="B959" s="16" t="str">
        <f t="shared" si="3"/>
        <v/>
      </c>
      <c r="C959" s="16"/>
      <c r="D959" s="40"/>
      <c r="E959" s="16"/>
      <c r="F959" s="41"/>
      <c r="G959" s="16"/>
      <c r="H959" s="16"/>
      <c r="I959" s="16"/>
      <c r="J959" s="22"/>
      <c r="K959" s="16"/>
      <c r="L959" s="16"/>
      <c r="M959" s="16"/>
      <c r="N959" s="19"/>
      <c r="O959" s="19"/>
      <c r="P959" s="19"/>
      <c r="Q959" s="19"/>
      <c r="R959" s="19"/>
      <c r="S959" s="19"/>
      <c r="T959" s="19"/>
      <c r="U959" s="19"/>
      <c r="V959" s="19"/>
      <c r="W959" s="20"/>
      <c r="X959" s="43"/>
    </row>
    <row r="960" spans="1:24" ht="15.75" hidden="1" customHeight="1" x14ac:dyDescent="0.25">
      <c r="A960" s="16"/>
      <c r="B960" s="16" t="str">
        <f t="shared" si="3"/>
        <v/>
      </c>
      <c r="C960" s="16"/>
      <c r="D960" s="40"/>
      <c r="E960" s="16"/>
      <c r="F960" s="41"/>
      <c r="G960" s="16"/>
      <c r="H960" s="16"/>
      <c r="I960" s="16"/>
      <c r="J960" s="22"/>
      <c r="K960" s="16"/>
      <c r="L960" s="16"/>
      <c r="M960" s="16"/>
      <c r="N960" s="19"/>
      <c r="O960" s="19"/>
      <c r="P960" s="19"/>
      <c r="Q960" s="19"/>
      <c r="R960" s="19"/>
      <c r="S960" s="19"/>
      <c r="T960" s="19"/>
      <c r="U960" s="19"/>
      <c r="V960" s="19"/>
      <c r="W960" s="20"/>
      <c r="X960" s="43"/>
    </row>
    <row r="961" spans="1:24" ht="15.75" hidden="1" customHeight="1" x14ac:dyDescent="0.25">
      <c r="A961" s="16"/>
      <c r="B961" s="16" t="str">
        <f t="shared" si="3"/>
        <v/>
      </c>
      <c r="C961" s="16"/>
      <c r="D961" s="40"/>
      <c r="E961" s="16"/>
      <c r="F961" s="41"/>
      <c r="G961" s="16"/>
      <c r="H961" s="16"/>
      <c r="I961" s="16"/>
      <c r="J961" s="22"/>
      <c r="K961" s="16"/>
      <c r="L961" s="16"/>
      <c r="M961" s="16"/>
      <c r="N961" s="19"/>
      <c r="O961" s="19"/>
      <c r="P961" s="19"/>
      <c r="Q961" s="19"/>
      <c r="R961" s="19"/>
      <c r="S961" s="19"/>
      <c r="T961" s="19"/>
      <c r="U961" s="19"/>
      <c r="V961" s="19"/>
      <c r="W961" s="20"/>
      <c r="X961" s="43"/>
    </row>
    <row r="962" spans="1:24" ht="15.75" hidden="1" customHeight="1" x14ac:dyDescent="0.25">
      <c r="A962" s="16"/>
      <c r="B962" s="16" t="str">
        <f t="shared" si="3"/>
        <v/>
      </c>
      <c r="C962" s="16"/>
      <c r="D962" s="40"/>
      <c r="E962" s="16"/>
      <c r="F962" s="41"/>
      <c r="G962" s="16"/>
      <c r="H962" s="16"/>
      <c r="I962" s="16"/>
      <c r="J962" s="22"/>
      <c r="K962" s="16"/>
      <c r="L962" s="16"/>
      <c r="M962" s="16"/>
      <c r="N962" s="19"/>
      <c r="O962" s="19"/>
      <c r="P962" s="19"/>
      <c r="Q962" s="19"/>
      <c r="R962" s="19"/>
      <c r="S962" s="19"/>
      <c r="T962" s="19"/>
      <c r="U962" s="19"/>
      <c r="V962" s="19"/>
      <c r="W962" s="20"/>
      <c r="X962" s="43"/>
    </row>
    <row r="963" spans="1:24" ht="15.75" hidden="1" customHeight="1" x14ac:dyDescent="0.25">
      <c r="A963" s="16"/>
      <c r="B963" s="16" t="str">
        <f t="shared" si="3"/>
        <v/>
      </c>
      <c r="C963" s="16"/>
      <c r="D963" s="40"/>
      <c r="E963" s="16"/>
      <c r="F963" s="41"/>
      <c r="G963" s="16"/>
      <c r="H963" s="16"/>
      <c r="I963" s="16"/>
      <c r="J963" s="22"/>
      <c r="K963" s="16"/>
      <c r="L963" s="16"/>
      <c r="M963" s="16"/>
      <c r="N963" s="19"/>
      <c r="O963" s="19"/>
      <c r="P963" s="19"/>
      <c r="Q963" s="19"/>
      <c r="R963" s="19"/>
      <c r="S963" s="19"/>
      <c r="T963" s="19"/>
      <c r="U963" s="19"/>
      <c r="V963" s="19"/>
      <c r="W963" s="20"/>
      <c r="X963" s="43"/>
    </row>
    <row r="964" spans="1:24" ht="15.75" hidden="1" customHeight="1" x14ac:dyDescent="0.25">
      <c r="A964" s="16"/>
      <c r="B964" s="16" t="str">
        <f t="shared" si="3"/>
        <v/>
      </c>
      <c r="C964" s="16"/>
      <c r="D964" s="40"/>
      <c r="E964" s="16"/>
      <c r="F964" s="41"/>
      <c r="G964" s="16"/>
      <c r="H964" s="16"/>
      <c r="I964" s="16"/>
      <c r="J964" s="22"/>
      <c r="K964" s="16"/>
      <c r="L964" s="16"/>
      <c r="M964" s="16"/>
      <c r="N964" s="19"/>
      <c r="O964" s="19"/>
      <c r="P964" s="19"/>
      <c r="Q964" s="19"/>
      <c r="R964" s="19"/>
      <c r="S964" s="19"/>
      <c r="T964" s="19"/>
      <c r="U964" s="19"/>
      <c r="V964" s="19"/>
      <c r="W964" s="20"/>
      <c r="X964" s="43"/>
    </row>
    <row r="965" spans="1:24" ht="15.75" hidden="1" customHeight="1" x14ac:dyDescent="0.25">
      <c r="A965" s="16"/>
      <c r="B965" s="16" t="str">
        <f t="shared" si="3"/>
        <v/>
      </c>
      <c r="C965" s="16"/>
      <c r="D965" s="40"/>
      <c r="E965" s="16"/>
      <c r="F965" s="41"/>
      <c r="G965" s="16"/>
      <c r="H965" s="16"/>
      <c r="I965" s="16"/>
      <c r="J965" s="22"/>
      <c r="K965" s="16"/>
      <c r="L965" s="16"/>
      <c r="M965" s="16"/>
      <c r="N965" s="19"/>
      <c r="O965" s="19"/>
      <c r="P965" s="19"/>
      <c r="Q965" s="19"/>
      <c r="R965" s="19"/>
      <c r="S965" s="19"/>
      <c r="T965" s="19"/>
      <c r="U965" s="19"/>
      <c r="V965" s="19"/>
      <c r="W965" s="20"/>
      <c r="X965" s="43"/>
    </row>
    <row r="966" spans="1:24" ht="15.75" hidden="1" customHeight="1" x14ac:dyDescent="0.25">
      <c r="A966" s="16"/>
      <c r="B966" s="16" t="str">
        <f t="shared" si="3"/>
        <v/>
      </c>
      <c r="C966" s="16"/>
      <c r="D966" s="40"/>
      <c r="E966" s="16"/>
      <c r="F966" s="41"/>
      <c r="G966" s="16"/>
      <c r="H966" s="16"/>
      <c r="I966" s="16"/>
      <c r="J966" s="22"/>
      <c r="K966" s="16"/>
      <c r="L966" s="16"/>
      <c r="M966" s="16"/>
      <c r="N966" s="19"/>
      <c r="O966" s="19"/>
      <c r="P966" s="19"/>
      <c r="Q966" s="19"/>
      <c r="R966" s="19"/>
      <c r="S966" s="19"/>
      <c r="T966" s="19"/>
      <c r="U966" s="19"/>
      <c r="V966" s="19"/>
      <c r="W966" s="20"/>
      <c r="X966" s="43"/>
    </row>
    <row r="967" spans="1:24" ht="15.75" hidden="1" customHeight="1" x14ac:dyDescent="0.25">
      <c r="A967" s="16"/>
      <c r="B967" s="16" t="str">
        <f t="shared" si="3"/>
        <v/>
      </c>
      <c r="C967" s="16"/>
      <c r="D967" s="40"/>
      <c r="E967" s="16"/>
      <c r="F967" s="41"/>
      <c r="G967" s="16"/>
      <c r="H967" s="16"/>
      <c r="I967" s="16"/>
      <c r="J967" s="22"/>
      <c r="K967" s="16"/>
      <c r="L967" s="16"/>
      <c r="M967" s="16"/>
      <c r="N967" s="19"/>
      <c r="O967" s="19"/>
      <c r="P967" s="19"/>
      <c r="Q967" s="19"/>
      <c r="R967" s="19"/>
      <c r="S967" s="19"/>
      <c r="T967" s="19"/>
      <c r="U967" s="19"/>
      <c r="V967" s="19"/>
      <c r="W967" s="20"/>
      <c r="X967" s="43"/>
    </row>
    <row r="968" spans="1:24" ht="15.75" hidden="1" customHeight="1" x14ac:dyDescent="0.25">
      <c r="A968" s="16"/>
      <c r="B968" s="16" t="str">
        <f t="shared" si="3"/>
        <v/>
      </c>
      <c r="C968" s="16"/>
      <c r="D968" s="40"/>
      <c r="E968" s="16"/>
      <c r="F968" s="41"/>
      <c r="G968" s="16"/>
      <c r="H968" s="16"/>
      <c r="I968" s="16"/>
      <c r="J968" s="22"/>
      <c r="K968" s="16"/>
      <c r="L968" s="16"/>
      <c r="M968" s="16"/>
      <c r="N968" s="19"/>
      <c r="O968" s="19"/>
      <c r="P968" s="19"/>
      <c r="Q968" s="19"/>
      <c r="R968" s="19"/>
      <c r="S968" s="19"/>
      <c r="T968" s="19"/>
      <c r="U968" s="19"/>
      <c r="V968" s="19"/>
      <c r="W968" s="20"/>
      <c r="X968" s="43"/>
    </row>
    <row r="969" spans="1:24" ht="15.75" hidden="1" customHeight="1" x14ac:dyDescent="0.25">
      <c r="A969" s="16"/>
      <c r="B969" s="16" t="str">
        <f t="shared" si="3"/>
        <v/>
      </c>
      <c r="C969" s="16"/>
      <c r="D969" s="40"/>
      <c r="E969" s="16"/>
      <c r="F969" s="41"/>
      <c r="G969" s="16"/>
      <c r="H969" s="16"/>
      <c r="I969" s="16"/>
      <c r="J969" s="22"/>
      <c r="K969" s="16"/>
      <c r="L969" s="16"/>
      <c r="M969" s="16"/>
      <c r="N969" s="19"/>
      <c r="O969" s="19"/>
      <c r="P969" s="19"/>
      <c r="Q969" s="19"/>
      <c r="R969" s="19"/>
      <c r="S969" s="19"/>
      <c r="T969" s="19"/>
      <c r="U969" s="19"/>
      <c r="V969" s="19"/>
      <c r="W969" s="20"/>
      <c r="X969" s="43"/>
    </row>
    <row r="970" spans="1:24" ht="15.75" hidden="1" customHeight="1" x14ac:dyDescent="0.25">
      <c r="A970" s="16"/>
      <c r="B970" s="16" t="str">
        <f t="shared" si="3"/>
        <v/>
      </c>
      <c r="C970" s="16"/>
      <c r="D970" s="40"/>
      <c r="E970" s="16"/>
      <c r="F970" s="41"/>
      <c r="G970" s="16"/>
      <c r="H970" s="16"/>
      <c r="I970" s="16"/>
      <c r="J970" s="22"/>
      <c r="K970" s="16"/>
      <c r="L970" s="16"/>
      <c r="M970" s="16"/>
      <c r="N970" s="19"/>
      <c r="O970" s="19"/>
      <c r="P970" s="19"/>
      <c r="Q970" s="19"/>
      <c r="R970" s="19"/>
      <c r="S970" s="19"/>
      <c r="T970" s="19"/>
      <c r="U970" s="19"/>
      <c r="V970" s="19"/>
      <c r="W970" s="20"/>
      <c r="X970" s="43"/>
    </row>
    <row r="971" spans="1:24" ht="15.75" hidden="1" customHeight="1" x14ac:dyDescent="0.25">
      <c r="A971" s="16"/>
      <c r="B971" s="16" t="str">
        <f t="shared" si="3"/>
        <v/>
      </c>
      <c r="C971" s="16"/>
      <c r="D971" s="40"/>
      <c r="E971" s="16"/>
      <c r="F971" s="41"/>
      <c r="G971" s="16"/>
      <c r="H971" s="16"/>
      <c r="I971" s="16"/>
      <c r="J971" s="22"/>
      <c r="K971" s="16"/>
      <c r="L971" s="16"/>
      <c r="M971" s="16"/>
      <c r="N971" s="19"/>
      <c r="O971" s="19"/>
      <c r="P971" s="19"/>
      <c r="Q971" s="19"/>
      <c r="R971" s="19"/>
      <c r="S971" s="19"/>
      <c r="T971" s="19"/>
      <c r="U971" s="19"/>
      <c r="V971" s="19"/>
      <c r="W971" s="20"/>
      <c r="X971" s="43"/>
    </row>
    <row r="972" spans="1:24" ht="15.75" hidden="1" customHeight="1" x14ac:dyDescent="0.25">
      <c r="A972" s="16"/>
      <c r="B972" s="16" t="str">
        <f t="shared" si="3"/>
        <v/>
      </c>
      <c r="C972" s="16"/>
      <c r="D972" s="40"/>
      <c r="E972" s="16"/>
      <c r="F972" s="41"/>
      <c r="G972" s="16"/>
      <c r="H972" s="16"/>
      <c r="I972" s="16"/>
      <c r="J972" s="22"/>
      <c r="K972" s="16"/>
      <c r="L972" s="16"/>
      <c r="M972" s="16"/>
      <c r="N972" s="19"/>
      <c r="O972" s="19"/>
      <c r="P972" s="19"/>
      <c r="Q972" s="19"/>
      <c r="R972" s="19"/>
      <c r="S972" s="19"/>
      <c r="T972" s="19"/>
      <c r="U972" s="19"/>
      <c r="V972" s="19"/>
      <c r="W972" s="20"/>
      <c r="X972" s="43"/>
    </row>
    <row r="973" spans="1:24" ht="15.75" hidden="1" customHeight="1" x14ac:dyDescent="0.25">
      <c r="A973" s="16"/>
      <c r="B973" s="16" t="str">
        <f t="shared" si="3"/>
        <v/>
      </c>
      <c r="C973" s="16"/>
      <c r="D973" s="40"/>
      <c r="E973" s="16"/>
      <c r="F973" s="41"/>
      <c r="G973" s="16"/>
      <c r="H973" s="16"/>
      <c r="I973" s="16"/>
      <c r="J973" s="22"/>
      <c r="K973" s="16"/>
      <c r="L973" s="16"/>
      <c r="M973" s="16"/>
      <c r="N973" s="19"/>
      <c r="O973" s="19"/>
      <c r="P973" s="19"/>
      <c r="Q973" s="19"/>
      <c r="R973" s="19"/>
      <c r="S973" s="19"/>
      <c r="T973" s="19"/>
      <c r="U973" s="19"/>
      <c r="V973" s="19"/>
      <c r="W973" s="20"/>
      <c r="X973" s="43"/>
    </row>
    <row r="974" spans="1:24" ht="15.75" hidden="1" customHeight="1" x14ac:dyDescent="0.25">
      <c r="A974" s="16"/>
      <c r="B974" s="16" t="str">
        <f t="shared" si="3"/>
        <v/>
      </c>
      <c r="C974" s="16"/>
      <c r="D974" s="40"/>
      <c r="E974" s="16"/>
      <c r="F974" s="41"/>
      <c r="G974" s="16"/>
      <c r="H974" s="16"/>
      <c r="I974" s="16"/>
      <c r="J974" s="22"/>
      <c r="K974" s="16"/>
      <c r="L974" s="16"/>
      <c r="M974" s="16"/>
      <c r="N974" s="19"/>
      <c r="O974" s="19"/>
      <c r="P974" s="19"/>
      <c r="Q974" s="19"/>
      <c r="R974" s="19"/>
      <c r="S974" s="19"/>
      <c r="T974" s="19"/>
      <c r="U974" s="19"/>
      <c r="V974" s="19"/>
      <c r="W974" s="20"/>
      <c r="X974" s="43"/>
    </row>
    <row r="975" spans="1:24" ht="15.75" hidden="1" customHeight="1" x14ac:dyDescent="0.25">
      <c r="A975" s="16"/>
      <c r="B975" s="16" t="str">
        <f t="shared" si="3"/>
        <v/>
      </c>
      <c r="C975" s="16"/>
      <c r="D975" s="40"/>
      <c r="E975" s="16"/>
      <c r="F975" s="41"/>
      <c r="G975" s="16"/>
      <c r="H975" s="16"/>
      <c r="I975" s="16"/>
      <c r="J975" s="22"/>
      <c r="K975" s="16"/>
      <c r="L975" s="16"/>
      <c r="M975" s="16"/>
      <c r="N975" s="19"/>
      <c r="O975" s="19"/>
      <c r="P975" s="19"/>
      <c r="Q975" s="19"/>
      <c r="R975" s="19"/>
      <c r="S975" s="19"/>
      <c r="T975" s="19"/>
      <c r="U975" s="19"/>
      <c r="V975" s="19"/>
      <c r="W975" s="20"/>
      <c r="X975" s="43"/>
    </row>
    <row r="976" spans="1:24" ht="15.75" hidden="1" customHeight="1" x14ac:dyDescent="0.25">
      <c r="A976" s="16"/>
      <c r="B976" s="16" t="str">
        <f t="shared" si="3"/>
        <v/>
      </c>
      <c r="C976" s="16"/>
      <c r="D976" s="40"/>
      <c r="E976" s="16"/>
      <c r="F976" s="41"/>
      <c r="G976" s="16"/>
      <c r="H976" s="16"/>
      <c r="I976" s="16"/>
      <c r="J976" s="22"/>
      <c r="K976" s="16"/>
      <c r="L976" s="16"/>
      <c r="M976" s="16"/>
      <c r="N976" s="19"/>
      <c r="O976" s="19"/>
      <c r="P976" s="19"/>
      <c r="Q976" s="19"/>
      <c r="R976" s="19"/>
      <c r="S976" s="19"/>
      <c r="T976" s="19"/>
      <c r="U976" s="19"/>
      <c r="V976" s="19"/>
      <c r="W976" s="20"/>
      <c r="X976" s="43"/>
    </row>
    <row r="977" spans="1:24" ht="15.75" hidden="1" customHeight="1" x14ac:dyDescent="0.25">
      <c r="A977" s="16"/>
      <c r="B977" s="16" t="str">
        <f t="shared" si="3"/>
        <v/>
      </c>
      <c r="C977" s="16"/>
      <c r="D977" s="40"/>
      <c r="E977" s="16"/>
      <c r="F977" s="41"/>
      <c r="G977" s="16"/>
      <c r="H977" s="16"/>
      <c r="I977" s="16"/>
      <c r="J977" s="22"/>
      <c r="K977" s="16"/>
      <c r="L977" s="16"/>
      <c r="M977" s="16"/>
      <c r="N977" s="19"/>
      <c r="O977" s="19"/>
      <c r="P977" s="19"/>
      <c r="Q977" s="19"/>
      <c r="R977" s="19"/>
      <c r="S977" s="19"/>
      <c r="T977" s="19"/>
      <c r="U977" s="19"/>
      <c r="V977" s="19"/>
      <c r="W977" s="20"/>
      <c r="X977" s="43"/>
    </row>
    <row r="978" spans="1:24" ht="15.75" hidden="1" customHeight="1" x14ac:dyDescent="0.25">
      <c r="A978" s="16"/>
      <c r="B978" s="16" t="str">
        <f t="shared" si="3"/>
        <v/>
      </c>
      <c r="C978" s="16"/>
      <c r="D978" s="40"/>
      <c r="E978" s="16"/>
      <c r="F978" s="41"/>
      <c r="G978" s="16"/>
      <c r="H978" s="16"/>
      <c r="I978" s="16"/>
      <c r="J978" s="22"/>
      <c r="K978" s="16"/>
      <c r="L978" s="16"/>
      <c r="M978" s="16"/>
      <c r="N978" s="19"/>
      <c r="O978" s="19"/>
      <c r="P978" s="19"/>
      <c r="Q978" s="19"/>
      <c r="R978" s="19"/>
      <c r="S978" s="19"/>
      <c r="T978" s="19"/>
      <c r="U978" s="19"/>
      <c r="V978" s="19"/>
      <c r="W978" s="20"/>
      <c r="X978" s="43"/>
    </row>
    <row r="979" spans="1:24" ht="15.75" hidden="1" customHeight="1" x14ac:dyDescent="0.25">
      <c r="A979" s="16"/>
      <c r="B979" s="16" t="str">
        <f t="shared" si="3"/>
        <v/>
      </c>
      <c r="C979" s="16"/>
      <c r="D979" s="40"/>
      <c r="E979" s="16"/>
      <c r="F979" s="41"/>
      <c r="G979" s="16"/>
      <c r="H979" s="16"/>
      <c r="I979" s="16"/>
      <c r="J979" s="22"/>
      <c r="K979" s="16"/>
      <c r="L979" s="16"/>
      <c r="M979" s="16"/>
      <c r="N979" s="19"/>
      <c r="O979" s="19"/>
      <c r="P979" s="19"/>
      <c r="Q979" s="19"/>
      <c r="R979" s="19"/>
      <c r="S979" s="19"/>
      <c r="T979" s="19"/>
      <c r="U979" s="19"/>
      <c r="V979" s="19"/>
      <c r="W979" s="20"/>
      <c r="X979" s="43"/>
    </row>
    <row r="980" spans="1:24" ht="15.75" hidden="1" customHeight="1" x14ac:dyDescent="0.25">
      <c r="A980" s="16"/>
      <c r="B980" s="16" t="str">
        <f t="shared" si="3"/>
        <v/>
      </c>
      <c r="C980" s="16"/>
      <c r="D980" s="40"/>
      <c r="E980" s="16"/>
      <c r="F980" s="41"/>
      <c r="G980" s="16"/>
      <c r="H980" s="16"/>
      <c r="I980" s="16"/>
      <c r="J980" s="22"/>
      <c r="K980" s="16"/>
      <c r="L980" s="16"/>
      <c r="M980" s="16"/>
      <c r="N980" s="19"/>
      <c r="O980" s="19"/>
      <c r="P980" s="19"/>
      <c r="Q980" s="19"/>
      <c r="R980" s="19"/>
      <c r="S980" s="19"/>
      <c r="T980" s="19"/>
      <c r="U980" s="19"/>
      <c r="V980" s="19"/>
      <c r="W980" s="20"/>
      <c r="X980" s="43"/>
    </row>
    <row r="981" spans="1:24" ht="15.75" hidden="1" customHeight="1" x14ac:dyDescent="0.25">
      <c r="A981" s="16"/>
      <c r="B981" s="16" t="str">
        <f t="shared" si="3"/>
        <v/>
      </c>
      <c r="C981" s="16"/>
      <c r="D981" s="40"/>
      <c r="E981" s="16"/>
      <c r="F981" s="41"/>
      <c r="G981" s="16"/>
      <c r="H981" s="16"/>
      <c r="I981" s="16"/>
      <c r="J981" s="22"/>
      <c r="K981" s="16"/>
      <c r="L981" s="16"/>
      <c r="M981" s="16"/>
      <c r="N981" s="19"/>
      <c r="O981" s="19"/>
      <c r="P981" s="19"/>
      <c r="Q981" s="19"/>
      <c r="R981" s="19"/>
      <c r="S981" s="19"/>
      <c r="T981" s="19"/>
      <c r="U981" s="19"/>
      <c r="V981" s="19"/>
      <c r="W981" s="20"/>
      <c r="X981" s="43"/>
    </row>
    <row r="982" spans="1:24" ht="15.75" hidden="1" customHeight="1" x14ac:dyDescent="0.25">
      <c r="A982" s="16"/>
      <c r="B982" s="16" t="str">
        <f t="shared" si="3"/>
        <v/>
      </c>
      <c r="C982" s="16"/>
      <c r="D982" s="40"/>
      <c r="E982" s="16"/>
      <c r="F982" s="41"/>
      <c r="G982" s="16"/>
      <c r="H982" s="16"/>
      <c r="I982" s="16"/>
      <c r="J982" s="22"/>
      <c r="K982" s="16"/>
      <c r="L982" s="16"/>
      <c r="M982" s="16"/>
      <c r="N982" s="19"/>
      <c r="O982" s="19"/>
      <c r="P982" s="19"/>
      <c r="Q982" s="19"/>
      <c r="R982" s="19"/>
      <c r="S982" s="19"/>
      <c r="T982" s="19"/>
      <c r="U982" s="19"/>
      <c r="V982" s="19"/>
      <c r="W982" s="20"/>
      <c r="X982" s="43"/>
    </row>
    <row r="983" spans="1:24" ht="15.75" hidden="1" customHeight="1" x14ac:dyDescent="0.25">
      <c r="A983" s="16"/>
      <c r="B983" s="16" t="str">
        <f t="shared" si="3"/>
        <v/>
      </c>
      <c r="C983" s="16"/>
      <c r="D983" s="40"/>
      <c r="E983" s="16"/>
      <c r="F983" s="41"/>
      <c r="G983" s="16"/>
      <c r="H983" s="16"/>
      <c r="I983" s="16"/>
      <c r="J983" s="22"/>
      <c r="K983" s="16"/>
      <c r="L983" s="16"/>
      <c r="M983" s="16"/>
      <c r="N983" s="19"/>
      <c r="O983" s="19"/>
      <c r="P983" s="19"/>
      <c r="Q983" s="19"/>
      <c r="R983" s="19"/>
      <c r="S983" s="19"/>
      <c r="T983" s="19"/>
      <c r="U983" s="19"/>
      <c r="V983" s="19"/>
      <c r="W983" s="20"/>
      <c r="X983" s="43"/>
    </row>
    <row r="984" spans="1:24" ht="15.75" hidden="1" customHeight="1" x14ac:dyDescent="0.25">
      <c r="A984" s="16"/>
      <c r="B984" s="16" t="str">
        <f t="shared" si="3"/>
        <v/>
      </c>
      <c r="C984" s="16"/>
      <c r="D984" s="40"/>
      <c r="E984" s="16"/>
      <c r="F984" s="41"/>
      <c r="G984" s="16"/>
      <c r="H984" s="16"/>
      <c r="I984" s="16"/>
      <c r="J984" s="22"/>
      <c r="K984" s="16"/>
      <c r="L984" s="16"/>
      <c r="M984" s="16"/>
      <c r="N984" s="19"/>
      <c r="O984" s="19"/>
      <c r="P984" s="19"/>
      <c r="Q984" s="19"/>
      <c r="R984" s="19"/>
      <c r="S984" s="19"/>
      <c r="T984" s="19"/>
      <c r="U984" s="19"/>
      <c r="V984" s="19"/>
      <c r="W984" s="20"/>
      <c r="X984" s="43"/>
    </row>
    <row r="985" spans="1:24" ht="15.75" hidden="1" customHeight="1" x14ac:dyDescent="0.25">
      <c r="A985" s="16"/>
      <c r="B985" s="16" t="str">
        <f t="shared" si="3"/>
        <v/>
      </c>
      <c r="C985" s="16"/>
      <c r="D985" s="40"/>
      <c r="E985" s="16"/>
      <c r="F985" s="41"/>
      <c r="G985" s="16"/>
      <c r="H985" s="16"/>
      <c r="I985" s="16"/>
      <c r="J985" s="22"/>
      <c r="K985" s="16"/>
      <c r="L985" s="16"/>
      <c r="M985" s="16"/>
      <c r="N985" s="19"/>
      <c r="O985" s="19"/>
      <c r="P985" s="19"/>
      <c r="Q985" s="19"/>
      <c r="R985" s="19"/>
      <c r="S985" s="19"/>
      <c r="T985" s="19"/>
      <c r="U985" s="19"/>
      <c r="V985" s="19"/>
      <c r="W985" s="20"/>
      <c r="X985" s="43"/>
    </row>
    <row r="986" spans="1:24" ht="15.75" hidden="1" customHeight="1" x14ac:dyDescent="0.25">
      <c r="A986" s="16"/>
      <c r="B986" s="16" t="str">
        <f t="shared" si="3"/>
        <v/>
      </c>
      <c r="C986" s="16"/>
      <c r="D986" s="40"/>
      <c r="E986" s="16"/>
      <c r="F986" s="41"/>
      <c r="G986" s="16"/>
      <c r="H986" s="16"/>
      <c r="I986" s="16"/>
      <c r="J986" s="22"/>
      <c r="K986" s="16"/>
      <c r="L986" s="16"/>
      <c r="M986" s="16"/>
      <c r="N986" s="19"/>
      <c r="O986" s="19"/>
      <c r="P986" s="19"/>
      <c r="Q986" s="19"/>
      <c r="R986" s="19"/>
      <c r="S986" s="19"/>
      <c r="T986" s="19"/>
      <c r="U986" s="19"/>
      <c r="V986" s="19"/>
      <c r="W986" s="20"/>
      <c r="X986" s="43"/>
    </row>
    <row r="987" spans="1:24" ht="15.75" hidden="1" customHeight="1" x14ac:dyDescent="0.25">
      <c r="A987" s="16"/>
      <c r="B987" s="16" t="str">
        <f t="shared" si="3"/>
        <v/>
      </c>
      <c r="C987" s="16"/>
      <c r="D987" s="40"/>
      <c r="E987" s="16"/>
      <c r="F987" s="41"/>
      <c r="G987" s="16"/>
      <c r="H987" s="16"/>
      <c r="I987" s="16"/>
      <c r="J987" s="22"/>
      <c r="K987" s="16"/>
      <c r="L987" s="16"/>
      <c r="M987" s="16"/>
      <c r="N987" s="19"/>
      <c r="O987" s="19"/>
      <c r="P987" s="19"/>
      <c r="Q987" s="19"/>
      <c r="R987" s="19"/>
      <c r="S987" s="19"/>
      <c r="T987" s="19"/>
      <c r="U987" s="19"/>
      <c r="V987" s="19"/>
      <c r="W987" s="20"/>
      <c r="X987" s="43"/>
    </row>
    <row r="988" spans="1:24" ht="15.75" hidden="1" customHeight="1" x14ac:dyDescent="0.25">
      <c r="A988" s="16"/>
      <c r="B988" s="16" t="str">
        <f t="shared" si="3"/>
        <v/>
      </c>
      <c r="C988" s="16"/>
      <c r="D988" s="40"/>
      <c r="E988" s="16"/>
      <c r="F988" s="41"/>
      <c r="G988" s="16"/>
      <c r="H988" s="16"/>
      <c r="I988" s="16"/>
      <c r="J988" s="22"/>
      <c r="K988" s="16"/>
      <c r="L988" s="16"/>
      <c r="M988" s="16"/>
      <c r="N988" s="19"/>
      <c r="O988" s="19"/>
      <c r="P988" s="19"/>
      <c r="Q988" s="19"/>
      <c r="R988" s="19"/>
      <c r="S988" s="19"/>
      <c r="T988" s="19"/>
      <c r="U988" s="19"/>
      <c r="V988" s="19"/>
      <c r="W988" s="20"/>
      <c r="X988" s="43"/>
    </row>
    <row r="989" spans="1:24" ht="15.75" hidden="1" customHeight="1" x14ac:dyDescent="0.25">
      <c r="A989" s="16"/>
      <c r="B989" s="16" t="str">
        <f t="shared" si="3"/>
        <v/>
      </c>
      <c r="C989" s="16"/>
      <c r="D989" s="40"/>
      <c r="E989" s="16"/>
      <c r="F989" s="41"/>
      <c r="G989" s="16"/>
      <c r="H989" s="16"/>
      <c r="I989" s="16"/>
      <c r="J989" s="22"/>
      <c r="K989" s="16"/>
      <c r="L989" s="16"/>
      <c r="M989" s="16"/>
      <c r="N989" s="19"/>
      <c r="O989" s="19"/>
      <c r="P989" s="19"/>
      <c r="Q989" s="19"/>
      <c r="R989" s="19"/>
      <c r="S989" s="19"/>
      <c r="T989" s="19"/>
      <c r="U989" s="19"/>
      <c r="V989" s="19"/>
      <c r="W989" s="20"/>
      <c r="X989" s="43"/>
    </row>
    <row r="990" spans="1:24" ht="15.75" hidden="1" customHeight="1" x14ac:dyDescent="0.25">
      <c r="A990" s="16"/>
      <c r="B990" s="16" t="str">
        <f t="shared" si="3"/>
        <v/>
      </c>
      <c r="C990" s="16"/>
      <c r="D990" s="40"/>
      <c r="E990" s="16"/>
      <c r="F990" s="41"/>
      <c r="G990" s="16"/>
      <c r="H990" s="16"/>
      <c r="I990" s="16"/>
      <c r="J990" s="22"/>
      <c r="K990" s="16"/>
      <c r="L990" s="16"/>
      <c r="M990" s="16"/>
      <c r="N990" s="19"/>
      <c r="O990" s="19"/>
      <c r="P990" s="19"/>
      <c r="Q990" s="19"/>
      <c r="R990" s="19"/>
      <c r="S990" s="19"/>
      <c r="T990" s="19"/>
      <c r="U990" s="19"/>
      <c r="V990" s="19"/>
      <c r="W990" s="20"/>
      <c r="X990" s="43"/>
    </row>
    <row r="991" spans="1:24" ht="15.75" hidden="1" customHeight="1" x14ac:dyDescent="0.25">
      <c r="A991" s="16"/>
      <c r="B991" s="16" t="str">
        <f t="shared" si="3"/>
        <v/>
      </c>
      <c r="C991" s="16"/>
      <c r="D991" s="40"/>
      <c r="E991" s="16"/>
      <c r="F991" s="41"/>
      <c r="G991" s="16"/>
      <c r="H991" s="16"/>
      <c r="I991" s="16"/>
      <c r="J991" s="22"/>
      <c r="K991" s="16"/>
      <c r="L991" s="16"/>
      <c r="M991" s="16"/>
      <c r="N991" s="19"/>
      <c r="O991" s="19"/>
      <c r="P991" s="19"/>
      <c r="Q991" s="19"/>
      <c r="R991" s="19"/>
      <c r="S991" s="19"/>
      <c r="T991" s="19"/>
      <c r="U991" s="19"/>
      <c r="V991" s="19"/>
      <c r="W991" s="20"/>
      <c r="X991" s="43"/>
    </row>
    <row r="992" spans="1:24" ht="15.75" hidden="1" customHeight="1" x14ac:dyDescent="0.25">
      <c r="A992" s="16"/>
      <c r="B992" s="16" t="str">
        <f t="shared" si="3"/>
        <v/>
      </c>
      <c r="C992" s="16"/>
      <c r="D992" s="40"/>
      <c r="E992" s="16"/>
      <c r="F992" s="41"/>
      <c r="G992" s="16"/>
      <c r="H992" s="16"/>
      <c r="I992" s="16"/>
      <c r="J992" s="22"/>
      <c r="K992" s="16"/>
      <c r="L992" s="16"/>
      <c r="M992" s="16"/>
      <c r="N992" s="19"/>
      <c r="O992" s="19"/>
      <c r="P992" s="19"/>
      <c r="Q992" s="19"/>
      <c r="R992" s="19"/>
      <c r="S992" s="19"/>
      <c r="T992" s="19"/>
      <c r="U992" s="19"/>
      <c r="V992" s="19"/>
      <c r="W992" s="20"/>
      <c r="X992" s="43"/>
    </row>
    <row r="993" spans="1:24" ht="15.75" hidden="1" customHeight="1" x14ac:dyDescent="0.25">
      <c r="A993" s="16"/>
      <c r="B993" s="16" t="str">
        <f t="shared" si="3"/>
        <v/>
      </c>
      <c r="C993" s="16"/>
      <c r="D993" s="40"/>
      <c r="E993" s="16"/>
      <c r="F993" s="41"/>
      <c r="G993" s="16"/>
      <c r="H993" s="16"/>
      <c r="I993" s="16"/>
      <c r="J993" s="22"/>
      <c r="K993" s="16"/>
      <c r="L993" s="16"/>
      <c r="M993" s="16"/>
      <c r="N993" s="19"/>
      <c r="O993" s="19"/>
      <c r="P993" s="19"/>
      <c r="Q993" s="19"/>
      <c r="R993" s="19"/>
      <c r="S993" s="19"/>
      <c r="T993" s="19"/>
      <c r="U993" s="19"/>
      <c r="V993" s="19"/>
      <c r="W993" s="20"/>
      <c r="X993" s="43"/>
    </row>
    <row r="994" spans="1:24" ht="15.75" hidden="1" customHeight="1" x14ac:dyDescent="0.25">
      <c r="A994" s="16"/>
      <c r="B994" s="16" t="str">
        <f t="shared" si="3"/>
        <v/>
      </c>
      <c r="C994" s="16"/>
      <c r="D994" s="40"/>
      <c r="E994" s="16"/>
      <c r="F994" s="41"/>
      <c r="G994" s="16"/>
      <c r="H994" s="16"/>
      <c r="I994" s="16"/>
      <c r="J994" s="22"/>
      <c r="K994" s="16"/>
      <c r="L994" s="16"/>
      <c r="M994" s="16"/>
      <c r="N994" s="19"/>
      <c r="O994" s="19"/>
      <c r="P994" s="19"/>
      <c r="Q994" s="19"/>
      <c r="R994" s="19"/>
      <c r="S994" s="19"/>
      <c r="T994" s="19"/>
      <c r="U994" s="19"/>
      <c r="V994" s="19"/>
      <c r="W994" s="20"/>
      <c r="X994" s="43"/>
    </row>
    <row r="995" spans="1:24" ht="15.75" hidden="1" customHeight="1" x14ac:dyDescent="0.25">
      <c r="A995" s="16"/>
      <c r="B995" s="16" t="str">
        <f t="shared" si="3"/>
        <v/>
      </c>
      <c r="C995" s="16"/>
      <c r="D995" s="40"/>
      <c r="E995" s="16"/>
      <c r="F995" s="41"/>
      <c r="G995" s="16"/>
      <c r="H995" s="16"/>
      <c r="I995" s="16"/>
      <c r="J995" s="22"/>
      <c r="K995" s="16"/>
      <c r="L995" s="16"/>
      <c r="M995" s="16"/>
      <c r="N995" s="19"/>
      <c r="O995" s="19"/>
      <c r="P995" s="19"/>
      <c r="Q995" s="19"/>
      <c r="R995" s="19"/>
      <c r="S995" s="19"/>
      <c r="T995" s="19"/>
      <c r="U995" s="19"/>
      <c r="V995" s="19"/>
      <c r="W995" s="20"/>
      <c r="X995" s="43"/>
    </row>
    <row r="996" spans="1:24" ht="15.75" hidden="1" customHeight="1" x14ac:dyDescent="0.25">
      <c r="A996" s="16"/>
      <c r="B996" s="16" t="str">
        <f t="shared" si="3"/>
        <v/>
      </c>
      <c r="C996" s="16"/>
      <c r="D996" s="40"/>
      <c r="E996" s="16"/>
      <c r="F996" s="41"/>
      <c r="G996" s="16"/>
      <c r="H996" s="16"/>
      <c r="I996" s="16"/>
      <c r="J996" s="22"/>
      <c r="K996" s="16"/>
      <c r="L996" s="16"/>
      <c r="M996" s="16"/>
      <c r="N996" s="19"/>
      <c r="O996" s="19"/>
      <c r="P996" s="19"/>
      <c r="Q996" s="19"/>
      <c r="R996" s="19"/>
      <c r="S996" s="19"/>
      <c r="T996" s="19"/>
      <c r="U996" s="19"/>
      <c r="V996" s="19"/>
      <c r="W996" s="20"/>
      <c r="X996" s="43"/>
    </row>
    <row r="997" spans="1:24" ht="15.75" hidden="1" customHeight="1" x14ac:dyDescent="0.25">
      <c r="A997" s="16"/>
      <c r="B997" s="16" t="str">
        <f t="shared" si="3"/>
        <v/>
      </c>
      <c r="C997" s="16"/>
      <c r="D997" s="40"/>
      <c r="E997" s="16"/>
      <c r="F997" s="41"/>
      <c r="G997" s="16"/>
      <c r="H997" s="16"/>
      <c r="I997" s="16"/>
      <c r="J997" s="22"/>
      <c r="K997" s="16"/>
      <c r="L997" s="16"/>
      <c r="M997" s="16"/>
      <c r="N997" s="19"/>
      <c r="O997" s="19"/>
      <c r="P997" s="19"/>
      <c r="Q997" s="19"/>
      <c r="R997" s="19"/>
      <c r="S997" s="19"/>
      <c r="T997" s="19"/>
      <c r="U997" s="19"/>
      <c r="V997" s="19"/>
      <c r="W997" s="20"/>
      <c r="X997" s="43"/>
    </row>
    <row r="998" spans="1:24" ht="15.75" hidden="1" customHeight="1" x14ac:dyDescent="0.25">
      <c r="A998" s="16"/>
      <c r="B998" s="16" t="str">
        <f t="shared" si="3"/>
        <v/>
      </c>
      <c r="C998" s="16"/>
      <c r="D998" s="40"/>
      <c r="E998" s="16"/>
      <c r="F998" s="41"/>
      <c r="G998" s="16"/>
      <c r="H998" s="16"/>
      <c r="I998" s="16"/>
      <c r="J998" s="22"/>
      <c r="K998" s="16"/>
      <c r="L998" s="16"/>
      <c r="M998" s="16"/>
      <c r="N998" s="19"/>
      <c r="O998" s="19"/>
      <c r="P998" s="19"/>
      <c r="Q998" s="19"/>
      <c r="R998" s="19"/>
      <c r="S998" s="19"/>
      <c r="T998" s="19"/>
      <c r="U998" s="19"/>
      <c r="V998" s="19"/>
      <c r="W998" s="20"/>
      <c r="X998" s="43"/>
    </row>
    <row r="999" spans="1:24" ht="15.75" hidden="1" customHeight="1" x14ac:dyDescent="0.25">
      <c r="A999" s="16"/>
      <c r="B999" s="16" t="str">
        <f t="shared" si="3"/>
        <v/>
      </c>
      <c r="C999" s="16"/>
      <c r="D999" s="40"/>
      <c r="E999" s="16"/>
      <c r="F999" s="41"/>
      <c r="G999" s="16"/>
      <c r="H999" s="16"/>
      <c r="I999" s="16"/>
      <c r="J999" s="22"/>
      <c r="K999" s="16"/>
      <c r="L999" s="16"/>
      <c r="M999" s="16"/>
      <c r="N999" s="19"/>
      <c r="O999" s="19"/>
      <c r="P999" s="19"/>
      <c r="Q999" s="19"/>
      <c r="R999" s="19"/>
      <c r="S999" s="19"/>
      <c r="T999" s="19"/>
      <c r="U999" s="19"/>
      <c r="V999" s="19"/>
      <c r="W999" s="20"/>
      <c r="X999" s="43"/>
    </row>
    <row r="1000" spans="1:24" ht="15.75" hidden="1" customHeight="1" x14ac:dyDescent="0.25">
      <c r="A1000" s="16"/>
      <c r="B1000" s="16" t="str">
        <f t="shared" si="3"/>
        <v/>
      </c>
      <c r="C1000" s="16"/>
      <c r="D1000" s="40"/>
      <c r="E1000" s="16"/>
      <c r="F1000" s="41"/>
      <c r="G1000" s="16"/>
      <c r="H1000" s="16"/>
      <c r="I1000" s="16"/>
      <c r="J1000" s="22"/>
      <c r="K1000" s="16"/>
      <c r="L1000" s="16"/>
      <c r="M1000" s="16"/>
      <c r="N1000" s="19"/>
      <c r="O1000" s="19"/>
      <c r="P1000" s="19"/>
      <c r="Q1000" s="19"/>
      <c r="R1000" s="19"/>
      <c r="S1000" s="19"/>
      <c r="T1000" s="19"/>
      <c r="U1000" s="19"/>
      <c r="V1000" s="19"/>
      <c r="W1000" s="20"/>
      <c r="X1000" s="43"/>
    </row>
    <row r="1001" spans="1:24" ht="15.75" hidden="1" customHeight="1" x14ac:dyDescent="0.25">
      <c r="A1001" s="16"/>
      <c r="B1001" s="16" t="str">
        <f t="shared" si="3"/>
        <v/>
      </c>
      <c r="C1001" s="16"/>
      <c r="D1001" s="40"/>
      <c r="E1001" s="16"/>
      <c r="F1001" s="41"/>
      <c r="G1001" s="16"/>
      <c r="H1001" s="16"/>
      <c r="I1001" s="16"/>
      <c r="J1001" s="22"/>
      <c r="K1001" s="16"/>
      <c r="L1001" s="16"/>
      <c r="M1001" s="16"/>
      <c r="N1001" s="19"/>
      <c r="O1001" s="19"/>
      <c r="P1001" s="19"/>
      <c r="Q1001" s="19"/>
      <c r="R1001" s="19"/>
      <c r="S1001" s="19"/>
      <c r="T1001" s="19"/>
      <c r="U1001" s="19"/>
      <c r="V1001" s="19"/>
      <c r="W1001" s="20"/>
    </row>
    <row r="1002" spans="1:24" ht="15.75" hidden="1" customHeight="1" x14ac:dyDescent="0.25">
      <c r="A1002" s="16"/>
      <c r="B1002" s="16" t="str">
        <f t="shared" si="3"/>
        <v/>
      </c>
      <c r="C1002" s="16"/>
      <c r="D1002" s="40"/>
      <c r="E1002" s="16"/>
      <c r="F1002" s="41"/>
      <c r="G1002" s="16"/>
      <c r="H1002" s="16"/>
      <c r="I1002" s="16"/>
      <c r="J1002" s="22"/>
      <c r="K1002" s="16"/>
      <c r="L1002" s="16"/>
      <c r="M1002" s="16"/>
      <c r="N1002" s="19"/>
      <c r="O1002" s="19"/>
      <c r="P1002" s="19"/>
      <c r="Q1002" s="19"/>
      <c r="R1002" s="19"/>
      <c r="S1002" s="19"/>
      <c r="T1002" s="19"/>
      <c r="U1002" s="19"/>
      <c r="V1002" s="19"/>
      <c r="W1002" s="20"/>
    </row>
    <row r="1003" spans="1:24" ht="15.75" hidden="1" customHeight="1" x14ac:dyDescent="0.25">
      <c r="A1003" s="16"/>
      <c r="B1003" s="16" t="str">
        <f t="shared" si="3"/>
        <v/>
      </c>
      <c r="C1003" s="16"/>
      <c r="D1003" s="40"/>
      <c r="E1003" s="16"/>
      <c r="F1003" s="41"/>
      <c r="G1003" s="16"/>
      <c r="H1003" s="16"/>
      <c r="I1003" s="16"/>
      <c r="J1003" s="22"/>
      <c r="K1003" s="16"/>
      <c r="L1003" s="16"/>
      <c r="M1003" s="16"/>
      <c r="N1003" s="19"/>
      <c r="O1003" s="19"/>
      <c r="P1003" s="19"/>
      <c r="Q1003" s="19"/>
      <c r="R1003" s="19"/>
      <c r="S1003" s="19"/>
      <c r="T1003" s="19"/>
      <c r="U1003" s="19"/>
      <c r="V1003" s="19"/>
      <c r="W1003" s="20"/>
    </row>
    <row r="1004" spans="1:24" ht="15.75" hidden="1" customHeight="1" x14ac:dyDescent="0.25">
      <c r="A1004" s="16"/>
      <c r="B1004" s="16" t="str">
        <f t="shared" si="3"/>
        <v/>
      </c>
      <c r="C1004" s="16"/>
      <c r="D1004" s="40"/>
      <c r="E1004" s="16"/>
      <c r="F1004" s="41"/>
      <c r="G1004" s="16"/>
      <c r="H1004" s="16"/>
      <c r="I1004" s="16"/>
      <c r="J1004" s="22"/>
      <c r="K1004" s="16"/>
      <c r="L1004" s="16"/>
      <c r="M1004" s="16"/>
      <c r="N1004" s="19"/>
      <c r="O1004" s="19"/>
      <c r="P1004" s="19"/>
      <c r="Q1004" s="19"/>
      <c r="R1004" s="19"/>
      <c r="S1004" s="19"/>
      <c r="T1004" s="19"/>
      <c r="U1004" s="19"/>
      <c r="V1004" s="19"/>
      <c r="W1004" s="20"/>
    </row>
    <row r="1005" spans="1:24" ht="15.75" hidden="1" customHeight="1" x14ac:dyDescent="0.25">
      <c r="A1005" s="16"/>
      <c r="B1005" s="16" t="str">
        <f t="shared" si="3"/>
        <v/>
      </c>
      <c r="C1005" s="16"/>
      <c r="D1005" s="40"/>
      <c r="E1005" s="16"/>
      <c r="F1005" s="41"/>
      <c r="G1005" s="16"/>
      <c r="H1005" s="16"/>
      <c r="I1005" s="16"/>
      <c r="J1005" s="22"/>
      <c r="K1005" s="16"/>
      <c r="L1005" s="16"/>
      <c r="M1005" s="16"/>
      <c r="N1005" s="19"/>
      <c r="O1005" s="19"/>
      <c r="P1005" s="19"/>
      <c r="Q1005" s="19"/>
      <c r="R1005" s="19"/>
      <c r="S1005" s="19"/>
      <c r="T1005" s="19"/>
      <c r="U1005" s="19"/>
      <c r="V1005" s="19"/>
      <c r="W1005" s="20"/>
    </row>
    <row r="1006" spans="1:24" ht="15.75" hidden="1" customHeight="1" x14ac:dyDescent="0.25">
      <c r="A1006" s="16"/>
      <c r="B1006" s="16" t="str">
        <f t="shared" si="3"/>
        <v/>
      </c>
      <c r="C1006" s="16"/>
      <c r="D1006" s="40"/>
      <c r="E1006" s="16"/>
      <c r="F1006" s="41"/>
      <c r="G1006" s="16"/>
      <c r="H1006" s="16"/>
      <c r="I1006" s="16"/>
      <c r="J1006" s="22"/>
      <c r="K1006" s="16"/>
      <c r="L1006" s="16"/>
      <c r="M1006" s="16"/>
      <c r="N1006" s="19"/>
      <c r="O1006" s="19"/>
      <c r="P1006" s="19"/>
      <c r="Q1006" s="19"/>
      <c r="R1006" s="19"/>
      <c r="S1006" s="19"/>
      <c r="T1006" s="19"/>
      <c r="U1006" s="19"/>
      <c r="V1006" s="19"/>
      <c r="W1006" s="20"/>
    </row>
    <row r="1007" spans="1:24" ht="15.75" hidden="1" customHeight="1" x14ac:dyDescent="0.25">
      <c r="A1007" s="16"/>
      <c r="B1007" s="16" t="str">
        <f t="shared" si="3"/>
        <v/>
      </c>
      <c r="C1007" s="16"/>
      <c r="D1007" s="40"/>
      <c r="E1007" s="16"/>
      <c r="F1007" s="41"/>
      <c r="G1007" s="16"/>
      <c r="H1007" s="16"/>
      <c r="I1007" s="16"/>
      <c r="J1007" s="22"/>
      <c r="K1007" s="16"/>
      <c r="L1007" s="16"/>
      <c r="M1007" s="16"/>
      <c r="N1007" s="19"/>
      <c r="O1007" s="19"/>
      <c r="P1007" s="19"/>
      <c r="Q1007" s="19"/>
      <c r="R1007" s="19"/>
      <c r="S1007" s="19"/>
      <c r="T1007" s="19"/>
      <c r="U1007" s="19"/>
      <c r="V1007" s="19"/>
      <c r="W1007" s="20"/>
    </row>
    <row r="1008" spans="1:24" ht="15.75" hidden="1" customHeight="1" x14ac:dyDescent="0.25">
      <c r="A1008" s="16"/>
      <c r="B1008" s="16" t="str">
        <f t="shared" si="3"/>
        <v/>
      </c>
      <c r="C1008" s="16"/>
      <c r="D1008" s="40"/>
      <c r="E1008" s="16"/>
      <c r="F1008" s="41"/>
      <c r="G1008" s="16"/>
      <c r="H1008" s="16"/>
      <c r="I1008" s="16"/>
      <c r="J1008" s="22"/>
      <c r="K1008" s="16"/>
      <c r="L1008" s="16"/>
      <c r="M1008" s="16"/>
      <c r="N1008" s="19"/>
      <c r="O1008" s="19"/>
      <c r="P1008" s="19"/>
      <c r="Q1008" s="19"/>
      <c r="R1008" s="19"/>
      <c r="S1008" s="19"/>
      <c r="T1008" s="19"/>
      <c r="U1008" s="19"/>
      <c r="V1008" s="19"/>
      <c r="W1008" s="20"/>
    </row>
    <row r="1009" spans="1:23" ht="15.75" hidden="1" customHeight="1" x14ac:dyDescent="0.25">
      <c r="A1009" s="16"/>
      <c r="B1009" s="16" t="str">
        <f t="shared" si="3"/>
        <v/>
      </c>
      <c r="C1009" s="16"/>
      <c r="D1009" s="40"/>
      <c r="E1009" s="16"/>
      <c r="F1009" s="41"/>
      <c r="G1009" s="16"/>
      <c r="H1009" s="16"/>
      <c r="I1009" s="16"/>
      <c r="J1009" s="22"/>
      <c r="K1009" s="16"/>
      <c r="L1009" s="16"/>
      <c r="M1009" s="16"/>
      <c r="N1009" s="19"/>
      <c r="O1009" s="19"/>
      <c r="P1009" s="19"/>
      <c r="Q1009" s="19"/>
      <c r="R1009" s="19"/>
      <c r="S1009" s="19"/>
      <c r="T1009" s="19"/>
      <c r="U1009" s="19"/>
      <c r="V1009" s="19"/>
      <c r="W1009" s="20"/>
    </row>
    <row r="1010" spans="1:23" ht="15.75" hidden="1" customHeight="1" x14ac:dyDescent="0.25">
      <c r="A1010" s="16"/>
      <c r="B1010" s="16" t="str">
        <f t="shared" si="3"/>
        <v/>
      </c>
      <c r="C1010" s="16"/>
      <c r="D1010" s="40"/>
      <c r="E1010" s="16"/>
      <c r="F1010" s="41"/>
      <c r="G1010" s="16"/>
      <c r="H1010" s="16"/>
      <c r="I1010" s="16"/>
      <c r="J1010" s="22"/>
      <c r="K1010" s="16"/>
      <c r="L1010" s="16"/>
      <c r="M1010" s="16"/>
      <c r="N1010" s="19"/>
      <c r="O1010" s="19"/>
      <c r="P1010" s="19"/>
      <c r="Q1010" s="19"/>
      <c r="R1010" s="19"/>
      <c r="S1010" s="19"/>
      <c r="T1010" s="19"/>
      <c r="U1010" s="19"/>
      <c r="V1010" s="19"/>
      <c r="W1010" s="20"/>
    </row>
    <row r="1011" spans="1:23" ht="15.75" hidden="1" customHeight="1" x14ac:dyDescent="0.25">
      <c r="A1011" s="16"/>
      <c r="B1011" s="16" t="str">
        <f t="shared" si="3"/>
        <v/>
      </c>
      <c r="C1011" s="16"/>
      <c r="D1011" s="40"/>
      <c r="E1011" s="16"/>
      <c r="F1011" s="41"/>
      <c r="G1011" s="16"/>
      <c r="H1011" s="16"/>
      <c r="I1011" s="16"/>
      <c r="J1011" s="22"/>
      <c r="K1011" s="16"/>
      <c r="L1011" s="16"/>
      <c r="M1011" s="16"/>
      <c r="N1011" s="19"/>
      <c r="O1011" s="19"/>
      <c r="P1011" s="19"/>
      <c r="Q1011" s="19"/>
      <c r="R1011" s="19"/>
      <c r="S1011" s="19"/>
      <c r="T1011" s="19"/>
      <c r="U1011" s="19"/>
      <c r="V1011" s="19"/>
      <c r="W1011" s="20"/>
    </row>
    <row r="1012" spans="1:23" ht="15.75" hidden="1" customHeight="1" x14ac:dyDescent="0.25">
      <c r="A1012" s="16"/>
      <c r="B1012" s="16" t="str">
        <f t="shared" si="3"/>
        <v/>
      </c>
      <c r="C1012" s="16"/>
      <c r="D1012" s="40"/>
      <c r="E1012" s="16"/>
      <c r="F1012" s="41"/>
      <c r="G1012" s="16"/>
      <c r="H1012" s="16"/>
      <c r="I1012" s="16"/>
      <c r="J1012" s="22"/>
      <c r="K1012" s="16"/>
      <c r="L1012" s="16"/>
      <c r="M1012" s="16"/>
      <c r="N1012" s="19"/>
      <c r="O1012" s="19"/>
      <c r="P1012" s="19"/>
      <c r="Q1012" s="19"/>
      <c r="R1012" s="19"/>
      <c r="S1012" s="19"/>
      <c r="T1012" s="19"/>
      <c r="U1012" s="19"/>
      <c r="V1012" s="19"/>
      <c r="W1012" s="20"/>
    </row>
    <row r="1013" spans="1:23" ht="15.75" hidden="1" customHeight="1" x14ac:dyDescent="0.25">
      <c r="A1013" s="16"/>
      <c r="B1013" s="16" t="str">
        <f t="shared" si="3"/>
        <v/>
      </c>
      <c r="C1013" s="16"/>
      <c r="D1013" s="40"/>
      <c r="E1013" s="16"/>
      <c r="F1013" s="41"/>
      <c r="G1013" s="16"/>
      <c r="H1013" s="16"/>
      <c r="I1013" s="16"/>
      <c r="J1013" s="22"/>
      <c r="K1013" s="16"/>
      <c r="L1013" s="16"/>
      <c r="M1013" s="16"/>
      <c r="N1013" s="19"/>
      <c r="O1013" s="19"/>
      <c r="P1013" s="19"/>
      <c r="Q1013" s="19"/>
      <c r="R1013" s="19"/>
      <c r="S1013" s="19"/>
      <c r="T1013" s="19"/>
      <c r="U1013" s="19"/>
      <c r="V1013" s="19"/>
      <c r="W1013" s="20"/>
    </row>
    <row r="1014" spans="1:23" ht="15.75" hidden="1" customHeight="1" x14ac:dyDescent="0.25">
      <c r="A1014" s="16"/>
      <c r="B1014" s="16" t="str">
        <f t="shared" si="3"/>
        <v/>
      </c>
      <c r="C1014" s="16"/>
      <c r="D1014" s="40"/>
      <c r="E1014" s="16"/>
      <c r="F1014" s="41"/>
      <c r="G1014" s="16"/>
      <c r="H1014" s="16"/>
      <c r="I1014" s="16"/>
      <c r="J1014" s="22"/>
      <c r="K1014" s="16"/>
      <c r="L1014" s="16"/>
      <c r="M1014" s="16"/>
      <c r="N1014" s="19"/>
      <c r="O1014" s="19"/>
      <c r="P1014" s="19"/>
      <c r="Q1014" s="19"/>
      <c r="R1014" s="19"/>
      <c r="S1014" s="19"/>
      <c r="T1014" s="19"/>
      <c r="U1014" s="19"/>
      <c r="V1014" s="19"/>
      <c r="W1014" s="20"/>
    </row>
    <row r="1015" spans="1:23" ht="15.75" hidden="1" customHeight="1" x14ac:dyDescent="0.25">
      <c r="A1015" s="16"/>
      <c r="B1015" s="16" t="str">
        <f t="shared" si="3"/>
        <v/>
      </c>
      <c r="C1015" s="16"/>
      <c r="D1015" s="40"/>
      <c r="E1015" s="16"/>
      <c r="F1015" s="41"/>
      <c r="G1015" s="16"/>
      <c r="H1015" s="16"/>
      <c r="I1015" s="16"/>
      <c r="J1015" s="22"/>
      <c r="K1015" s="16"/>
      <c r="L1015" s="16"/>
      <c r="M1015" s="16"/>
      <c r="N1015" s="19"/>
      <c r="O1015" s="19"/>
      <c r="P1015" s="19"/>
      <c r="Q1015" s="19"/>
      <c r="R1015" s="19"/>
      <c r="S1015" s="19"/>
      <c r="T1015" s="19"/>
      <c r="U1015" s="19"/>
      <c r="V1015" s="19"/>
      <c r="W1015" s="20"/>
    </row>
    <row r="1016" spans="1:23" ht="15.75" hidden="1" customHeight="1" x14ac:dyDescent="0.25">
      <c r="A1016" s="16"/>
      <c r="B1016" s="16" t="str">
        <f t="shared" si="3"/>
        <v/>
      </c>
      <c r="C1016" s="16"/>
      <c r="D1016" s="40"/>
      <c r="E1016" s="16"/>
      <c r="F1016" s="41"/>
      <c r="G1016" s="16"/>
      <c r="H1016" s="16"/>
      <c r="I1016" s="16"/>
      <c r="J1016" s="22"/>
      <c r="K1016" s="16"/>
      <c r="L1016" s="16"/>
      <c r="M1016" s="16"/>
      <c r="N1016" s="19"/>
      <c r="O1016" s="19"/>
      <c r="P1016" s="19"/>
      <c r="Q1016" s="19"/>
      <c r="R1016" s="19"/>
      <c r="S1016" s="19"/>
      <c r="T1016" s="19"/>
      <c r="U1016" s="19"/>
      <c r="V1016" s="19"/>
      <c r="W1016" s="20"/>
    </row>
    <row r="1017" spans="1:23" ht="15.75" hidden="1" customHeight="1" x14ac:dyDescent="0.25">
      <c r="A1017" s="16"/>
      <c r="B1017" s="16" t="str">
        <f t="shared" si="3"/>
        <v/>
      </c>
      <c r="C1017" s="16"/>
      <c r="D1017" s="40"/>
      <c r="E1017" s="16"/>
      <c r="F1017" s="41"/>
      <c r="G1017" s="16"/>
      <c r="H1017" s="16"/>
      <c r="I1017" s="16"/>
      <c r="J1017" s="22"/>
      <c r="K1017" s="16"/>
      <c r="L1017" s="16"/>
      <c r="M1017" s="16"/>
      <c r="N1017" s="19"/>
      <c r="O1017" s="19"/>
      <c r="P1017" s="19"/>
      <c r="Q1017" s="19"/>
      <c r="R1017" s="19"/>
      <c r="S1017" s="19"/>
      <c r="T1017" s="19"/>
      <c r="U1017" s="19"/>
      <c r="V1017" s="19"/>
      <c r="W1017" s="20"/>
    </row>
    <row r="1018" spans="1:23" ht="15.75" hidden="1" customHeight="1" x14ac:dyDescent="0.25">
      <c r="A1018" s="16"/>
      <c r="B1018" s="16" t="str">
        <f t="shared" si="3"/>
        <v/>
      </c>
      <c r="C1018" s="16"/>
      <c r="D1018" s="40"/>
      <c r="E1018" s="16"/>
      <c r="F1018" s="41"/>
      <c r="G1018" s="16"/>
      <c r="H1018" s="16"/>
      <c r="I1018" s="16"/>
      <c r="J1018" s="22"/>
      <c r="K1018" s="16"/>
      <c r="L1018" s="16"/>
      <c r="M1018" s="16"/>
      <c r="N1018" s="19"/>
      <c r="O1018" s="19"/>
      <c r="P1018" s="19"/>
      <c r="Q1018" s="19"/>
      <c r="R1018" s="19"/>
      <c r="S1018" s="19"/>
      <c r="T1018" s="19"/>
      <c r="U1018" s="19"/>
      <c r="V1018" s="19"/>
      <c r="W1018" s="20"/>
    </row>
    <row r="1019" spans="1:23" ht="15.75" hidden="1" customHeight="1" x14ac:dyDescent="0.25">
      <c r="A1019" s="16"/>
      <c r="B1019" s="16" t="str">
        <f t="shared" si="3"/>
        <v/>
      </c>
      <c r="C1019" s="16"/>
      <c r="D1019" s="40"/>
      <c r="E1019" s="16"/>
      <c r="F1019" s="41"/>
      <c r="G1019" s="16"/>
      <c r="H1019" s="16"/>
      <c r="I1019" s="16"/>
      <c r="J1019" s="22"/>
      <c r="K1019" s="16"/>
      <c r="L1019" s="16"/>
      <c r="M1019" s="16"/>
      <c r="N1019" s="19"/>
      <c r="O1019" s="19"/>
      <c r="P1019" s="19"/>
      <c r="Q1019" s="19"/>
      <c r="R1019" s="19"/>
      <c r="S1019" s="19"/>
      <c r="T1019" s="19"/>
      <c r="U1019" s="19"/>
      <c r="V1019" s="19"/>
      <c r="W1019" s="20"/>
    </row>
    <row r="1020" spans="1:23" ht="15.75" hidden="1" customHeight="1" x14ac:dyDescent="0.25">
      <c r="A1020" s="16"/>
      <c r="B1020" s="16" t="str">
        <f t="shared" si="3"/>
        <v/>
      </c>
      <c r="C1020" s="16"/>
      <c r="D1020" s="40"/>
      <c r="E1020" s="16"/>
      <c r="F1020" s="41"/>
      <c r="G1020" s="16"/>
      <c r="H1020" s="16"/>
      <c r="I1020" s="16"/>
      <c r="J1020" s="22"/>
      <c r="K1020" s="16"/>
      <c r="L1020" s="16"/>
      <c r="M1020" s="16"/>
      <c r="N1020" s="19"/>
      <c r="O1020" s="19"/>
      <c r="P1020" s="19"/>
      <c r="Q1020" s="19"/>
      <c r="R1020" s="19"/>
      <c r="S1020" s="19"/>
      <c r="T1020" s="19"/>
      <c r="U1020" s="19"/>
      <c r="V1020" s="19"/>
      <c r="W1020" s="20"/>
    </row>
    <row r="1021" spans="1:23" ht="15.75" hidden="1" customHeight="1" x14ac:dyDescent="0.25">
      <c r="A1021" s="16"/>
      <c r="B1021" s="16" t="str">
        <f t="shared" si="3"/>
        <v/>
      </c>
      <c r="C1021" s="16"/>
      <c r="D1021" s="40"/>
      <c r="E1021" s="16"/>
      <c r="F1021" s="41"/>
      <c r="G1021" s="16"/>
      <c r="H1021" s="16"/>
      <c r="I1021" s="16"/>
      <c r="J1021" s="22"/>
      <c r="K1021" s="16"/>
      <c r="L1021" s="16"/>
      <c r="M1021" s="16"/>
      <c r="N1021" s="19"/>
      <c r="O1021" s="19"/>
      <c r="P1021" s="19"/>
      <c r="Q1021" s="19"/>
      <c r="R1021" s="19"/>
      <c r="S1021" s="19"/>
      <c r="T1021" s="19"/>
      <c r="U1021" s="19"/>
      <c r="V1021" s="19"/>
      <c r="W1021" s="20"/>
    </row>
    <row r="1022" spans="1:23" ht="15.75" hidden="1" customHeight="1" x14ac:dyDescent="0.25">
      <c r="A1022" s="16"/>
      <c r="B1022" s="16" t="str">
        <f t="shared" si="3"/>
        <v/>
      </c>
      <c r="C1022" s="16"/>
      <c r="D1022" s="40"/>
      <c r="E1022" s="16"/>
      <c r="F1022" s="41"/>
      <c r="G1022" s="16"/>
      <c r="H1022" s="16"/>
      <c r="I1022" s="16"/>
      <c r="J1022" s="22"/>
      <c r="K1022" s="16"/>
      <c r="L1022" s="16"/>
      <c r="M1022" s="16"/>
      <c r="N1022" s="19"/>
      <c r="O1022" s="19"/>
      <c r="P1022" s="19"/>
      <c r="Q1022" s="19"/>
      <c r="R1022" s="19"/>
      <c r="S1022" s="19"/>
      <c r="T1022" s="19"/>
      <c r="U1022" s="19"/>
      <c r="V1022" s="19"/>
      <c r="W1022" s="20"/>
    </row>
    <row r="1023" spans="1:23" ht="15.75" customHeight="1" x14ac:dyDescent="0.25">
      <c r="A1023" s="23"/>
      <c r="B1023" s="23" t="str">
        <f t="shared" si="3"/>
        <v/>
      </c>
      <c r="C1023" s="23"/>
      <c r="D1023" s="44"/>
      <c r="E1023" s="23"/>
      <c r="F1023" s="45"/>
      <c r="G1023" s="23"/>
      <c r="H1023" s="23"/>
      <c r="I1023" s="23"/>
      <c r="J1023" s="25"/>
      <c r="K1023" s="23"/>
      <c r="L1023" s="23"/>
      <c r="M1023" s="23"/>
      <c r="N1023" s="26"/>
      <c r="O1023" s="26"/>
      <c r="P1023" s="26"/>
      <c r="Q1023" s="26"/>
      <c r="R1023" s="26"/>
      <c r="S1023" s="26"/>
      <c r="T1023" s="26"/>
      <c r="U1023" s="26"/>
      <c r="V1023" s="26"/>
      <c r="W1023" s="27"/>
    </row>
    <row r="1024" spans="1:23" ht="15.75" customHeight="1" x14ac:dyDescent="0.25">
      <c r="A1024" s="23"/>
      <c r="B1024" s="23" t="str">
        <f t="shared" si="3"/>
        <v/>
      </c>
      <c r="C1024" s="23"/>
      <c r="D1024" s="44"/>
      <c r="E1024" s="23"/>
      <c r="F1024" s="45"/>
      <c r="G1024" s="23"/>
      <c r="H1024" s="23"/>
      <c r="I1024" s="23"/>
      <c r="J1024" s="25"/>
      <c r="K1024" s="23"/>
      <c r="L1024" s="23"/>
      <c r="M1024" s="23"/>
      <c r="N1024" s="26"/>
      <c r="O1024" s="26"/>
      <c r="P1024" s="26"/>
      <c r="Q1024" s="26"/>
      <c r="R1024" s="26"/>
      <c r="S1024" s="26"/>
      <c r="T1024" s="26"/>
      <c r="U1024" s="26"/>
      <c r="V1024" s="26"/>
      <c r="W1024" s="27"/>
    </row>
    <row r="1025" spans="1:26" ht="23.25" customHeight="1" x14ac:dyDescent="0.25">
      <c r="A1025" s="28" t="s">
        <v>33</v>
      </c>
      <c r="B1025" s="28" t="str">
        <f t="shared" si="3"/>
        <v/>
      </c>
      <c r="C1025" s="28"/>
      <c r="D1025" s="28"/>
      <c r="E1025" s="28"/>
      <c r="F1025" s="29"/>
      <c r="G1025" s="28">
        <f ca="1">SUM(G22:G1022)</f>
        <v>25471481664</v>
      </c>
      <c r="H1025" s="28"/>
      <c r="I1025" s="28">
        <f ca="1">SUM(I22:I1022)</f>
        <v>22535172849</v>
      </c>
      <c r="J1025" s="30"/>
      <c r="K1025" s="28">
        <f t="shared" ref="K1025:W1025" ca="1" si="4">SUM(K22:K1022)</f>
        <v>237416591</v>
      </c>
      <c r="L1025" s="28">
        <f t="shared" ca="1" si="4"/>
        <v>1084751500</v>
      </c>
      <c r="M1025" s="28">
        <f t="shared" ca="1" si="4"/>
        <v>2792330265</v>
      </c>
      <c r="N1025" s="28">
        <f t="shared" ca="1" si="4"/>
        <v>2465782911</v>
      </c>
      <c r="O1025" s="28">
        <f t="shared" ca="1" si="4"/>
        <v>3735783972</v>
      </c>
      <c r="P1025" s="28">
        <f t="shared" ca="1" si="4"/>
        <v>3388239961</v>
      </c>
      <c r="Q1025" s="28">
        <f t="shared" ca="1" si="4"/>
        <v>2863048383</v>
      </c>
      <c r="R1025" s="28">
        <f t="shared" ca="1" si="4"/>
        <v>5967819266</v>
      </c>
      <c r="S1025" s="28">
        <f t="shared" ca="1" si="4"/>
        <v>0</v>
      </c>
      <c r="T1025" s="28">
        <f t="shared" ca="1" si="4"/>
        <v>0</v>
      </c>
      <c r="U1025" s="28">
        <f t="shared" ca="1" si="4"/>
        <v>0</v>
      </c>
      <c r="V1025" s="28">
        <f t="shared" ca="1" si="4"/>
        <v>0</v>
      </c>
      <c r="W1025" s="28">
        <f t="shared" ca="1" si="4"/>
        <v>22535172849</v>
      </c>
      <c r="X1025" s="31"/>
      <c r="Y1025" s="32"/>
      <c r="Z1025" s="32"/>
    </row>
    <row r="1026" spans="1:26" ht="15.75" customHeight="1" x14ac:dyDescent="0.25">
      <c r="A1026" s="23"/>
      <c r="B1026" s="23" t="str">
        <f t="shared" si="3"/>
        <v/>
      </c>
      <c r="C1026" s="23"/>
      <c r="D1026" s="44"/>
      <c r="E1026" s="23"/>
      <c r="F1026" s="45"/>
      <c r="G1026" s="23"/>
      <c r="H1026" s="23"/>
      <c r="I1026" s="23"/>
      <c r="J1026" s="25"/>
      <c r="K1026" s="23"/>
      <c r="L1026" s="23"/>
      <c r="M1026" s="23"/>
      <c r="N1026" s="26"/>
      <c r="O1026" s="26"/>
      <c r="P1026" s="26"/>
      <c r="Q1026" s="26"/>
      <c r="R1026" s="26"/>
      <c r="S1026" s="26"/>
      <c r="T1026" s="26"/>
      <c r="U1026" s="26"/>
      <c r="V1026" s="26"/>
      <c r="W1026" s="27"/>
    </row>
    <row r="1027" spans="1:26" ht="15.75" customHeight="1" x14ac:dyDescent="0.25">
      <c r="A1027" s="23"/>
      <c r="B1027" s="23" t="str">
        <f t="shared" si="3"/>
        <v/>
      </c>
      <c r="C1027" s="33" t="s">
        <v>34</v>
      </c>
      <c r="D1027" s="44"/>
      <c r="E1027" s="23"/>
      <c r="F1027" s="45"/>
      <c r="G1027" s="23"/>
      <c r="H1027" s="23"/>
      <c r="I1027" s="23"/>
      <c r="J1027" s="25"/>
      <c r="K1027" s="23"/>
      <c r="L1027" s="23"/>
      <c r="M1027" s="23"/>
      <c r="N1027" s="26"/>
      <c r="O1027" s="26"/>
      <c r="P1027" s="26"/>
      <c r="Q1027" s="26"/>
      <c r="R1027" s="26"/>
      <c r="S1027" s="26"/>
      <c r="T1027" s="26"/>
      <c r="U1027" s="26"/>
      <c r="V1027" s="26"/>
      <c r="W1027" s="27"/>
    </row>
    <row r="1028" spans="1:26" ht="15.75" customHeight="1" x14ac:dyDescent="0.25">
      <c r="A1028" s="23"/>
      <c r="B1028" s="23" t="str">
        <f t="shared" si="3"/>
        <v/>
      </c>
      <c r="C1028" s="23"/>
      <c r="D1028" s="44"/>
      <c r="E1028" s="23"/>
      <c r="F1028" s="45"/>
      <c r="G1028" s="23"/>
      <c r="H1028" s="23"/>
      <c r="I1028" s="23"/>
      <c r="J1028" s="25"/>
      <c r="K1028" s="23"/>
      <c r="L1028" s="23"/>
      <c r="M1028" s="23"/>
      <c r="N1028" s="26"/>
      <c r="O1028" s="26"/>
      <c r="P1028" s="26"/>
      <c r="Q1028" s="26"/>
      <c r="R1028" s="26"/>
      <c r="S1028" s="26"/>
      <c r="T1028" s="26"/>
      <c r="U1028" s="26"/>
      <c r="V1028" s="26"/>
      <c r="W1028" s="27"/>
    </row>
    <row r="1029" spans="1:26" ht="15.75" customHeight="1" x14ac:dyDescent="0.25">
      <c r="A1029" s="23"/>
      <c r="B1029" s="23" t="str">
        <f t="shared" si="3"/>
        <v/>
      </c>
      <c r="C1029" s="23"/>
      <c r="D1029" s="44"/>
      <c r="E1029" s="23"/>
      <c r="F1029" s="45"/>
      <c r="G1029" s="23"/>
      <c r="H1029" s="23"/>
      <c r="I1029" s="23"/>
      <c r="J1029" s="25"/>
      <c r="K1029" s="23"/>
      <c r="L1029" s="23"/>
      <c r="M1029" s="23"/>
      <c r="N1029" s="26"/>
      <c r="O1029" s="26"/>
      <c r="P1029" s="26"/>
      <c r="Q1029" s="26"/>
      <c r="R1029" s="26"/>
      <c r="S1029" s="26"/>
      <c r="T1029" s="26"/>
      <c r="U1029" s="26"/>
      <c r="V1029" s="26"/>
      <c r="W1029" s="27"/>
    </row>
    <row r="1030" spans="1:26" ht="15.75" customHeight="1" x14ac:dyDescent="0.25">
      <c r="A1030" s="23"/>
      <c r="B1030" s="23" t="str">
        <f t="shared" si="3"/>
        <v/>
      </c>
      <c r="C1030" s="23"/>
      <c r="D1030" s="44"/>
      <c r="E1030" s="23"/>
      <c r="F1030" s="45"/>
      <c r="G1030" s="23"/>
      <c r="H1030" s="23"/>
      <c r="I1030" s="23"/>
      <c r="J1030" s="25"/>
      <c r="K1030" s="23"/>
      <c r="L1030" s="23"/>
      <c r="M1030" s="23"/>
      <c r="N1030" s="26"/>
      <c r="O1030" s="26"/>
      <c r="P1030" s="26"/>
      <c r="Q1030" s="26"/>
      <c r="R1030" s="26"/>
      <c r="S1030" s="26"/>
      <c r="T1030" s="26"/>
      <c r="U1030" s="26"/>
      <c r="V1030" s="26"/>
      <c r="W1030" s="27"/>
    </row>
    <row r="1031" spans="1:26" ht="15.75" customHeight="1" x14ac:dyDescent="0.25">
      <c r="A1031" s="23"/>
      <c r="B1031" s="23" t="str">
        <f t="shared" si="3"/>
        <v/>
      </c>
      <c r="C1031" s="23"/>
      <c r="D1031" s="44"/>
      <c r="E1031" s="23"/>
      <c r="F1031" s="45"/>
      <c r="G1031" s="23"/>
      <c r="H1031" s="23"/>
      <c r="I1031" s="23"/>
      <c r="J1031" s="25"/>
      <c r="K1031" s="23"/>
      <c r="L1031" s="23"/>
      <c r="M1031" s="23"/>
      <c r="N1031" s="26"/>
      <c r="O1031" s="26"/>
      <c r="P1031" s="26"/>
      <c r="Q1031" s="26"/>
      <c r="R1031" s="26"/>
      <c r="S1031" s="26"/>
      <c r="T1031" s="26"/>
      <c r="U1031" s="26"/>
      <c r="V1031" s="26"/>
      <c r="W1031" s="27"/>
    </row>
    <row r="1032" spans="1:26" ht="15.75" customHeight="1" x14ac:dyDescent="0.25">
      <c r="A1032" s="23"/>
      <c r="B1032" s="23" t="str">
        <f t="shared" si="3"/>
        <v/>
      </c>
      <c r="C1032" s="23"/>
      <c r="D1032" s="44"/>
      <c r="E1032" s="23"/>
      <c r="F1032" s="45"/>
      <c r="G1032" s="23"/>
      <c r="H1032" s="23"/>
      <c r="I1032" s="23"/>
      <c r="J1032" s="25"/>
      <c r="K1032" s="23"/>
      <c r="L1032" s="23"/>
      <c r="M1032" s="23"/>
      <c r="N1032" s="26"/>
      <c r="O1032" s="26"/>
      <c r="P1032" s="26"/>
      <c r="Q1032" s="26"/>
      <c r="R1032" s="26"/>
      <c r="S1032" s="26"/>
      <c r="T1032" s="26"/>
      <c r="U1032" s="26"/>
      <c r="V1032" s="26"/>
      <c r="W1032" s="27"/>
    </row>
    <row r="1033" spans="1:26" ht="15.75" customHeight="1" x14ac:dyDescent="0.25">
      <c r="A1033" s="23"/>
      <c r="B1033" s="23" t="str">
        <f t="shared" si="3"/>
        <v/>
      </c>
      <c r="C1033" s="23"/>
      <c r="D1033" s="44"/>
      <c r="E1033" s="23"/>
      <c r="F1033" s="45"/>
      <c r="G1033" s="23"/>
      <c r="H1033" s="23"/>
      <c r="I1033" s="23"/>
      <c r="J1033" s="25"/>
      <c r="K1033" s="23"/>
      <c r="L1033" s="23"/>
      <c r="M1033" s="23"/>
      <c r="N1033" s="26"/>
      <c r="O1033" s="26"/>
      <c r="P1033" s="26"/>
      <c r="Q1033" s="26"/>
      <c r="R1033" s="26"/>
      <c r="S1033" s="26"/>
      <c r="T1033" s="26"/>
      <c r="U1033" s="26"/>
      <c r="V1033" s="26"/>
      <c r="W1033" s="27"/>
    </row>
    <row r="1034" spans="1:26" ht="15.75" customHeight="1" x14ac:dyDescent="0.25">
      <c r="A1034" s="23"/>
      <c r="B1034" s="23" t="str">
        <f t="shared" si="3"/>
        <v/>
      </c>
      <c r="C1034" s="23"/>
      <c r="D1034" s="44"/>
      <c r="E1034" s="23"/>
      <c r="F1034" s="45"/>
      <c r="G1034" s="23"/>
      <c r="H1034" s="23"/>
      <c r="I1034" s="23"/>
      <c r="J1034" s="25"/>
      <c r="K1034" s="23"/>
      <c r="L1034" s="23"/>
      <c r="M1034" s="23"/>
      <c r="N1034" s="26"/>
      <c r="O1034" s="26"/>
      <c r="P1034" s="26"/>
      <c r="Q1034" s="26"/>
      <c r="R1034" s="26"/>
      <c r="S1034" s="26"/>
      <c r="T1034" s="26"/>
      <c r="U1034" s="26"/>
      <c r="V1034" s="26"/>
      <c r="W1034" s="27"/>
    </row>
    <row r="1035" spans="1:26" ht="15.75" customHeight="1" x14ac:dyDescent="0.25">
      <c r="A1035" s="23"/>
      <c r="B1035" s="23" t="str">
        <f t="shared" si="3"/>
        <v/>
      </c>
      <c r="C1035" s="23"/>
      <c r="D1035" s="44"/>
      <c r="E1035" s="23"/>
      <c r="F1035" s="45"/>
      <c r="G1035" s="23"/>
      <c r="H1035" s="23"/>
      <c r="I1035" s="23"/>
      <c r="J1035" s="25"/>
      <c r="K1035" s="23"/>
      <c r="L1035" s="23"/>
      <c r="M1035" s="23"/>
      <c r="N1035" s="26"/>
      <c r="O1035" s="26"/>
      <c r="P1035" s="26"/>
      <c r="Q1035" s="26"/>
      <c r="R1035" s="26"/>
      <c r="S1035" s="26"/>
      <c r="T1035" s="26"/>
      <c r="U1035" s="26"/>
      <c r="V1035" s="26"/>
      <c r="W1035" s="27"/>
    </row>
    <row r="1036" spans="1:26" ht="15.75" customHeight="1" x14ac:dyDescent="0.25">
      <c r="A1036" s="23"/>
      <c r="B1036" s="23" t="str">
        <f t="shared" si="3"/>
        <v/>
      </c>
      <c r="C1036" s="23"/>
      <c r="D1036" s="44"/>
      <c r="E1036" s="23"/>
      <c r="F1036" s="45"/>
      <c r="G1036" s="23"/>
      <c r="H1036" s="23"/>
      <c r="I1036" s="23"/>
      <c r="J1036" s="25"/>
      <c r="K1036" s="23"/>
      <c r="L1036" s="23"/>
      <c r="M1036" s="23"/>
      <c r="N1036" s="26"/>
      <c r="O1036" s="26"/>
      <c r="P1036" s="26"/>
      <c r="Q1036" s="26"/>
      <c r="R1036" s="26"/>
      <c r="S1036" s="26"/>
      <c r="T1036" s="26"/>
      <c r="U1036" s="26"/>
      <c r="V1036" s="26"/>
      <c r="W1036" s="27"/>
    </row>
    <row r="1037" spans="1:26" ht="15.75" customHeight="1" x14ac:dyDescent="0.25">
      <c r="A1037" s="23"/>
      <c r="B1037" s="23" t="str">
        <f t="shared" si="3"/>
        <v/>
      </c>
      <c r="C1037" s="23"/>
      <c r="D1037" s="44"/>
      <c r="E1037" s="23"/>
      <c r="F1037" s="45"/>
      <c r="G1037" s="23"/>
      <c r="H1037" s="23"/>
      <c r="I1037" s="23"/>
      <c r="J1037" s="25"/>
      <c r="K1037" s="23"/>
      <c r="L1037" s="23"/>
      <c r="M1037" s="23"/>
      <c r="N1037" s="26"/>
      <c r="O1037" s="26"/>
      <c r="P1037" s="26"/>
      <c r="Q1037" s="26"/>
      <c r="R1037" s="26"/>
      <c r="S1037" s="26"/>
      <c r="T1037" s="26"/>
      <c r="U1037" s="26"/>
      <c r="V1037" s="26"/>
      <c r="W1037" s="27"/>
    </row>
    <row r="1038" spans="1:26" ht="15.75" customHeight="1" x14ac:dyDescent="0.25">
      <c r="A1038" s="23"/>
      <c r="B1038" s="23" t="str">
        <f t="shared" si="3"/>
        <v/>
      </c>
      <c r="C1038" s="23"/>
      <c r="D1038" s="44"/>
      <c r="E1038" s="23"/>
      <c r="F1038" s="45"/>
      <c r="G1038" s="23"/>
      <c r="H1038" s="23"/>
      <c r="I1038" s="23"/>
      <c r="J1038" s="25"/>
      <c r="K1038" s="23"/>
      <c r="L1038" s="23"/>
      <c r="M1038" s="23"/>
      <c r="N1038" s="26"/>
      <c r="O1038" s="26"/>
      <c r="P1038" s="26"/>
      <c r="Q1038" s="26"/>
      <c r="R1038" s="26"/>
      <c r="S1038" s="26"/>
      <c r="T1038" s="26"/>
      <c r="U1038" s="26"/>
      <c r="V1038" s="26"/>
      <c r="W1038" s="27"/>
    </row>
    <row r="1039" spans="1:26" ht="15.75" customHeight="1" x14ac:dyDescent="0.25">
      <c r="A1039" s="23"/>
      <c r="B1039" s="23" t="str">
        <f t="shared" si="3"/>
        <v/>
      </c>
      <c r="C1039" s="23"/>
      <c r="D1039" s="44"/>
      <c r="E1039" s="23"/>
      <c r="F1039" s="45"/>
      <c r="G1039" s="23"/>
      <c r="H1039" s="23"/>
      <c r="I1039" s="23"/>
      <c r="J1039" s="25"/>
      <c r="K1039" s="23"/>
      <c r="L1039" s="23"/>
      <c r="M1039" s="23"/>
      <c r="N1039" s="26"/>
      <c r="O1039" s="26"/>
      <c r="P1039" s="26"/>
      <c r="Q1039" s="26"/>
      <c r="R1039" s="26"/>
      <c r="S1039" s="26"/>
      <c r="T1039" s="26"/>
      <c r="U1039" s="26"/>
      <c r="V1039" s="26"/>
      <c r="W1039" s="27"/>
    </row>
    <row r="1040" spans="1:26" ht="15.75" customHeight="1" x14ac:dyDescent="0.25">
      <c r="A1040" s="23"/>
      <c r="B1040" s="23" t="str">
        <f t="shared" si="3"/>
        <v/>
      </c>
      <c r="C1040" s="23"/>
      <c r="D1040" s="44"/>
      <c r="E1040" s="23"/>
      <c r="F1040" s="45"/>
      <c r="G1040" s="23"/>
      <c r="H1040" s="23"/>
      <c r="I1040" s="23"/>
      <c r="J1040" s="25"/>
      <c r="K1040" s="23"/>
      <c r="L1040" s="23"/>
      <c r="M1040" s="23"/>
      <c r="N1040" s="26"/>
      <c r="O1040" s="26"/>
      <c r="P1040" s="26"/>
      <c r="Q1040" s="26"/>
      <c r="R1040" s="26"/>
      <c r="S1040" s="26"/>
      <c r="T1040" s="26"/>
      <c r="U1040" s="26"/>
      <c r="V1040" s="26"/>
      <c r="W1040" s="27"/>
    </row>
    <row r="1041" spans="1:23" ht="15.75" customHeight="1" x14ac:dyDescent="0.25">
      <c r="A1041" s="23"/>
      <c r="B1041" s="23" t="str">
        <f t="shared" si="3"/>
        <v/>
      </c>
      <c r="C1041" s="23"/>
      <c r="D1041" s="44"/>
      <c r="E1041" s="23"/>
      <c r="F1041" s="45"/>
      <c r="G1041" s="23"/>
      <c r="H1041" s="23"/>
      <c r="I1041" s="23"/>
      <c r="J1041" s="25"/>
      <c r="K1041" s="23"/>
      <c r="L1041" s="23"/>
      <c r="M1041" s="23"/>
      <c r="N1041" s="26"/>
      <c r="O1041" s="26"/>
      <c r="P1041" s="26"/>
      <c r="Q1041" s="26"/>
      <c r="R1041" s="26"/>
      <c r="S1041" s="26"/>
      <c r="T1041" s="26"/>
      <c r="U1041" s="26"/>
      <c r="V1041" s="26"/>
      <c r="W1041" s="27"/>
    </row>
    <row r="1042" spans="1:23" ht="15.75" customHeight="1" x14ac:dyDescent="0.25">
      <c r="A1042" s="23"/>
      <c r="B1042" s="23" t="str">
        <f t="shared" ref="B1042:B1296" si="5">MID(X1042,17,30)</f>
        <v/>
      </c>
      <c r="C1042" s="23"/>
      <c r="D1042" s="44"/>
      <c r="E1042" s="23"/>
      <c r="F1042" s="45"/>
      <c r="G1042" s="23"/>
      <c r="H1042" s="23"/>
      <c r="I1042" s="23"/>
      <c r="J1042" s="25"/>
      <c r="K1042" s="23"/>
      <c r="L1042" s="23"/>
      <c r="M1042" s="23"/>
      <c r="N1042" s="26"/>
      <c r="O1042" s="26"/>
      <c r="P1042" s="26"/>
      <c r="Q1042" s="26"/>
      <c r="R1042" s="26"/>
      <c r="S1042" s="26"/>
      <c r="T1042" s="26"/>
      <c r="U1042" s="26"/>
      <c r="V1042" s="26"/>
      <c r="W1042" s="27"/>
    </row>
    <row r="1043" spans="1:23" ht="15.75" customHeight="1" x14ac:dyDescent="0.25">
      <c r="A1043" s="23"/>
      <c r="B1043" s="23" t="str">
        <f t="shared" si="5"/>
        <v/>
      </c>
      <c r="C1043" s="23"/>
      <c r="D1043" s="44"/>
      <c r="E1043" s="23"/>
      <c r="F1043" s="45"/>
      <c r="G1043" s="23"/>
      <c r="H1043" s="23"/>
      <c r="I1043" s="23"/>
      <c r="J1043" s="25"/>
      <c r="K1043" s="23"/>
      <c r="L1043" s="23"/>
      <c r="M1043" s="23"/>
      <c r="N1043" s="26"/>
      <c r="O1043" s="26"/>
      <c r="P1043" s="26"/>
      <c r="Q1043" s="26"/>
      <c r="R1043" s="26"/>
      <c r="S1043" s="26"/>
      <c r="T1043" s="26"/>
      <c r="U1043" s="26"/>
      <c r="V1043" s="26"/>
      <c r="W1043" s="27"/>
    </row>
    <row r="1044" spans="1:23" ht="15.75" customHeight="1" x14ac:dyDescent="0.25">
      <c r="A1044" s="23"/>
      <c r="B1044" s="23" t="str">
        <f t="shared" si="5"/>
        <v/>
      </c>
      <c r="C1044" s="23"/>
      <c r="D1044" s="44"/>
      <c r="E1044" s="23"/>
      <c r="F1044" s="45"/>
      <c r="G1044" s="23"/>
      <c r="H1044" s="23"/>
      <c r="I1044" s="23"/>
      <c r="J1044" s="25"/>
      <c r="K1044" s="23"/>
      <c r="L1044" s="23"/>
      <c r="M1044" s="23"/>
      <c r="N1044" s="26"/>
      <c r="O1044" s="26"/>
      <c r="P1044" s="26"/>
      <c r="Q1044" s="26"/>
      <c r="R1044" s="26"/>
      <c r="S1044" s="26"/>
      <c r="T1044" s="26"/>
      <c r="U1044" s="26"/>
      <c r="V1044" s="26"/>
      <c r="W1044" s="27"/>
    </row>
    <row r="1045" spans="1:23" ht="15.75" customHeight="1" x14ac:dyDescent="0.25">
      <c r="A1045" s="23"/>
      <c r="B1045" s="23" t="str">
        <f t="shared" si="5"/>
        <v/>
      </c>
      <c r="C1045" s="23"/>
      <c r="D1045" s="44"/>
      <c r="E1045" s="23"/>
      <c r="F1045" s="45"/>
      <c r="G1045" s="23"/>
      <c r="H1045" s="23"/>
      <c r="I1045" s="23"/>
      <c r="J1045" s="25"/>
      <c r="K1045" s="23"/>
      <c r="L1045" s="23"/>
      <c r="M1045" s="23"/>
      <c r="N1045" s="26"/>
      <c r="O1045" s="26"/>
      <c r="P1045" s="26"/>
      <c r="Q1045" s="26"/>
      <c r="R1045" s="26"/>
      <c r="S1045" s="26"/>
      <c r="T1045" s="26"/>
      <c r="U1045" s="26"/>
      <c r="V1045" s="26"/>
      <c r="W1045" s="27"/>
    </row>
    <row r="1046" spans="1:23" ht="15.75" customHeight="1" x14ac:dyDescent="0.25">
      <c r="A1046" s="23"/>
      <c r="B1046" s="23" t="str">
        <f t="shared" si="5"/>
        <v/>
      </c>
      <c r="C1046" s="23"/>
      <c r="D1046" s="44"/>
      <c r="E1046" s="23"/>
      <c r="F1046" s="45"/>
      <c r="G1046" s="23"/>
      <c r="H1046" s="23"/>
      <c r="I1046" s="23"/>
      <c r="J1046" s="25"/>
      <c r="K1046" s="23"/>
      <c r="L1046" s="23"/>
      <c r="M1046" s="23"/>
      <c r="N1046" s="26"/>
      <c r="O1046" s="26"/>
      <c r="P1046" s="26"/>
      <c r="Q1046" s="26"/>
      <c r="R1046" s="26"/>
      <c r="S1046" s="26"/>
      <c r="T1046" s="26"/>
      <c r="U1046" s="26"/>
      <c r="V1046" s="26"/>
      <c r="W1046" s="27"/>
    </row>
    <row r="1047" spans="1:23" ht="15.75" customHeight="1" x14ac:dyDescent="0.25">
      <c r="A1047" s="23"/>
      <c r="B1047" s="23" t="str">
        <f t="shared" si="5"/>
        <v/>
      </c>
      <c r="C1047" s="23"/>
      <c r="D1047" s="44"/>
      <c r="E1047" s="23"/>
      <c r="F1047" s="45"/>
      <c r="G1047" s="23"/>
      <c r="H1047" s="23"/>
      <c r="I1047" s="23"/>
      <c r="J1047" s="25"/>
      <c r="K1047" s="23"/>
      <c r="L1047" s="23"/>
      <c r="M1047" s="23"/>
      <c r="N1047" s="26"/>
      <c r="O1047" s="26"/>
      <c r="P1047" s="26"/>
      <c r="Q1047" s="26"/>
      <c r="R1047" s="26"/>
      <c r="S1047" s="26"/>
      <c r="T1047" s="26"/>
      <c r="U1047" s="26"/>
      <c r="V1047" s="26"/>
      <c r="W1047" s="27"/>
    </row>
    <row r="1048" spans="1:23" ht="15.75" customHeight="1" x14ac:dyDescent="0.25">
      <c r="A1048" s="23"/>
      <c r="B1048" s="23" t="str">
        <f t="shared" si="5"/>
        <v/>
      </c>
      <c r="C1048" s="23"/>
      <c r="D1048" s="44"/>
      <c r="E1048" s="23"/>
      <c r="F1048" s="45"/>
      <c r="G1048" s="23"/>
      <c r="H1048" s="23"/>
      <c r="I1048" s="23"/>
      <c r="J1048" s="25"/>
      <c r="K1048" s="23"/>
      <c r="L1048" s="23"/>
      <c r="M1048" s="23"/>
      <c r="N1048" s="26"/>
      <c r="O1048" s="26"/>
      <c r="P1048" s="26"/>
      <c r="Q1048" s="26"/>
      <c r="R1048" s="26"/>
      <c r="S1048" s="26"/>
      <c r="T1048" s="26"/>
      <c r="U1048" s="26"/>
      <c r="V1048" s="26"/>
      <c r="W1048" s="27"/>
    </row>
    <row r="1049" spans="1:23" ht="15.75" customHeight="1" x14ac:dyDescent="0.25">
      <c r="A1049" s="23"/>
      <c r="B1049" s="23" t="str">
        <f t="shared" si="5"/>
        <v/>
      </c>
      <c r="C1049" s="23"/>
      <c r="D1049" s="44"/>
      <c r="E1049" s="23"/>
      <c r="F1049" s="45"/>
      <c r="G1049" s="23"/>
      <c r="H1049" s="23"/>
      <c r="I1049" s="23"/>
      <c r="J1049" s="25"/>
      <c r="K1049" s="23"/>
      <c r="L1049" s="23"/>
      <c r="M1049" s="23"/>
      <c r="N1049" s="26"/>
      <c r="O1049" s="26"/>
      <c r="P1049" s="26"/>
      <c r="Q1049" s="26"/>
      <c r="R1049" s="26"/>
      <c r="S1049" s="26"/>
      <c r="T1049" s="26"/>
      <c r="U1049" s="26"/>
      <c r="V1049" s="26"/>
      <c r="W1049" s="27"/>
    </row>
    <row r="1050" spans="1:23" ht="15.75" customHeight="1" x14ac:dyDescent="0.25">
      <c r="A1050" s="23"/>
      <c r="B1050" s="23" t="str">
        <f t="shared" si="5"/>
        <v/>
      </c>
      <c r="C1050" s="23"/>
      <c r="D1050" s="44"/>
      <c r="E1050" s="23"/>
      <c r="F1050" s="45"/>
      <c r="G1050" s="23"/>
      <c r="H1050" s="23"/>
      <c r="I1050" s="23"/>
      <c r="J1050" s="25"/>
      <c r="K1050" s="23"/>
      <c r="L1050" s="23"/>
      <c r="M1050" s="23"/>
      <c r="N1050" s="26"/>
      <c r="O1050" s="26"/>
      <c r="P1050" s="26"/>
      <c r="Q1050" s="26"/>
      <c r="R1050" s="26"/>
      <c r="S1050" s="26"/>
      <c r="T1050" s="26"/>
      <c r="U1050" s="26"/>
      <c r="V1050" s="26"/>
      <c r="W1050" s="27"/>
    </row>
    <row r="1051" spans="1:23" ht="15.75" customHeight="1" x14ac:dyDescent="0.25">
      <c r="A1051" s="23"/>
      <c r="B1051" s="23" t="str">
        <f t="shared" si="5"/>
        <v/>
      </c>
      <c r="C1051" s="23"/>
      <c r="D1051" s="44"/>
      <c r="E1051" s="23"/>
      <c r="F1051" s="45"/>
      <c r="G1051" s="23"/>
      <c r="H1051" s="23"/>
      <c r="I1051" s="23"/>
      <c r="J1051" s="25"/>
      <c r="K1051" s="23"/>
      <c r="L1051" s="23"/>
      <c r="M1051" s="23"/>
      <c r="N1051" s="26"/>
      <c r="O1051" s="26"/>
      <c r="P1051" s="26"/>
      <c r="Q1051" s="26"/>
      <c r="R1051" s="26"/>
      <c r="S1051" s="26"/>
      <c r="T1051" s="26"/>
      <c r="U1051" s="26"/>
      <c r="V1051" s="26"/>
      <c r="W1051" s="27"/>
    </row>
    <row r="1052" spans="1:23" ht="15.75" customHeight="1" x14ac:dyDescent="0.25">
      <c r="A1052" s="23"/>
      <c r="B1052" s="23" t="str">
        <f t="shared" si="5"/>
        <v/>
      </c>
      <c r="C1052" s="23"/>
      <c r="D1052" s="44"/>
      <c r="E1052" s="23"/>
      <c r="F1052" s="45"/>
      <c r="G1052" s="23"/>
      <c r="H1052" s="23"/>
      <c r="I1052" s="23"/>
      <c r="J1052" s="25"/>
      <c r="K1052" s="23"/>
      <c r="L1052" s="23"/>
      <c r="M1052" s="23"/>
      <c r="N1052" s="26"/>
      <c r="O1052" s="26"/>
      <c r="P1052" s="26"/>
      <c r="Q1052" s="26"/>
      <c r="R1052" s="26"/>
      <c r="S1052" s="26"/>
      <c r="T1052" s="26"/>
      <c r="U1052" s="26"/>
      <c r="V1052" s="26"/>
      <c r="W1052" s="27"/>
    </row>
    <row r="1053" spans="1:23" ht="15.75" customHeight="1" x14ac:dyDescent="0.25">
      <c r="A1053" s="23"/>
      <c r="B1053" s="23" t="str">
        <f t="shared" si="5"/>
        <v/>
      </c>
      <c r="C1053" s="23"/>
      <c r="D1053" s="44"/>
      <c r="E1053" s="23"/>
      <c r="F1053" s="45"/>
      <c r="G1053" s="23"/>
      <c r="H1053" s="23"/>
      <c r="I1053" s="23"/>
      <c r="J1053" s="25"/>
      <c r="K1053" s="23"/>
      <c r="L1053" s="23"/>
      <c r="M1053" s="23"/>
      <c r="N1053" s="26"/>
      <c r="O1053" s="26"/>
      <c r="P1053" s="26"/>
      <c r="Q1053" s="26"/>
      <c r="R1053" s="26"/>
      <c r="S1053" s="26"/>
      <c r="T1053" s="26"/>
      <c r="U1053" s="26"/>
      <c r="V1053" s="26"/>
      <c r="W1053" s="27"/>
    </row>
    <row r="1054" spans="1:23" ht="15.75" customHeight="1" x14ac:dyDescent="0.25">
      <c r="A1054" s="23"/>
      <c r="B1054" s="23" t="str">
        <f t="shared" si="5"/>
        <v/>
      </c>
      <c r="C1054" s="23"/>
      <c r="D1054" s="44"/>
      <c r="E1054" s="23"/>
      <c r="F1054" s="45"/>
      <c r="G1054" s="23"/>
      <c r="H1054" s="23"/>
      <c r="I1054" s="23"/>
      <c r="J1054" s="25"/>
      <c r="K1054" s="23"/>
      <c r="L1054" s="23"/>
      <c r="M1054" s="23"/>
      <c r="N1054" s="26"/>
      <c r="O1054" s="26"/>
      <c r="P1054" s="26"/>
      <c r="Q1054" s="26"/>
      <c r="R1054" s="26"/>
      <c r="S1054" s="26"/>
      <c r="T1054" s="26"/>
      <c r="U1054" s="26"/>
      <c r="V1054" s="26"/>
      <c r="W1054" s="27"/>
    </row>
    <row r="1055" spans="1:23" ht="15.75" customHeight="1" x14ac:dyDescent="0.25">
      <c r="A1055" s="23"/>
      <c r="B1055" s="23" t="str">
        <f t="shared" si="5"/>
        <v/>
      </c>
      <c r="C1055" s="23"/>
      <c r="D1055" s="44"/>
      <c r="E1055" s="23"/>
      <c r="F1055" s="45"/>
      <c r="G1055" s="23"/>
      <c r="H1055" s="23"/>
      <c r="I1055" s="23"/>
      <c r="J1055" s="25"/>
      <c r="K1055" s="23"/>
      <c r="L1055" s="23"/>
      <c r="M1055" s="23"/>
      <c r="N1055" s="26"/>
      <c r="O1055" s="26"/>
      <c r="P1055" s="26"/>
      <c r="Q1055" s="26"/>
      <c r="R1055" s="26"/>
      <c r="S1055" s="26"/>
      <c r="T1055" s="26"/>
      <c r="U1055" s="26"/>
      <c r="V1055" s="26"/>
      <c r="W1055" s="27"/>
    </row>
    <row r="1056" spans="1:23" ht="15.75" customHeight="1" x14ac:dyDescent="0.25">
      <c r="A1056" s="23"/>
      <c r="B1056" s="23" t="str">
        <f t="shared" si="5"/>
        <v/>
      </c>
      <c r="C1056" s="23"/>
      <c r="D1056" s="44"/>
      <c r="E1056" s="23"/>
      <c r="F1056" s="45"/>
      <c r="G1056" s="23"/>
      <c r="H1056" s="23"/>
      <c r="I1056" s="23"/>
      <c r="J1056" s="25"/>
      <c r="K1056" s="23"/>
      <c r="L1056" s="23"/>
      <c r="M1056" s="23"/>
      <c r="N1056" s="26"/>
      <c r="O1056" s="26"/>
      <c r="P1056" s="26"/>
      <c r="Q1056" s="26"/>
      <c r="R1056" s="26"/>
      <c r="S1056" s="26"/>
      <c r="T1056" s="26"/>
      <c r="U1056" s="26"/>
      <c r="V1056" s="26"/>
      <c r="W1056" s="27"/>
    </row>
    <row r="1057" spans="1:23" ht="15.75" customHeight="1" x14ac:dyDescent="0.25">
      <c r="A1057" s="23"/>
      <c r="B1057" s="23" t="str">
        <f t="shared" si="5"/>
        <v/>
      </c>
      <c r="C1057" s="23"/>
      <c r="D1057" s="44"/>
      <c r="E1057" s="23"/>
      <c r="F1057" s="45"/>
      <c r="G1057" s="23"/>
      <c r="H1057" s="23"/>
      <c r="I1057" s="23"/>
      <c r="J1057" s="25"/>
      <c r="K1057" s="23"/>
      <c r="L1057" s="23"/>
      <c r="M1057" s="23"/>
      <c r="N1057" s="26"/>
      <c r="O1057" s="26"/>
      <c r="P1057" s="26"/>
      <c r="Q1057" s="26"/>
      <c r="R1057" s="26"/>
      <c r="S1057" s="26"/>
      <c r="T1057" s="26"/>
      <c r="U1057" s="26"/>
      <c r="V1057" s="26"/>
      <c r="W1057" s="27"/>
    </row>
    <row r="1058" spans="1:23" ht="15.75" customHeight="1" x14ac:dyDescent="0.25">
      <c r="A1058" s="23"/>
      <c r="B1058" s="23" t="str">
        <f t="shared" si="5"/>
        <v/>
      </c>
      <c r="C1058" s="23"/>
      <c r="D1058" s="44"/>
      <c r="E1058" s="23"/>
      <c r="F1058" s="45"/>
      <c r="G1058" s="23"/>
      <c r="H1058" s="23"/>
      <c r="I1058" s="23"/>
      <c r="J1058" s="25"/>
      <c r="K1058" s="23"/>
      <c r="L1058" s="23"/>
      <c r="M1058" s="23"/>
      <c r="N1058" s="26"/>
      <c r="O1058" s="26"/>
      <c r="P1058" s="26"/>
      <c r="Q1058" s="26"/>
      <c r="R1058" s="26"/>
      <c r="S1058" s="26"/>
      <c r="T1058" s="26"/>
      <c r="U1058" s="26"/>
      <c r="V1058" s="26"/>
      <c r="W1058" s="27"/>
    </row>
    <row r="1059" spans="1:23" ht="15.75" customHeight="1" x14ac:dyDescent="0.25">
      <c r="A1059" s="23"/>
      <c r="B1059" s="23" t="str">
        <f t="shared" si="5"/>
        <v/>
      </c>
      <c r="C1059" s="23"/>
      <c r="D1059" s="44"/>
      <c r="E1059" s="23"/>
      <c r="F1059" s="45"/>
      <c r="G1059" s="23"/>
      <c r="H1059" s="23"/>
      <c r="I1059" s="23"/>
      <c r="J1059" s="25"/>
      <c r="K1059" s="23"/>
      <c r="L1059" s="23"/>
      <c r="M1059" s="23"/>
      <c r="N1059" s="26"/>
      <c r="O1059" s="26"/>
      <c r="P1059" s="26"/>
      <c r="Q1059" s="26"/>
      <c r="R1059" s="26"/>
      <c r="S1059" s="26"/>
      <c r="T1059" s="26"/>
      <c r="U1059" s="26"/>
      <c r="V1059" s="26"/>
      <c r="W1059" s="27"/>
    </row>
    <row r="1060" spans="1:23" ht="15.75" customHeight="1" x14ac:dyDescent="0.25">
      <c r="A1060" s="23"/>
      <c r="B1060" s="23" t="str">
        <f t="shared" si="5"/>
        <v/>
      </c>
      <c r="C1060" s="23"/>
      <c r="D1060" s="44"/>
      <c r="E1060" s="23"/>
      <c r="F1060" s="45"/>
      <c r="G1060" s="23"/>
      <c r="H1060" s="23"/>
      <c r="I1060" s="23"/>
      <c r="J1060" s="25"/>
      <c r="K1060" s="23"/>
      <c r="L1060" s="23"/>
      <c r="M1060" s="23"/>
      <c r="N1060" s="26"/>
      <c r="O1060" s="26"/>
      <c r="P1060" s="26"/>
      <c r="Q1060" s="26"/>
      <c r="R1060" s="26"/>
      <c r="S1060" s="26"/>
      <c r="T1060" s="26"/>
      <c r="U1060" s="26"/>
      <c r="V1060" s="26"/>
      <c r="W1060" s="27"/>
    </row>
    <row r="1061" spans="1:23" ht="15.75" customHeight="1" x14ac:dyDescent="0.25">
      <c r="A1061" s="23"/>
      <c r="B1061" s="23" t="str">
        <f t="shared" si="5"/>
        <v/>
      </c>
      <c r="C1061" s="23"/>
      <c r="D1061" s="44"/>
      <c r="E1061" s="23"/>
      <c r="F1061" s="45"/>
      <c r="G1061" s="23"/>
      <c r="H1061" s="23"/>
      <c r="I1061" s="23"/>
      <c r="J1061" s="25"/>
      <c r="K1061" s="23"/>
      <c r="L1061" s="23"/>
      <c r="M1061" s="23"/>
      <c r="N1061" s="26"/>
      <c r="O1061" s="26"/>
      <c r="P1061" s="26"/>
      <c r="Q1061" s="26"/>
      <c r="R1061" s="26"/>
      <c r="S1061" s="26"/>
      <c r="T1061" s="26"/>
      <c r="U1061" s="26"/>
      <c r="V1061" s="26"/>
      <c r="W1061" s="27"/>
    </row>
    <row r="1062" spans="1:23" ht="15.75" customHeight="1" x14ac:dyDescent="0.25">
      <c r="A1062" s="23"/>
      <c r="B1062" s="23" t="str">
        <f t="shared" si="5"/>
        <v/>
      </c>
      <c r="C1062" s="23"/>
      <c r="D1062" s="44"/>
      <c r="E1062" s="23"/>
      <c r="F1062" s="45"/>
      <c r="G1062" s="23"/>
      <c r="H1062" s="23"/>
      <c r="I1062" s="23"/>
      <c r="J1062" s="25"/>
      <c r="K1062" s="23"/>
      <c r="L1062" s="23"/>
      <c r="M1062" s="23"/>
      <c r="N1062" s="26"/>
      <c r="O1062" s="26"/>
      <c r="P1062" s="26"/>
      <c r="Q1062" s="26"/>
      <c r="R1062" s="26"/>
      <c r="S1062" s="26"/>
      <c r="T1062" s="26"/>
      <c r="U1062" s="26"/>
      <c r="V1062" s="26"/>
      <c r="W1062" s="27"/>
    </row>
    <row r="1063" spans="1:23" ht="15.75" customHeight="1" x14ac:dyDescent="0.25">
      <c r="A1063" s="23"/>
      <c r="B1063" s="23" t="str">
        <f t="shared" si="5"/>
        <v/>
      </c>
      <c r="C1063" s="23"/>
      <c r="D1063" s="44"/>
      <c r="E1063" s="23"/>
      <c r="F1063" s="45"/>
      <c r="G1063" s="23"/>
      <c r="H1063" s="23"/>
      <c r="I1063" s="23"/>
      <c r="J1063" s="25"/>
      <c r="K1063" s="23"/>
      <c r="L1063" s="23"/>
      <c r="M1063" s="23"/>
      <c r="N1063" s="26"/>
      <c r="O1063" s="26"/>
      <c r="P1063" s="26"/>
      <c r="Q1063" s="26"/>
      <c r="R1063" s="26"/>
      <c r="S1063" s="26"/>
      <c r="T1063" s="26"/>
      <c r="U1063" s="26"/>
      <c r="V1063" s="26"/>
      <c r="W1063" s="27"/>
    </row>
    <row r="1064" spans="1:23" ht="15.75" customHeight="1" x14ac:dyDescent="0.25">
      <c r="A1064" s="23"/>
      <c r="B1064" s="23" t="str">
        <f t="shared" si="5"/>
        <v/>
      </c>
      <c r="C1064" s="23"/>
      <c r="D1064" s="44"/>
      <c r="E1064" s="23"/>
      <c r="F1064" s="45"/>
      <c r="G1064" s="23"/>
      <c r="H1064" s="23"/>
      <c r="I1064" s="23"/>
      <c r="J1064" s="25"/>
      <c r="K1064" s="23"/>
      <c r="L1064" s="23"/>
      <c r="M1064" s="23"/>
      <c r="N1064" s="26"/>
      <c r="O1064" s="26"/>
      <c r="P1064" s="26"/>
      <c r="Q1064" s="26"/>
      <c r="R1064" s="26"/>
      <c r="S1064" s="26"/>
      <c r="T1064" s="26"/>
      <c r="U1064" s="26"/>
      <c r="V1064" s="26"/>
      <c r="W1064" s="27"/>
    </row>
    <row r="1065" spans="1:23" ht="15.75" customHeight="1" x14ac:dyDescent="0.25">
      <c r="A1065" s="23"/>
      <c r="B1065" s="23" t="str">
        <f t="shared" si="5"/>
        <v/>
      </c>
      <c r="C1065" s="23"/>
      <c r="D1065" s="44"/>
      <c r="E1065" s="23"/>
      <c r="F1065" s="45"/>
      <c r="G1065" s="23"/>
      <c r="H1065" s="23"/>
      <c r="I1065" s="23"/>
      <c r="J1065" s="25"/>
      <c r="K1065" s="23"/>
      <c r="L1065" s="23"/>
      <c r="M1065" s="23"/>
      <c r="N1065" s="26"/>
      <c r="O1065" s="26"/>
      <c r="P1065" s="26"/>
      <c r="Q1065" s="26"/>
      <c r="R1065" s="26"/>
      <c r="S1065" s="26"/>
      <c r="T1065" s="26"/>
      <c r="U1065" s="26"/>
      <c r="V1065" s="26"/>
      <c r="W1065" s="27"/>
    </row>
    <row r="1066" spans="1:23" ht="15.75" customHeight="1" x14ac:dyDescent="0.25">
      <c r="A1066" s="23"/>
      <c r="B1066" s="23" t="str">
        <f t="shared" si="5"/>
        <v/>
      </c>
      <c r="C1066" s="23"/>
      <c r="D1066" s="44"/>
      <c r="E1066" s="23"/>
      <c r="F1066" s="45"/>
      <c r="G1066" s="23"/>
      <c r="H1066" s="23"/>
      <c r="I1066" s="23"/>
      <c r="J1066" s="25"/>
      <c r="K1066" s="23"/>
      <c r="L1066" s="23"/>
      <c r="M1066" s="23"/>
      <c r="N1066" s="26"/>
      <c r="O1066" s="26"/>
      <c r="P1066" s="26"/>
      <c r="Q1066" s="26"/>
      <c r="R1066" s="26"/>
      <c r="S1066" s="26"/>
      <c r="T1066" s="26"/>
      <c r="U1066" s="26"/>
      <c r="V1066" s="26"/>
      <c r="W1066" s="27"/>
    </row>
    <row r="1067" spans="1:23" ht="15.75" customHeight="1" x14ac:dyDescent="0.25">
      <c r="A1067" s="23"/>
      <c r="B1067" s="23" t="str">
        <f t="shared" si="5"/>
        <v/>
      </c>
      <c r="C1067" s="23"/>
      <c r="D1067" s="44"/>
      <c r="E1067" s="23"/>
      <c r="F1067" s="45"/>
      <c r="G1067" s="23"/>
      <c r="H1067" s="23"/>
      <c r="I1067" s="23"/>
      <c r="J1067" s="25"/>
      <c r="K1067" s="23"/>
      <c r="L1067" s="23"/>
      <c r="M1067" s="23"/>
      <c r="N1067" s="26"/>
      <c r="O1067" s="26"/>
      <c r="P1067" s="26"/>
      <c r="Q1067" s="26"/>
      <c r="R1067" s="26"/>
      <c r="S1067" s="26"/>
      <c r="T1067" s="26"/>
      <c r="U1067" s="26"/>
      <c r="V1067" s="26"/>
      <c r="W1067" s="27"/>
    </row>
    <row r="1068" spans="1:23" ht="15.75" customHeight="1" x14ac:dyDescent="0.25">
      <c r="A1068" s="23"/>
      <c r="B1068" s="23" t="str">
        <f t="shared" si="5"/>
        <v/>
      </c>
      <c r="C1068" s="23"/>
      <c r="D1068" s="44"/>
      <c r="E1068" s="23"/>
      <c r="F1068" s="45"/>
      <c r="G1068" s="23"/>
      <c r="H1068" s="23"/>
      <c r="I1068" s="23"/>
      <c r="J1068" s="25"/>
      <c r="K1068" s="23"/>
      <c r="L1068" s="23"/>
      <c r="M1068" s="23"/>
      <c r="N1068" s="26"/>
      <c r="O1068" s="26"/>
      <c r="P1068" s="26"/>
      <c r="Q1068" s="26"/>
      <c r="R1068" s="26"/>
      <c r="S1068" s="26"/>
      <c r="T1068" s="26"/>
      <c r="U1068" s="26"/>
      <c r="V1068" s="26"/>
      <c r="W1068" s="27"/>
    </row>
    <row r="1069" spans="1:23" ht="15.75" customHeight="1" x14ac:dyDescent="0.25">
      <c r="A1069" s="23"/>
      <c r="B1069" s="23" t="str">
        <f t="shared" si="5"/>
        <v/>
      </c>
      <c r="C1069" s="23"/>
      <c r="D1069" s="44"/>
      <c r="E1069" s="23"/>
      <c r="F1069" s="45"/>
      <c r="G1069" s="23"/>
      <c r="H1069" s="23"/>
      <c r="I1069" s="23"/>
      <c r="J1069" s="25"/>
      <c r="K1069" s="23"/>
      <c r="L1069" s="23"/>
      <c r="M1069" s="23"/>
      <c r="N1069" s="26"/>
      <c r="O1069" s="26"/>
      <c r="P1069" s="26"/>
      <c r="Q1069" s="26"/>
      <c r="R1069" s="26"/>
      <c r="S1069" s="26"/>
      <c r="T1069" s="26"/>
      <c r="U1069" s="26"/>
      <c r="V1069" s="26"/>
      <c r="W1069" s="27"/>
    </row>
    <row r="1070" spans="1:23" ht="15.75" customHeight="1" x14ac:dyDescent="0.25">
      <c r="A1070" s="23"/>
      <c r="B1070" s="23" t="str">
        <f t="shared" si="5"/>
        <v/>
      </c>
      <c r="C1070" s="23"/>
      <c r="D1070" s="44"/>
      <c r="E1070" s="23"/>
      <c r="F1070" s="45"/>
      <c r="G1070" s="23"/>
      <c r="H1070" s="23"/>
      <c r="I1070" s="23"/>
      <c r="J1070" s="25"/>
      <c r="K1070" s="23"/>
      <c r="L1070" s="23"/>
      <c r="M1070" s="23"/>
      <c r="N1070" s="26"/>
      <c r="O1070" s="26"/>
      <c r="P1070" s="26"/>
      <c r="Q1070" s="26"/>
      <c r="R1070" s="26"/>
      <c r="S1070" s="26"/>
      <c r="T1070" s="26"/>
      <c r="U1070" s="26"/>
      <c r="V1070" s="26"/>
      <c r="W1070" s="27"/>
    </row>
    <row r="1071" spans="1:23" ht="15.75" customHeight="1" x14ac:dyDescent="0.25">
      <c r="A1071" s="23"/>
      <c r="B1071" s="23" t="str">
        <f t="shared" si="5"/>
        <v/>
      </c>
      <c r="C1071" s="23"/>
      <c r="D1071" s="44"/>
      <c r="E1071" s="23"/>
      <c r="F1071" s="45"/>
      <c r="G1071" s="23"/>
      <c r="H1071" s="23"/>
      <c r="I1071" s="23"/>
      <c r="J1071" s="25"/>
      <c r="K1071" s="23"/>
      <c r="L1071" s="23"/>
      <c r="M1071" s="23"/>
      <c r="N1071" s="26"/>
      <c r="O1071" s="26"/>
      <c r="P1071" s="26"/>
      <c r="Q1071" s="26"/>
      <c r="R1071" s="26"/>
      <c r="S1071" s="26"/>
      <c r="T1071" s="26"/>
      <c r="U1071" s="26"/>
      <c r="V1071" s="26"/>
      <c r="W1071" s="27"/>
    </row>
    <row r="1072" spans="1:23" ht="15.75" customHeight="1" x14ac:dyDescent="0.25">
      <c r="A1072" s="23"/>
      <c r="B1072" s="23" t="str">
        <f t="shared" si="5"/>
        <v/>
      </c>
      <c r="C1072" s="23"/>
      <c r="D1072" s="44"/>
      <c r="E1072" s="23"/>
      <c r="F1072" s="45"/>
      <c r="G1072" s="23"/>
      <c r="H1072" s="23"/>
      <c r="I1072" s="23"/>
      <c r="J1072" s="25"/>
      <c r="K1072" s="23"/>
      <c r="L1072" s="23"/>
      <c r="M1072" s="23"/>
      <c r="N1072" s="26"/>
      <c r="O1072" s="26"/>
      <c r="P1072" s="26"/>
      <c r="Q1072" s="26"/>
      <c r="R1072" s="26"/>
      <c r="S1072" s="26"/>
      <c r="T1072" s="26"/>
      <c r="U1072" s="26"/>
      <c r="V1072" s="26"/>
      <c r="W1072" s="27"/>
    </row>
    <row r="1073" spans="1:23" ht="15.75" customHeight="1" x14ac:dyDescent="0.25">
      <c r="A1073" s="23"/>
      <c r="B1073" s="23" t="str">
        <f t="shared" si="5"/>
        <v/>
      </c>
      <c r="C1073" s="23"/>
      <c r="D1073" s="44"/>
      <c r="E1073" s="23"/>
      <c r="F1073" s="45"/>
      <c r="G1073" s="23"/>
      <c r="H1073" s="23"/>
      <c r="I1073" s="23"/>
      <c r="J1073" s="25"/>
      <c r="K1073" s="23"/>
      <c r="L1073" s="23"/>
      <c r="M1073" s="23"/>
      <c r="N1073" s="26"/>
      <c r="O1073" s="26"/>
      <c r="P1073" s="26"/>
      <c r="Q1073" s="26"/>
      <c r="R1073" s="26"/>
      <c r="S1073" s="26"/>
      <c r="T1073" s="26"/>
      <c r="U1073" s="26"/>
      <c r="V1073" s="26"/>
      <c r="W1073" s="27"/>
    </row>
    <row r="1074" spans="1:23" ht="15.75" customHeight="1" x14ac:dyDescent="0.25">
      <c r="A1074" s="23"/>
      <c r="B1074" s="23" t="str">
        <f t="shared" si="5"/>
        <v/>
      </c>
      <c r="C1074" s="23"/>
      <c r="D1074" s="44"/>
      <c r="E1074" s="23"/>
      <c r="F1074" s="45"/>
      <c r="G1074" s="23"/>
      <c r="H1074" s="23"/>
      <c r="I1074" s="23"/>
      <c r="J1074" s="25"/>
      <c r="K1074" s="23"/>
      <c r="L1074" s="23"/>
      <c r="M1074" s="23"/>
      <c r="N1074" s="26"/>
      <c r="O1074" s="26"/>
      <c r="P1074" s="26"/>
      <c r="Q1074" s="26"/>
      <c r="R1074" s="26"/>
      <c r="S1074" s="26"/>
      <c r="T1074" s="26"/>
      <c r="U1074" s="26"/>
      <c r="V1074" s="26"/>
      <c r="W1074" s="27"/>
    </row>
    <row r="1075" spans="1:23" ht="15.75" customHeight="1" x14ac:dyDescent="0.25">
      <c r="A1075" s="23"/>
      <c r="B1075" s="23" t="str">
        <f t="shared" si="5"/>
        <v/>
      </c>
      <c r="C1075" s="23"/>
      <c r="D1075" s="44"/>
      <c r="E1075" s="23"/>
      <c r="F1075" s="45"/>
      <c r="G1075" s="23"/>
      <c r="H1075" s="23"/>
      <c r="I1075" s="23"/>
      <c r="J1075" s="25"/>
      <c r="K1075" s="23"/>
      <c r="L1075" s="23"/>
      <c r="M1075" s="23"/>
      <c r="N1075" s="26"/>
      <c r="O1075" s="26"/>
      <c r="P1075" s="26"/>
      <c r="Q1075" s="26"/>
      <c r="R1075" s="26"/>
      <c r="S1075" s="26"/>
      <c r="T1075" s="26"/>
      <c r="U1075" s="26"/>
      <c r="V1075" s="26"/>
      <c r="W1075" s="27"/>
    </row>
    <row r="1076" spans="1:23" ht="15.75" customHeight="1" x14ac:dyDescent="0.25">
      <c r="A1076" s="23"/>
      <c r="B1076" s="23" t="str">
        <f t="shared" si="5"/>
        <v/>
      </c>
      <c r="C1076" s="23"/>
      <c r="D1076" s="44"/>
      <c r="E1076" s="23"/>
      <c r="F1076" s="45"/>
      <c r="G1076" s="23"/>
      <c r="H1076" s="23"/>
      <c r="I1076" s="23"/>
      <c r="J1076" s="25"/>
      <c r="K1076" s="23"/>
      <c r="L1076" s="23"/>
      <c r="M1076" s="23"/>
      <c r="N1076" s="26"/>
      <c r="O1076" s="26"/>
      <c r="P1076" s="26"/>
      <c r="Q1076" s="26"/>
      <c r="R1076" s="26"/>
      <c r="S1076" s="26"/>
      <c r="T1076" s="26"/>
      <c r="U1076" s="26"/>
      <c r="V1076" s="26"/>
      <c r="W1076" s="27"/>
    </row>
    <row r="1077" spans="1:23" ht="15.75" customHeight="1" x14ac:dyDescent="0.25">
      <c r="A1077" s="23"/>
      <c r="B1077" s="23" t="str">
        <f t="shared" si="5"/>
        <v/>
      </c>
      <c r="C1077" s="23"/>
      <c r="D1077" s="44"/>
      <c r="E1077" s="23"/>
      <c r="F1077" s="45"/>
      <c r="G1077" s="23"/>
      <c r="H1077" s="23"/>
      <c r="I1077" s="23"/>
      <c r="J1077" s="25"/>
      <c r="K1077" s="23"/>
      <c r="L1077" s="23"/>
      <c r="M1077" s="23"/>
      <c r="N1077" s="26"/>
      <c r="O1077" s="26"/>
      <c r="P1077" s="26"/>
      <c r="Q1077" s="26"/>
      <c r="R1077" s="26"/>
      <c r="S1077" s="26"/>
      <c r="T1077" s="26"/>
      <c r="U1077" s="26"/>
      <c r="V1077" s="26"/>
      <c r="W1077" s="27"/>
    </row>
    <row r="1078" spans="1:23" ht="15.75" customHeight="1" x14ac:dyDescent="0.25">
      <c r="A1078" s="23"/>
      <c r="B1078" s="23" t="str">
        <f t="shared" si="5"/>
        <v/>
      </c>
      <c r="C1078" s="23"/>
      <c r="D1078" s="44"/>
      <c r="E1078" s="23"/>
      <c r="F1078" s="45"/>
      <c r="G1078" s="23"/>
      <c r="H1078" s="23"/>
      <c r="I1078" s="23"/>
      <c r="J1078" s="25"/>
      <c r="K1078" s="23"/>
      <c r="L1078" s="23"/>
      <c r="M1078" s="23"/>
      <c r="N1078" s="26"/>
      <c r="O1078" s="26"/>
      <c r="P1078" s="26"/>
      <c r="Q1078" s="26"/>
      <c r="R1078" s="26"/>
      <c r="S1078" s="26"/>
      <c r="T1078" s="26"/>
      <c r="U1078" s="26"/>
      <c r="V1078" s="26"/>
      <c r="W1078" s="27"/>
    </row>
    <row r="1079" spans="1:23" ht="15.75" customHeight="1" x14ac:dyDescent="0.25">
      <c r="A1079" s="23"/>
      <c r="B1079" s="23" t="str">
        <f t="shared" si="5"/>
        <v/>
      </c>
      <c r="C1079" s="23"/>
      <c r="D1079" s="44"/>
      <c r="E1079" s="23"/>
      <c r="F1079" s="45"/>
      <c r="G1079" s="23"/>
      <c r="H1079" s="23"/>
      <c r="I1079" s="23"/>
      <c r="J1079" s="25"/>
      <c r="K1079" s="23"/>
      <c r="L1079" s="23"/>
      <c r="M1079" s="23"/>
      <c r="N1079" s="26"/>
      <c r="O1079" s="26"/>
      <c r="P1079" s="26"/>
      <c r="Q1079" s="26"/>
      <c r="R1079" s="26"/>
      <c r="S1079" s="26"/>
      <c r="T1079" s="26"/>
      <c r="U1079" s="26"/>
      <c r="V1079" s="26"/>
      <c r="W1079" s="27"/>
    </row>
    <row r="1080" spans="1:23" ht="15.75" customHeight="1" x14ac:dyDescent="0.25">
      <c r="A1080" s="23"/>
      <c r="B1080" s="23" t="str">
        <f t="shared" si="5"/>
        <v/>
      </c>
      <c r="C1080" s="23"/>
      <c r="D1080" s="44"/>
      <c r="E1080" s="23"/>
      <c r="F1080" s="45"/>
      <c r="G1080" s="23"/>
      <c r="H1080" s="23"/>
      <c r="I1080" s="23"/>
      <c r="J1080" s="25"/>
      <c r="K1080" s="23"/>
      <c r="L1080" s="23"/>
      <c r="M1080" s="23"/>
      <c r="N1080" s="26"/>
      <c r="O1080" s="26"/>
      <c r="P1080" s="26"/>
      <c r="Q1080" s="26"/>
      <c r="R1080" s="26"/>
      <c r="S1080" s="26"/>
      <c r="T1080" s="26"/>
      <c r="U1080" s="26"/>
      <c r="V1080" s="26"/>
      <c r="W1080" s="27"/>
    </row>
    <row r="1081" spans="1:23" ht="15.75" customHeight="1" x14ac:dyDescent="0.25">
      <c r="A1081" s="23"/>
      <c r="B1081" s="23" t="str">
        <f t="shared" si="5"/>
        <v/>
      </c>
      <c r="C1081" s="23"/>
      <c r="D1081" s="44"/>
      <c r="E1081" s="23"/>
      <c r="F1081" s="45"/>
      <c r="G1081" s="23"/>
      <c r="H1081" s="23"/>
      <c r="I1081" s="23"/>
      <c r="J1081" s="25"/>
      <c r="K1081" s="23"/>
      <c r="L1081" s="23"/>
      <c r="M1081" s="23"/>
      <c r="N1081" s="26"/>
      <c r="O1081" s="26"/>
      <c r="P1081" s="26"/>
      <c r="Q1081" s="26"/>
      <c r="R1081" s="26"/>
      <c r="S1081" s="26"/>
      <c r="T1081" s="26"/>
      <c r="U1081" s="26"/>
      <c r="V1081" s="26"/>
      <c r="W1081" s="27"/>
    </row>
    <row r="1082" spans="1:23" ht="15.75" customHeight="1" x14ac:dyDescent="0.25">
      <c r="A1082" s="23"/>
      <c r="B1082" s="23" t="str">
        <f t="shared" si="5"/>
        <v/>
      </c>
      <c r="C1082" s="23"/>
      <c r="D1082" s="44"/>
      <c r="E1082" s="23"/>
      <c r="F1082" s="45"/>
      <c r="G1082" s="23"/>
      <c r="H1082" s="23"/>
      <c r="I1082" s="23"/>
      <c r="J1082" s="25"/>
      <c r="K1082" s="23"/>
      <c r="L1082" s="23"/>
      <c r="M1082" s="23"/>
      <c r="N1082" s="26"/>
      <c r="O1082" s="26"/>
      <c r="P1082" s="26"/>
      <c r="Q1082" s="26"/>
      <c r="R1082" s="26"/>
      <c r="S1082" s="26"/>
      <c r="T1082" s="26"/>
      <c r="U1082" s="26"/>
      <c r="V1082" s="26"/>
      <c r="W1082" s="27"/>
    </row>
    <row r="1083" spans="1:23" ht="15.75" customHeight="1" x14ac:dyDescent="0.25">
      <c r="A1083" s="23"/>
      <c r="B1083" s="23" t="str">
        <f t="shared" si="5"/>
        <v/>
      </c>
      <c r="C1083" s="23"/>
      <c r="D1083" s="44"/>
      <c r="E1083" s="23"/>
      <c r="F1083" s="45"/>
      <c r="G1083" s="23"/>
      <c r="H1083" s="23"/>
      <c r="I1083" s="23"/>
      <c r="J1083" s="25"/>
      <c r="K1083" s="23"/>
      <c r="L1083" s="23"/>
      <c r="M1083" s="23"/>
      <c r="N1083" s="26"/>
      <c r="O1083" s="26"/>
      <c r="P1083" s="26"/>
      <c r="Q1083" s="26"/>
      <c r="R1083" s="26"/>
      <c r="S1083" s="26"/>
      <c r="T1083" s="26"/>
      <c r="U1083" s="26"/>
      <c r="V1083" s="26"/>
      <c r="W1083" s="27"/>
    </row>
    <row r="1084" spans="1:23" ht="15.75" customHeight="1" x14ac:dyDescent="0.25">
      <c r="A1084" s="23"/>
      <c r="B1084" s="23" t="str">
        <f t="shared" si="5"/>
        <v/>
      </c>
      <c r="C1084" s="23"/>
      <c r="D1084" s="44"/>
      <c r="E1084" s="23"/>
      <c r="F1084" s="45"/>
      <c r="G1084" s="23"/>
      <c r="H1084" s="23"/>
      <c r="I1084" s="23"/>
      <c r="J1084" s="25"/>
      <c r="K1084" s="23"/>
      <c r="L1084" s="23"/>
      <c r="M1084" s="23"/>
      <c r="N1084" s="26"/>
      <c r="O1084" s="26"/>
      <c r="P1084" s="26"/>
      <c r="Q1084" s="26"/>
      <c r="R1084" s="26"/>
      <c r="S1084" s="26"/>
      <c r="T1084" s="26"/>
      <c r="U1084" s="26"/>
      <c r="V1084" s="26"/>
      <c r="W1084" s="27"/>
    </row>
    <row r="1085" spans="1:23" ht="15.75" customHeight="1" x14ac:dyDescent="0.25">
      <c r="A1085" s="23"/>
      <c r="B1085" s="23" t="str">
        <f t="shared" si="5"/>
        <v/>
      </c>
      <c r="C1085" s="23"/>
      <c r="D1085" s="44"/>
      <c r="E1085" s="23"/>
      <c r="F1085" s="45"/>
      <c r="G1085" s="23"/>
      <c r="H1085" s="23"/>
      <c r="I1085" s="23"/>
      <c r="J1085" s="25"/>
      <c r="K1085" s="23"/>
      <c r="L1085" s="23"/>
      <c r="M1085" s="23"/>
      <c r="N1085" s="26"/>
      <c r="O1085" s="26"/>
      <c r="P1085" s="26"/>
      <c r="Q1085" s="26"/>
      <c r="R1085" s="26"/>
      <c r="S1085" s="26"/>
      <c r="T1085" s="26"/>
      <c r="U1085" s="26"/>
      <c r="V1085" s="26"/>
      <c r="W1085" s="27"/>
    </row>
    <row r="1086" spans="1:23" ht="15.75" customHeight="1" x14ac:dyDescent="0.25">
      <c r="A1086" s="23"/>
      <c r="B1086" s="23" t="str">
        <f t="shared" si="5"/>
        <v/>
      </c>
      <c r="C1086" s="23"/>
      <c r="D1086" s="44"/>
      <c r="E1086" s="23"/>
      <c r="F1086" s="45"/>
      <c r="G1086" s="23"/>
      <c r="H1086" s="23"/>
      <c r="I1086" s="23"/>
      <c r="J1086" s="25"/>
      <c r="K1086" s="23"/>
      <c r="L1086" s="23"/>
      <c r="M1086" s="23"/>
      <c r="N1086" s="26"/>
      <c r="O1086" s="26"/>
      <c r="P1086" s="26"/>
      <c r="Q1086" s="26"/>
      <c r="R1086" s="26"/>
      <c r="S1086" s="26"/>
      <c r="T1086" s="26"/>
      <c r="U1086" s="26"/>
      <c r="V1086" s="26"/>
      <c r="W1086" s="27"/>
    </row>
    <row r="1087" spans="1:23" ht="15.75" customHeight="1" x14ac:dyDescent="0.25">
      <c r="A1087" s="23"/>
      <c r="B1087" s="23" t="str">
        <f t="shared" si="5"/>
        <v/>
      </c>
      <c r="C1087" s="23"/>
      <c r="D1087" s="44"/>
      <c r="E1087" s="23"/>
      <c r="F1087" s="45"/>
      <c r="G1087" s="23"/>
      <c r="H1087" s="23"/>
      <c r="I1087" s="23"/>
      <c r="J1087" s="25"/>
      <c r="K1087" s="23"/>
      <c r="L1087" s="23"/>
      <c r="M1087" s="23"/>
      <c r="N1087" s="26"/>
      <c r="O1087" s="26"/>
      <c r="P1087" s="26"/>
      <c r="Q1087" s="26"/>
      <c r="R1087" s="26"/>
      <c r="S1087" s="26"/>
      <c r="T1087" s="26"/>
      <c r="U1087" s="26"/>
      <c r="V1087" s="26"/>
      <c r="W1087" s="27"/>
    </row>
    <row r="1088" spans="1:23" ht="15.75" customHeight="1" x14ac:dyDescent="0.25">
      <c r="A1088" s="23"/>
      <c r="B1088" s="23" t="str">
        <f t="shared" si="5"/>
        <v/>
      </c>
      <c r="C1088" s="23"/>
      <c r="D1088" s="44"/>
      <c r="E1088" s="23"/>
      <c r="F1088" s="45"/>
      <c r="G1088" s="23"/>
      <c r="H1088" s="23"/>
      <c r="I1088" s="23"/>
      <c r="J1088" s="25"/>
      <c r="K1088" s="23"/>
      <c r="L1088" s="23"/>
      <c r="M1088" s="23"/>
      <c r="N1088" s="26"/>
      <c r="O1088" s="26"/>
      <c r="P1088" s="26"/>
      <c r="Q1088" s="26"/>
      <c r="R1088" s="26"/>
      <c r="S1088" s="26"/>
      <c r="T1088" s="26"/>
      <c r="U1088" s="26"/>
      <c r="V1088" s="26"/>
      <c r="W1088" s="27"/>
    </row>
    <row r="1089" spans="1:23" ht="15.75" customHeight="1" x14ac:dyDescent="0.25">
      <c r="A1089" s="23"/>
      <c r="B1089" s="23" t="str">
        <f t="shared" si="5"/>
        <v/>
      </c>
      <c r="C1089" s="23"/>
      <c r="D1089" s="44"/>
      <c r="E1089" s="23"/>
      <c r="F1089" s="45"/>
      <c r="G1089" s="23"/>
      <c r="H1089" s="23"/>
      <c r="I1089" s="23"/>
      <c r="J1089" s="25"/>
      <c r="K1089" s="23"/>
      <c r="L1089" s="23"/>
      <c r="M1089" s="23"/>
      <c r="N1089" s="26"/>
      <c r="O1089" s="26"/>
      <c r="P1089" s="26"/>
      <c r="Q1089" s="26"/>
      <c r="R1089" s="26"/>
      <c r="S1089" s="26"/>
      <c r="T1089" s="26"/>
      <c r="U1089" s="26"/>
      <c r="V1089" s="26"/>
      <c r="W1089" s="27"/>
    </row>
    <row r="1090" spans="1:23" ht="15.75" customHeight="1" x14ac:dyDescent="0.25">
      <c r="A1090" s="23"/>
      <c r="B1090" s="23" t="str">
        <f t="shared" si="5"/>
        <v/>
      </c>
      <c r="C1090" s="23"/>
      <c r="D1090" s="44"/>
      <c r="E1090" s="23"/>
      <c r="F1090" s="45"/>
      <c r="G1090" s="23"/>
      <c r="H1090" s="23"/>
      <c r="I1090" s="23"/>
      <c r="J1090" s="25"/>
      <c r="K1090" s="23"/>
      <c r="L1090" s="23"/>
      <c r="M1090" s="23"/>
      <c r="N1090" s="26"/>
      <c r="O1090" s="26"/>
      <c r="P1090" s="26"/>
      <c r="Q1090" s="26"/>
      <c r="R1090" s="26"/>
      <c r="S1090" s="26"/>
      <c r="T1090" s="26"/>
      <c r="U1090" s="26"/>
      <c r="V1090" s="26"/>
      <c r="W1090" s="27"/>
    </row>
    <row r="1091" spans="1:23" ht="15.75" customHeight="1" x14ac:dyDescent="0.25">
      <c r="A1091" s="23"/>
      <c r="B1091" s="23" t="str">
        <f t="shared" si="5"/>
        <v/>
      </c>
      <c r="C1091" s="23"/>
      <c r="D1091" s="44"/>
      <c r="E1091" s="23"/>
      <c r="F1091" s="45"/>
      <c r="G1091" s="23"/>
      <c r="H1091" s="23"/>
      <c r="I1091" s="23"/>
      <c r="J1091" s="25"/>
      <c r="K1091" s="23"/>
      <c r="L1091" s="23"/>
      <c r="M1091" s="23"/>
      <c r="N1091" s="26"/>
      <c r="O1091" s="26"/>
      <c r="P1091" s="26"/>
      <c r="Q1091" s="26"/>
      <c r="R1091" s="26"/>
      <c r="S1091" s="26"/>
      <c r="T1091" s="26"/>
      <c r="U1091" s="26"/>
      <c r="V1091" s="26"/>
      <c r="W1091" s="27"/>
    </row>
    <row r="1092" spans="1:23" ht="15.75" customHeight="1" x14ac:dyDescent="0.25">
      <c r="A1092" s="23"/>
      <c r="B1092" s="23" t="str">
        <f t="shared" si="5"/>
        <v/>
      </c>
      <c r="C1092" s="23"/>
      <c r="D1092" s="44"/>
      <c r="E1092" s="23"/>
      <c r="F1092" s="45"/>
      <c r="G1092" s="23"/>
      <c r="H1092" s="23"/>
      <c r="I1092" s="23"/>
      <c r="J1092" s="25"/>
      <c r="K1092" s="23"/>
      <c r="L1092" s="23"/>
      <c r="M1092" s="23"/>
      <c r="N1092" s="26"/>
      <c r="O1092" s="26"/>
      <c r="P1092" s="26"/>
      <c r="Q1092" s="26"/>
      <c r="R1092" s="26"/>
      <c r="S1092" s="26"/>
      <c r="T1092" s="26"/>
      <c r="U1092" s="26"/>
      <c r="V1092" s="26"/>
      <c r="W1092" s="27"/>
    </row>
    <row r="1093" spans="1:23" ht="15.75" customHeight="1" x14ac:dyDescent="0.25">
      <c r="A1093" s="23"/>
      <c r="B1093" s="23" t="str">
        <f t="shared" si="5"/>
        <v/>
      </c>
      <c r="C1093" s="23"/>
      <c r="D1093" s="44"/>
      <c r="E1093" s="23"/>
      <c r="F1093" s="45"/>
      <c r="G1093" s="23"/>
      <c r="H1093" s="23"/>
      <c r="I1093" s="23"/>
      <c r="J1093" s="25"/>
      <c r="K1093" s="23"/>
      <c r="L1093" s="23"/>
      <c r="M1093" s="23"/>
      <c r="N1093" s="26"/>
      <c r="O1093" s="26"/>
      <c r="P1093" s="26"/>
      <c r="Q1093" s="26"/>
      <c r="R1093" s="26"/>
      <c r="S1093" s="26"/>
      <c r="T1093" s="26"/>
      <c r="U1093" s="26"/>
      <c r="V1093" s="26"/>
      <c r="W1093" s="27"/>
    </row>
    <row r="1094" spans="1:23" ht="15.75" customHeight="1" x14ac:dyDescent="0.25">
      <c r="A1094" s="23"/>
      <c r="B1094" s="23" t="str">
        <f t="shared" si="5"/>
        <v/>
      </c>
      <c r="C1094" s="23"/>
      <c r="D1094" s="44"/>
      <c r="E1094" s="23"/>
      <c r="F1094" s="45"/>
      <c r="G1094" s="23"/>
      <c r="H1094" s="23"/>
      <c r="I1094" s="23"/>
      <c r="J1094" s="25"/>
      <c r="K1094" s="23"/>
      <c r="L1094" s="23"/>
      <c r="M1094" s="23"/>
      <c r="N1094" s="26"/>
      <c r="O1094" s="26"/>
      <c r="P1094" s="26"/>
      <c r="Q1094" s="26"/>
      <c r="R1094" s="26"/>
      <c r="S1094" s="26"/>
      <c r="T1094" s="26"/>
      <c r="U1094" s="26"/>
      <c r="V1094" s="26"/>
      <c r="W1094" s="27"/>
    </row>
    <row r="1095" spans="1:23" ht="15.75" customHeight="1" x14ac:dyDescent="0.25">
      <c r="A1095" s="23"/>
      <c r="B1095" s="23" t="str">
        <f t="shared" si="5"/>
        <v/>
      </c>
      <c r="C1095" s="23"/>
      <c r="D1095" s="44"/>
      <c r="E1095" s="23"/>
      <c r="F1095" s="45"/>
      <c r="G1095" s="23"/>
      <c r="H1095" s="23"/>
      <c r="I1095" s="23"/>
      <c r="J1095" s="25"/>
      <c r="K1095" s="23"/>
      <c r="L1095" s="23"/>
      <c r="M1095" s="23"/>
      <c r="N1095" s="26"/>
      <c r="O1095" s="26"/>
      <c r="P1095" s="26"/>
      <c r="Q1095" s="26"/>
      <c r="R1095" s="26"/>
      <c r="S1095" s="26"/>
      <c r="T1095" s="26"/>
      <c r="U1095" s="26"/>
      <c r="V1095" s="26"/>
      <c r="W1095" s="27"/>
    </row>
    <row r="1096" spans="1:23" ht="15.75" customHeight="1" x14ac:dyDescent="0.25">
      <c r="A1096" s="23"/>
      <c r="B1096" s="23" t="str">
        <f t="shared" si="5"/>
        <v/>
      </c>
      <c r="C1096" s="23"/>
      <c r="D1096" s="44"/>
      <c r="E1096" s="23"/>
      <c r="F1096" s="45"/>
      <c r="G1096" s="23"/>
      <c r="H1096" s="23"/>
      <c r="I1096" s="23"/>
      <c r="J1096" s="25"/>
      <c r="K1096" s="23"/>
      <c r="L1096" s="23"/>
      <c r="M1096" s="23"/>
      <c r="N1096" s="26"/>
      <c r="O1096" s="26"/>
      <c r="P1096" s="26"/>
      <c r="Q1096" s="26"/>
      <c r="R1096" s="26"/>
      <c r="S1096" s="26"/>
      <c r="T1096" s="26"/>
      <c r="U1096" s="26"/>
      <c r="V1096" s="26"/>
      <c r="W1096" s="27"/>
    </row>
    <row r="1097" spans="1:23" ht="15.75" customHeight="1" x14ac:dyDescent="0.25">
      <c r="A1097" s="23"/>
      <c r="B1097" s="23" t="str">
        <f t="shared" si="5"/>
        <v/>
      </c>
      <c r="C1097" s="23"/>
      <c r="D1097" s="44"/>
      <c r="E1097" s="23"/>
      <c r="F1097" s="45"/>
      <c r="G1097" s="23"/>
      <c r="H1097" s="23"/>
      <c r="I1097" s="23"/>
      <c r="J1097" s="25"/>
      <c r="K1097" s="23"/>
      <c r="L1097" s="23"/>
      <c r="M1097" s="23"/>
      <c r="N1097" s="26"/>
      <c r="O1097" s="26"/>
      <c r="P1097" s="26"/>
      <c r="Q1097" s="26"/>
      <c r="R1097" s="26"/>
      <c r="S1097" s="26"/>
      <c r="T1097" s="26"/>
      <c r="U1097" s="26"/>
      <c r="V1097" s="26"/>
      <c r="W1097" s="27"/>
    </row>
    <row r="1098" spans="1:23" ht="15.75" customHeight="1" x14ac:dyDescent="0.25">
      <c r="A1098" s="23"/>
      <c r="B1098" s="23" t="str">
        <f t="shared" si="5"/>
        <v/>
      </c>
      <c r="C1098" s="23"/>
      <c r="D1098" s="44"/>
      <c r="E1098" s="23"/>
      <c r="F1098" s="45"/>
      <c r="G1098" s="23"/>
      <c r="H1098" s="23"/>
      <c r="I1098" s="23"/>
      <c r="J1098" s="25"/>
      <c r="K1098" s="23"/>
      <c r="L1098" s="23"/>
      <c r="M1098" s="23"/>
      <c r="N1098" s="26"/>
      <c r="O1098" s="26"/>
      <c r="P1098" s="26"/>
      <c r="Q1098" s="26"/>
      <c r="R1098" s="26"/>
      <c r="S1098" s="26"/>
      <c r="T1098" s="26"/>
      <c r="U1098" s="26"/>
      <c r="V1098" s="26"/>
      <c r="W1098" s="27"/>
    </row>
    <row r="1099" spans="1:23" ht="15.75" customHeight="1" x14ac:dyDescent="0.25">
      <c r="A1099" s="23"/>
      <c r="B1099" s="23" t="str">
        <f t="shared" si="5"/>
        <v/>
      </c>
      <c r="C1099" s="23"/>
      <c r="D1099" s="44"/>
      <c r="E1099" s="23"/>
      <c r="F1099" s="45"/>
      <c r="G1099" s="23"/>
      <c r="H1099" s="23"/>
      <c r="I1099" s="23"/>
      <c r="J1099" s="25"/>
      <c r="K1099" s="23"/>
      <c r="L1099" s="23"/>
      <c r="M1099" s="23"/>
      <c r="N1099" s="26"/>
      <c r="O1099" s="26"/>
      <c r="P1099" s="26"/>
      <c r="Q1099" s="26"/>
      <c r="R1099" s="26"/>
      <c r="S1099" s="26"/>
      <c r="T1099" s="26"/>
      <c r="U1099" s="26"/>
      <c r="V1099" s="26"/>
      <c r="W1099" s="27"/>
    </row>
    <row r="1100" spans="1:23" ht="15.75" customHeight="1" x14ac:dyDescent="0.25">
      <c r="A1100" s="23"/>
      <c r="B1100" s="23" t="str">
        <f t="shared" si="5"/>
        <v/>
      </c>
      <c r="C1100" s="23"/>
      <c r="D1100" s="44"/>
      <c r="E1100" s="23"/>
      <c r="F1100" s="45"/>
      <c r="G1100" s="23"/>
      <c r="H1100" s="23"/>
      <c r="I1100" s="23"/>
      <c r="J1100" s="25"/>
      <c r="K1100" s="23"/>
      <c r="L1100" s="23"/>
      <c r="M1100" s="23"/>
      <c r="N1100" s="26"/>
      <c r="O1100" s="26"/>
      <c r="P1100" s="26"/>
      <c r="Q1100" s="26"/>
      <c r="R1100" s="26"/>
      <c r="S1100" s="26"/>
      <c r="T1100" s="26"/>
      <c r="U1100" s="26"/>
      <c r="V1100" s="26"/>
      <c r="W1100" s="27"/>
    </row>
    <row r="1101" spans="1:23" ht="15.75" customHeight="1" x14ac:dyDescent="0.25">
      <c r="A1101" s="23"/>
      <c r="B1101" s="23" t="str">
        <f t="shared" si="5"/>
        <v/>
      </c>
      <c r="C1101" s="23"/>
      <c r="D1101" s="44"/>
      <c r="E1101" s="23"/>
      <c r="F1101" s="45"/>
      <c r="G1101" s="23"/>
      <c r="H1101" s="23"/>
      <c r="I1101" s="23"/>
      <c r="J1101" s="25"/>
      <c r="K1101" s="23"/>
      <c r="L1101" s="23"/>
      <c r="M1101" s="23"/>
      <c r="N1101" s="26"/>
      <c r="O1101" s="26"/>
      <c r="P1101" s="26"/>
      <c r="Q1101" s="26"/>
      <c r="R1101" s="26"/>
      <c r="S1101" s="26"/>
      <c r="T1101" s="26"/>
      <c r="U1101" s="26"/>
      <c r="V1101" s="26"/>
      <c r="W1101" s="27"/>
    </row>
    <row r="1102" spans="1:23" ht="15.75" customHeight="1" x14ac:dyDescent="0.25">
      <c r="A1102" s="23"/>
      <c r="B1102" s="23" t="str">
        <f t="shared" si="5"/>
        <v/>
      </c>
      <c r="C1102" s="23"/>
      <c r="D1102" s="44"/>
      <c r="E1102" s="23"/>
      <c r="F1102" s="45"/>
      <c r="G1102" s="23"/>
      <c r="H1102" s="23"/>
      <c r="I1102" s="23"/>
      <c r="J1102" s="25"/>
      <c r="K1102" s="23"/>
      <c r="L1102" s="23"/>
      <c r="M1102" s="23"/>
      <c r="N1102" s="26"/>
      <c r="O1102" s="26"/>
      <c r="P1102" s="26"/>
      <c r="Q1102" s="26"/>
      <c r="R1102" s="26"/>
      <c r="S1102" s="26"/>
      <c r="T1102" s="26"/>
      <c r="U1102" s="26"/>
      <c r="V1102" s="26"/>
      <c r="W1102" s="27"/>
    </row>
    <row r="1103" spans="1:23" ht="15.75" customHeight="1" x14ac:dyDescent="0.25">
      <c r="A1103" s="23"/>
      <c r="B1103" s="23" t="str">
        <f t="shared" si="5"/>
        <v/>
      </c>
      <c r="C1103" s="23"/>
      <c r="D1103" s="44"/>
      <c r="E1103" s="23"/>
      <c r="F1103" s="45"/>
      <c r="G1103" s="23"/>
      <c r="H1103" s="23"/>
      <c r="I1103" s="23"/>
      <c r="J1103" s="25"/>
      <c r="K1103" s="23"/>
      <c r="L1103" s="23"/>
      <c r="M1103" s="23"/>
      <c r="N1103" s="26"/>
      <c r="O1103" s="26"/>
      <c r="P1103" s="26"/>
      <c r="Q1103" s="26"/>
      <c r="R1103" s="26"/>
      <c r="S1103" s="26"/>
      <c r="T1103" s="26"/>
      <c r="U1103" s="26"/>
      <c r="V1103" s="26"/>
      <c r="W1103" s="27"/>
    </row>
    <row r="1104" spans="1:23" ht="15.75" customHeight="1" x14ac:dyDescent="0.25">
      <c r="A1104" s="23"/>
      <c r="B1104" s="23" t="str">
        <f t="shared" si="5"/>
        <v/>
      </c>
      <c r="C1104" s="23"/>
      <c r="D1104" s="44"/>
      <c r="E1104" s="23"/>
      <c r="F1104" s="45"/>
      <c r="G1104" s="23"/>
      <c r="H1104" s="23"/>
      <c r="I1104" s="23"/>
      <c r="J1104" s="25"/>
      <c r="K1104" s="23"/>
      <c r="L1104" s="23"/>
      <c r="M1104" s="23"/>
      <c r="N1104" s="26"/>
      <c r="O1104" s="26"/>
      <c r="P1104" s="26"/>
      <c r="Q1104" s="26"/>
      <c r="R1104" s="26"/>
      <c r="S1104" s="26"/>
      <c r="T1104" s="26"/>
      <c r="U1104" s="26"/>
      <c r="V1104" s="26"/>
      <c r="W1104" s="27"/>
    </row>
    <row r="1105" spans="1:23" ht="15.75" customHeight="1" x14ac:dyDescent="0.25">
      <c r="A1105" s="23"/>
      <c r="B1105" s="23" t="str">
        <f t="shared" si="5"/>
        <v/>
      </c>
      <c r="C1105" s="23"/>
      <c r="D1105" s="44"/>
      <c r="E1105" s="23"/>
      <c r="F1105" s="45"/>
      <c r="G1105" s="23"/>
      <c r="H1105" s="23"/>
      <c r="I1105" s="23"/>
      <c r="J1105" s="25"/>
      <c r="K1105" s="23"/>
      <c r="L1105" s="23"/>
      <c r="M1105" s="23"/>
      <c r="N1105" s="26"/>
      <c r="O1105" s="26"/>
      <c r="P1105" s="26"/>
      <c r="Q1105" s="26"/>
      <c r="R1105" s="26"/>
      <c r="S1105" s="26"/>
      <c r="T1105" s="26"/>
      <c r="U1105" s="26"/>
      <c r="V1105" s="26"/>
      <c r="W1105" s="27"/>
    </row>
    <row r="1106" spans="1:23" ht="15.75" customHeight="1" x14ac:dyDescent="0.25">
      <c r="A1106" s="23"/>
      <c r="B1106" s="23" t="str">
        <f t="shared" si="5"/>
        <v/>
      </c>
      <c r="C1106" s="23"/>
      <c r="D1106" s="44"/>
      <c r="E1106" s="23"/>
      <c r="F1106" s="45"/>
      <c r="G1106" s="23"/>
      <c r="H1106" s="23"/>
      <c r="I1106" s="23"/>
      <c r="J1106" s="25"/>
      <c r="K1106" s="23"/>
      <c r="L1106" s="23"/>
      <c r="M1106" s="23"/>
      <c r="N1106" s="26"/>
      <c r="O1106" s="26"/>
      <c r="P1106" s="26"/>
      <c r="Q1106" s="26"/>
      <c r="R1106" s="26"/>
      <c r="S1106" s="26"/>
      <c r="T1106" s="26"/>
      <c r="U1106" s="26"/>
      <c r="V1106" s="26"/>
      <c r="W1106" s="27"/>
    </row>
    <row r="1107" spans="1:23" ht="15.75" customHeight="1" x14ac:dyDescent="0.25">
      <c r="A1107" s="23"/>
      <c r="B1107" s="23" t="str">
        <f t="shared" si="5"/>
        <v/>
      </c>
      <c r="C1107" s="23"/>
      <c r="D1107" s="44"/>
      <c r="E1107" s="23"/>
      <c r="F1107" s="45"/>
      <c r="G1107" s="23"/>
      <c r="H1107" s="23"/>
      <c r="I1107" s="23"/>
      <c r="J1107" s="25"/>
      <c r="K1107" s="23"/>
      <c r="L1107" s="23"/>
      <c r="M1107" s="23"/>
      <c r="N1107" s="26"/>
      <c r="O1107" s="26"/>
      <c r="P1107" s="26"/>
      <c r="Q1107" s="26"/>
      <c r="R1107" s="26"/>
      <c r="S1107" s="26"/>
      <c r="T1107" s="26"/>
      <c r="U1107" s="26"/>
      <c r="V1107" s="26"/>
      <c r="W1107" s="27"/>
    </row>
    <row r="1108" spans="1:23" ht="15.75" customHeight="1" x14ac:dyDescent="0.25">
      <c r="A1108" s="23"/>
      <c r="B1108" s="23" t="str">
        <f t="shared" si="5"/>
        <v/>
      </c>
      <c r="C1108" s="23"/>
      <c r="D1108" s="44"/>
      <c r="E1108" s="23"/>
      <c r="F1108" s="45"/>
      <c r="G1108" s="23"/>
      <c r="H1108" s="23"/>
      <c r="I1108" s="23"/>
      <c r="J1108" s="25"/>
      <c r="K1108" s="23"/>
      <c r="L1108" s="23"/>
      <c r="M1108" s="23"/>
      <c r="N1108" s="26"/>
      <c r="O1108" s="26"/>
      <c r="P1108" s="26"/>
      <c r="Q1108" s="26"/>
      <c r="R1108" s="26"/>
      <c r="S1108" s="26"/>
      <c r="T1108" s="26"/>
      <c r="U1108" s="26"/>
      <c r="V1108" s="26"/>
      <c r="W1108" s="27"/>
    </row>
    <row r="1109" spans="1:23" ht="15.75" customHeight="1" x14ac:dyDescent="0.25">
      <c r="A1109" s="23"/>
      <c r="B1109" s="23" t="str">
        <f t="shared" si="5"/>
        <v/>
      </c>
      <c r="C1109" s="23"/>
      <c r="D1109" s="44"/>
      <c r="E1109" s="23"/>
      <c r="F1109" s="45"/>
      <c r="G1109" s="23"/>
      <c r="H1109" s="23"/>
      <c r="I1109" s="23"/>
      <c r="J1109" s="25"/>
      <c r="K1109" s="23"/>
      <c r="L1109" s="23"/>
      <c r="M1109" s="23"/>
      <c r="N1109" s="26"/>
      <c r="O1109" s="26"/>
      <c r="P1109" s="26"/>
      <c r="Q1109" s="26"/>
      <c r="R1109" s="26"/>
      <c r="S1109" s="26"/>
      <c r="T1109" s="26"/>
      <c r="U1109" s="26"/>
      <c r="V1109" s="26"/>
      <c r="W1109" s="27"/>
    </row>
    <row r="1110" spans="1:23" ht="15.75" customHeight="1" x14ac:dyDescent="0.25">
      <c r="A1110" s="23"/>
      <c r="B1110" s="23" t="str">
        <f t="shared" si="5"/>
        <v/>
      </c>
      <c r="C1110" s="23"/>
      <c r="D1110" s="44"/>
      <c r="E1110" s="23"/>
      <c r="F1110" s="45"/>
      <c r="G1110" s="23"/>
      <c r="H1110" s="23"/>
      <c r="I1110" s="23"/>
      <c r="J1110" s="25"/>
      <c r="K1110" s="23"/>
      <c r="L1110" s="23"/>
      <c r="M1110" s="23"/>
      <c r="N1110" s="26"/>
      <c r="O1110" s="26"/>
      <c r="P1110" s="26"/>
      <c r="Q1110" s="26"/>
      <c r="R1110" s="26"/>
      <c r="S1110" s="26"/>
      <c r="T1110" s="26"/>
      <c r="U1110" s="26"/>
      <c r="V1110" s="26"/>
      <c r="W1110" s="27"/>
    </row>
    <row r="1111" spans="1:23" ht="15.75" customHeight="1" x14ac:dyDescent="0.25">
      <c r="A1111" s="23"/>
      <c r="B1111" s="23" t="str">
        <f t="shared" si="5"/>
        <v/>
      </c>
      <c r="C1111" s="23"/>
      <c r="D1111" s="44"/>
      <c r="E1111" s="23"/>
      <c r="F1111" s="45"/>
      <c r="G1111" s="23"/>
      <c r="H1111" s="23"/>
      <c r="I1111" s="23"/>
      <c r="J1111" s="25"/>
      <c r="K1111" s="23"/>
      <c r="L1111" s="23"/>
      <c r="M1111" s="23"/>
      <c r="N1111" s="26"/>
      <c r="O1111" s="26"/>
      <c r="P1111" s="26"/>
      <c r="Q1111" s="26"/>
      <c r="R1111" s="26"/>
      <c r="S1111" s="26"/>
      <c r="T1111" s="26"/>
      <c r="U1111" s="26"/>
      <c r="V1111" s="26"/>
      <c r="W1111" s="27"/>
    </row>
    <row r="1112" spans="1:23" ht="15.75" customHeight="1" x14ac:dyDescent="0.25">
      <c r="A1112" s="23"/>
      <c r="B1112" s="23" t="str">
        <f t="shared" si="5"/>
        <v/>
      </c>
      <c r="C1112" s="23"/>
      <c r="D1112" s="44"/>
      <c r="E1112" s="23"/>
      <c r="F1112" s="45"/>
      <c r="G1112" s="23"/>
      <c r="H1112" s="23"/>
      <c r="I1112" s="23"/>
      <c r="J1112" s="25"/>
      <c r="K1112" s="23"/>
      <c r="L1112" s="23"/>
      <c r="M1112" s="23"/>
      <c r="N1112" s="26"/>
      <c r="O1112" s="26"/>
      <c r="P1112" s="26"/>
      <c r="Q1112" s="26"/>
      <c r="R1112" s="26"/>
      <c r="S1112" s="26"/>
      <c r="T1112" s="26"/>
      <c r="U1112" s="26"/>
      <c r="V1112" s="26"/>
      <c r="W1112" s="27"/>
    </row>
    <row r="1113" spans="1:23" ht="15.75" customHeight="1" x14ac:dyDescent="0.25">
      <c r="A1113" s="23"/>
      <c r="B1113" s="23" t="str">
        <f t="shared" si="5"/>
        <v/>
      </c>
      <c r="C1113" s="23"/>
      <c r="D1113" s="44"/>
      <c r="E1113" s="23"/>
      <c r="F1113" s="45"/>
      <c r="G1113" s="23"/>
      <c r="H1113" s="23"/>
      <c r="I1113" s="23"/>
      <c r="J1113" s="25"/>
      <c r="K1113" s="23"/>
      <c r="L1113" s="23"/>
      <c r="M1113" s="23"/>
      <c r="N1113" s="26"/>
      <c r="O1113" s="26"/>
      <c r="P1113" s="26"/>
      <c r="Q1113" s="26"/>
      <c r="R1113" s="26"/>
      <c r="S1113" s="26"/>
      <c r="T1113" s="26"/>
      <c r="U1113" s="26"/>
      <c r="V1113" s="26"/>
      <c r="W1113" s="27"/>
    </row>
    <row r="1114" spans="1:23" ht="15.75" customHeight="1" x14ac:dyDescent="0.25">
      <c r="A1114" s="23"/>
      <c r="B1114" s="23" t="str">
        <f t="shared" si="5"/>
        <v/>
      </c>
      <c r="C1114" s="23"/>
      <c r="D1114" s="44"/>
      <c r="E1114" s="23"/>
      <c r="F1114" s="45"/>
      <c r="G1114" s="23"/>
      <c r="H1114" s="23"/>
      <c r="I1114" s="23"/>
      <c r="J1114" s="25"/>
      <c r="K1114" s="23"/>
      <c r="L1114" s="23"/>
      <c r="M1114" s="23"/>
      <c r="N1114" s="26"/>
      <c r="O1114" s="26"/>
      <c r="P1114" s="26"/>
      <c r="Q1114" s="26"/>
      <c r="R1114" s="26"/>
      <c r="S1114" s="26"/>
      <c r="T1114" s="26"/>
      <c r="U1114" s="26"/>
      <c r="V1114" s="26"/>
      <c r="W1114" s="27"/>
    </row>
    <row r="1115" spans="1:23" ht="15.75" customHeight="1" x14ac:dyDescent="0.25">
      <c r="A1115" s="23"/>
      <c r="B1115" s="23" t="str">
        <f t="shared" si="5"/>
        <v/>
      </c>
      <c r="C1115" s="23"/>
      <c r="D1115" s="44"/>
      <c r="E1115" s="23"/>
      <c r="F1115" s="45"/>
      <c r="G1115" s="23"/>
      <c r="H1115" s="23"/>
      <c r="I1115" s="23"/>
      <c r="J1115" s="25"/>
      <c r="K1115" s="23"/>
      <c r="L1115" s="23"/>
      <c r="M1115" s="23"/>
      <c r="N1115" s="26"/>
      <c r="O1115" s="26"/>
      <c r="P1115" s="26"/>
      <c r="Q1115" s="26"/>
      <c r="R1115" s="26"/>
      <c r="S1115" s="26"/>
      <c r="T1115" s="26"/>
      <c r="U1115" s="26"/>
      <c r="V1115" s="26"/>
      <c r="W1115" s="27"/>
    </row>
    <row r="1116" spans="1:23" ht="15.75" customHeight="1" x14ac:dyDescent="0.25">
      <c r="A1116" s="23"/>
      <c r="B1116" s="23" t="str">
        <f t="shared" si="5"/>
        <v/>
      </c>
      <c r="C1116" s="23"/>
      <c r="D1116" s="44"/>
      <c r="E1116" s="23"/>
      <c r="F1116" s="45"/>
      <c r="G1116" s="23"/>
      <c r="H1116" s="23"/>
      <c r="I1116" s="23"/>
      <c r="J1116" s="25"/>
      <c r="K1116" s="23"/>
      <c r="L1116" s="23"/>
      <c r="M1116" s="23"/>
      <c r="N1116" s="26"/>
      <c r="O1116" s="26"/>
      <c r="P1116" s="26"/>
      <c r="Q1116" s="26"/>
      <c r="R1116" s="26"/>
      <c r="S1116" s="26"/>
      <c r="T1116" s="26"/>
      <c r="U1116" s="26"/>
      <c r="V1116" s="26"/>
      <c r="W1116" s="27"/>
    </row>
    <row r="1117" spans="1:23" ht="15.75" customHeight="1" x14ac:dyDescent="0.25">
      <c r="A1117" s="23"/>
      <c r="B1117" s="23" t="str">
        <f t="shared" si="5"/>
        <v/>
      </c>
      <c r="C1117" s="23"/>
      <c r="D1117" s="44"/>
      <c r="E1117" s="23"/>
      <c r="F1117" s="45"/>
      <c r="G1117" s="23"/>
      <c r="H1117" s="23"/>
      <c r="I1117" s="23"/>
      <c r="J1117" s="25"/>
      <c r="K1117" s="23"/>
      <c r="L1117" s="23"/>
      <c r="M1117" s="23"/>
      <c r="N1117" s="26"/>
      <c r="O1117" s="26"/>
      <c r="P1117" s="26"/>
      <c r="Q1117" s="26"/>
      <c r="R1117" s="26"/>
      <c r="S1117" s="26"/>
      <c r="T1117" s="26"/>
      <c r="U1117" s="26"/>
      <c r="V1117" s="26"/>
      <c r="W1117" s="27"/>
    </row>
    <row r="1118" spans="1:23" ht="15.75" customHeight="1" x14ac:dyDescent="0.25">
      <c r="A1118" s="23"/>
      <c r="B1118" s="23" t="str">
        <f t="shared" si="5"/>
        <v/>
      </c>
      <c r="C1118" s="23"/>
      <c r="D1118" s="44"/>
      <c r="E1118" s="23"/>
      <c r="F1118" s="45"/>
      <c r="G1118" s="23"/>
      <c r="H1118" s="23"/>
      <c r="I1118" s="23"/>
      <c r="J1118" s="25"/>
      <c r="K1118" s="23"/>
      <c r="L1118" s="23"/>
      <c r="M1118" s="23"/>
      <c r="N1118" s="26"/>
      <c r="O1118" s="26"/>
      <c r="P1118" s="26"/>
      <c r="Q1118" s="26"/>
      <c r="R1118" s="26"/>
      <c r="S1118" s="26"/>
      <c r="T1118" s="26"/>
      <c r="U1118" s="26"/>
      <c r="V1118" s="26"/>
      <c r="W1118" s="27"/>
    </row>
    <row r="1119" spans="1:23" ht="15.75" customHeight="1" x14ac:dyDescent="0.25">
      <c r="A1119" s="23"/>
      <c r="B1119" s="23" t="str">
        <f t="shared" si="5"/>
        <v/>
      </c>
      <c r="C1119" s="23"/>
      <c r="D1119" s="44"/>
      <c r="E1119" s="23"/>
      <c r="F1119" s="45"/>
      <c r="G1119" s="23"/>
      <c r="H1119" s="23"/>
      <c r="I1119" s="23"/>
      <c r="J1119" s="25"/>
      <c r="K1119" s="23"/>
      <c r="L1119" s="23"/>
      <c r="M1119" s="23"/>
      <c r="N1119" s="26"/>
      <c r="O1119" s="26"/>
      <c r="P1119" s="26"/>
      <c r="Q1119" s="26"/>
      <c r="R1119" s="26"/>
      <c r="S1119" s="26"/>
      <c r="T1119" s="26"/>
      <c r="U1119" s="26"/>
      <c r="V1119" s="26"/>
      <c r="W1119" s="27"/>
    </row>
    <row r="1120" spans="1:23" ht="15.75" customHeight="1" x14ac:dyDescent="0.25">
      <c r="A1120" s="23"/>
      <c r="B1120" s="23" t="str">
        <f t="shared" si="5"/>
        <v/>
      </c>
      <c r="C1120" s="23"/>
      <c r="D1120" s="44"/>
      <c r="E1120" s="23"/>
      <c r="F1120" s="45"/>
      <c r="G1120" s="23"/>
      <c r="H1120" s="23"/>
      <c r="I1120" s="23"/>
      <c r="J1120" s="25"/>
      <c r="K1120" s="23"/>
      <c r="L1120" s="23"/>
      <c r="M1120" s="23"/>
      <c r="N1120" s="26"/>
      <c r="O1120" s="26"/>
      <c r="P1120" s="26"/>
      <c r="Q1120" s="26"/>
      <c r="R1120" s="26"/>
      <c r="S1120" s="26"/>
      <c r="T1120" s="26"/>
      <c r="U1120" s="26"/>
      <c r="V1120" s="26"/>
      <c r="W1120" s="27"/>
    </row>
    <row r="1121" spans="1:23" ht="15.75" customHeight="1" x14ac:dyDescent="0.25">
      <c r="A1121" s="23"/>
      <c r="B1121" s="23" t="str">
        <f t="shared" si="5"/>
        <v/>
      </c>
      <c r="C1121" s="23"/>
      <c r="D1121" s="44"/>
      <c r="E1121" s="23"/>
      <c r="F1121" s="45"/>
      <c r="G1121" s="23"/>
      <c r="H1121" s="23"/>
      <c r="I1121" s="23"/>
      <c r="J1121" s="25"/>
      <c r="K1121" s="23"/>
      <c r="L1121" s="23"/>
      <c r="M1121" s="23"/>
      <c r="N1121" s="26"/>
      <c r="O1121" s="26"/>
      <c r="P1121" s="26"/>
      <c r="Q1121" s="26"/>
      <c r="R1121" s="26"/>
      <c r="S1121" s="26"/>
      <c r="T1121" s="26"/>
      <c r="U1121" s="26"/>
      <c r="V1121" s="26"/>
      <c r="W1121" s="27"/>
    </row>
    <row r="1122" spans="1:23" ht="15.75" customHeight="1" x14ac:dyDescent="0.25">
      <c r="A1122" s="23"/>
      <c r="B1122" s="23" t="str">
        <f t="shared" si="5"/>
        <v/>
      </c>
      <c r="C1122" s="23"/>
      <c r="D1122" s="44"/>
      <c r="E1122" s="23"/>
      <c r="F1122" s="45"/>
      <c r="G1122" s="23"/>
      <c r="H1122" s="23"/>
      <c r="I1122" s="23"/>
      <c r="J1122" s="25"/>
      <c r="K1122" s="23"/>
      <c r="L1122" s="23"/>
      <c r="M1122" s="23"/>
      <c r="N1122" s="26"/>
      <c r="O1122" s="26"/>
      <c r="P1122" s="26"/>
      <c r="Q1122" s="26"/>
      <c r="R1122" s="26"/>
      <c r="S1122" s="26"/>
      <c r="T1122" s="26"/>
      <c r="U1122" s="26"/>
      <c r="V1122" s="26"/>
      <c r="W1122" s="27"/>
    </row>
    <row r="1123" spans="1:23" ht="15.75" customHeight="1" x14ac:dyDescent="0.25">
      <c r="A1123" s="23"/>
      <c r="B1123" s="23" t="str">
        <f t="shared" si="5"/>
        <v/>
      </c>
      <c r="C1123" s="23"/>
      <c r="D1123" s="44"/>
      <c r="E1123" s="23"/>
      <c r="F1123" s="45"/>
      <c r="G1123" s="23"/>
      <c r="H1123" s="23"/>
      <c r="I1123" s="23"/>
      <c r="J1123" s="25"/>
      <c r="K1123" s="23"/>
      <c r="L1123" s="23"/>
      <c r="M1123" s="23"/>
      <c r="N1123" s="26"/>
      <c r="O1123" s="26"/>
      <c r="P1123" s="26"/>
      <c r="Q1123" s="26"/>
      <c r="R1123" s="26"/>
      <c r="S1123" s="26"/>
      <c r="T1123" s="26"/>
      <c r="U1123" s="26"/>
      <c r="V1123" s="26"/>
      <c r="W1123" s="27"/>
    </row>
    <row r="1124" spans="1:23" ht="15.75" customHeight="1" x14ac:dyDescent="0.25">
      <c r="A1124" s="23"/>
      <c r="B1124" s="23" t="str">
        <f t="shared" si="5"/>
        <v/>
      </c>
      <c r="C1124" s="23"/>
      <c r="D1124" s="44"/>
      <c r="E1124" s="23"/>
      <c r="F1124" s="45"/>
      <c r="G1124" s="23"/>
      <c r="H1124" s="23"/>
      <c r="I1124" s="23"/>
      <c r="J1124" s="25"/>
      <c r="K1124" s="23"/>
      <c r="L1124" s="23"/>
      <c r="M1124" s="23"/>
      <c r="N1124" s="26"/>
      <c r="O1124" s="26"/>
      <c r="P1124" s="26"/>
      <c r="Q1124" s="26"/>
      <c r="R1124" s="26"/>
      <c r="S1124" s="26"/>
      <c r="T1124" s="26"/>
      <c r="U1124" s="26"/>
      <c r="V1124" s="26"/>
      <c r="W1124" s="27"/>
    </row>
    <row r="1125" spans="1:23" ht="15.75" customHeight="1" x14ac:dyDescent="0.25">
      <c r="A1125" s="23"/>
      <c r="B1125" s="23" t="str">
        <f t="shared" si="5"/>
        <v/>
      </c>
      <c r="C1125" s="23"/>
      <c r="D1125" s="44"/>
      <c r="E1125" s="23"/>
      <c r="F1125" s="45"/>
      <c r="G1125" s="23"/>
      <c r="H1125" s="23"/>
      <c r="I1125" s="23"/>
      <c r="J1125" s="25"/>
      <c r="K1125" s="23"/>
      <c r="L1125" s="23"/>
      <c r="M1125" s="23"/>
      <c r="N1125" s="26"/>
      <c r="O1125" s="26"/>
      <c r="P1125" s="26"/>
      <c r="Q1125" s="26"/>
      <c r="R1125" s="26"/>
      <c r="S1125" s="26"/>
      <c r="T1125" s="26"/>
      <c r="U1125" s="26"/>
      <c r="V1125" s="26"/>
      <c r="W1125" s="27"/>
    </row>
    <row r="1126" spans="1:23" ht="15.75" customHeight="1" x14ac:dyDescent="0.25">
      <c r="A1126" s="23"/>
      <c r="B1126" s="23" t="str">
        <f t="shared" si="5"/>
        <v/>
      </c>
      <c r="C1126" s="23"/>
      <c r="D1126" s="44"/>
      <c r="E1126" s="23"/>
      <c r="F1126" s="45"/>
      <c r="G1126" s="23"/>
      <c r="H1126" s="23"/>
      <c r="I1126" s="23"/>
      <c r="J1126" s="25"/>
      <c r="K1126" s="23"/>
      <c r="L1126" s="23"/>
      <c r="M1126" s="23"/>
      <c r="N1126" s="26"/>
      <c r="O1126" s="26"/>
      <c r="P1126" s="26"/>
      <c r="Q1126" s="26"/>
      <c r="R1126" s="26"/>
      <c r="S1126" s="26"/>
      <c r="T1126" s="26"/>
      <c r="U1126" s="26"/>
      <c r="V1126" s="26"/>
      <c r="W1126" s="27"/>
    </row>
    <row r="1127" spans="1:23" ht="15.75" customHeight="1" x14ac:dyDescent="0.25">
      <c r="A1127" s="23"/>
      <c r="B1127" s="23" t="str">
        <f t="shared" si="5"/>
        <v/>
      </c>
      <c r="C1127" s="23"/>
      <c r="D1127" s="44"/>
      <c r="E1127" s="23"/>
      <c r="F1127" s="45"/>
      <c r="G1127" s="23"/>
      <c r="H1127" s="23"/>
      <c r="I1127" s="23"/>
      <c r="J1127" s="25"/>
      <c r="K1127" s="23"/>
      <c r="L1127" s="23"/>
      <c r="M1127" s="23"/>
      <c r="N1127" s="26"/>
      <c r="O1127" s="26"/>
      <c r="P1127" s="26"/>
      <c r="Q1127" s="26"/>
      <c r="R1127" s="26"/>
      <c r="S1127" s="26"/>
      <c r="T1127" s="26"/>
      <c r="U1127" s="26"/>
      <c r="V1127" s="26"/>
      <c r="W1127" s="27"/>
    </row>
    <row r="1128" spans="1:23" ht="15.75" customHeight="1" x14ac:dyDescent="0.25">
      <c r="A1128" s="23"/>
      <c r="B1128" s="23" t="str">
        <f t="shared" si="5"/>
        <v/>
      </c>
      <c r="C1128" s="23"/>
      <c r="D1128" s="44"/>
      <c r="E1128" s="23"/>
      <c r="F1128" s="45"/>
      <c r="G1128" s="23"/>
      <c r="H1128" s="23"/>
      <c r="I1128" s="23"/>
      <c r="J1128" s="25"/>
      <c r="K1128" s="23"/>
      <c r="L1128" s="23"/>
      <c r="M1128" s="23"/>
      <c r="N1128" s="26"/>
      <c r="O1128" s="26"/>
      <c r="P1128" s="26"/>
      <c r="Q1128" s="26"/>
      <c r="R1128" s="26"/>
      <c r="S1128" s="26"/>
      <c r="T1128" s="26"/>
      <c r="U1128" s="26"/>
      <c r="V1128" s="26"/>
      <c r="W1128" s="27"/>
    </row>
    <row r="1129" spans="1:23" ht="15.75" customHeight="1" x14ac:dyDescent="0.25">
      <c r="A1129" s="23"/>
      <c r="B1129" s="23" t="str">
        <f t="shared" si="5"/>
        <v/>
      </c>
      <c r="C1129" s="23"/>
      <c r="D1129" s="44"/>
      <c r="E1129" s="23"/>
      <c r="F1129" s="45"/>
      <c r="G1129" s="23"/>
      <c r="H1129" s="23"/>
      <c r="I1129" s="23"/>
      <c r="J1129" s="25"/>
      <c r="K1129" s="23"/>
      <c r="L1129" s="23"/>
      <c r="M1129" s="23"/>
      <c r="N1129" s="26"/>
      <c r="O1129" s="26"/>
      <c r="P1129" s="26"/>
      <c r="Q1129" s="26"/>
      <c r="R1129" s="26"/>
      <c r="S1129" s="26"/>
      <c r="T1129" s="26"/>
      <c r="U1129" s="26"/>
      <c r="V1129" s="26"/>
      <c r="W1129" s="27"/>
    </row>
    <row r="1130" spans="1:23" ht="15.75" customHeight="1" x14ac:dyDescent="0.25">
      <c r="A1130" s="23"/>
      <c r="B1130" s="23" t="str">
        <f t="shared" si="5"/>
        <v/>
      </c>
      <c r="C1130" s="23"/>
      <c r="D1130" s="44"/>
      <c r="E1130" s="23"/>
      <c r="F1130" s="45"/>
      <c r="G1130" s="23"/>
      <c r="H1130" s="23"/>
      <c r="I1130" s="23"/>
      <c r="J1130" s="25"/>
      <c r="K1130" s="23"/>
      <c r="L1130" s="23"/>
      <c r="M1130" s="23"/>
      <c r="N1130" s="26"/>
      <c r="O1130" s="26"/>
      <c r="P1130" s="26"/>
      <c r="Q1130" s="26"/>
      <c r="R1130" s="26"/>
      <c r="S1130" s="26"/>
      <c r="T1130" s="26"/>
      <c r="U1130" s="26"/>
      <c r="V1130" s="26"/>
      <c r="W1130" s="27"/>
    </row>
    <row r="1131" spans="1:23" ht="15.75" customHeight="1" x14ac:dyDescent="0.25">
      <c r="A1131" s="23"/>
      <c r="B1131" s="23" t="str">
        <f t="shared" si="5"/>
        <v/>
      </c>
      <c r="C1131" s="23"/>
      <c r="D1131" s="44"/>
      <c r="E1131" s="23"/>
      <c r="F1131" s="45"/>
      <c r="G1131" s="23"/>
      <c r="H1131" s="23"/>
      <c r="I1131" s="23"/>
      <c r="J1131" s="25"/>
      <c r="K1131" s="23"/>
      <c r="L1131" s="23"/>
      <c r="M1131" s="23"/>
      <c r="N1131" s="26"/>
      <c r="O1131" s="26"/>
      <c r="P1131" s="26"/>
      <c r="Q1131" s="26"/>
      <c r="R1131" s="26"/>
      <c r="S1131" s="26"/>
      <c r="T1131" s="26"/>
      <c r="U1131" s="26"/>
      <c r="V1131" s="26"/>
      <c r="W1131" s="27"/>
    </row>
    <row r="1132" spans="1:23" ht="15.75" customHeight="1" x14ac:dyDescent="0.25">
      <c r="A1132" s="23"/>
      <c r="B1132" s="23" t="str">
        <f t="shared" si="5"/>
        <v/>
      </c>
      <c r="C1132" s="23"/>
      <c r="D1132" s="44"/>
      <c r="E1132" s="23"/>
      <c r="F1132" s="45"/>
      <c r="G1132" s="23"/>
      <c r="H1132" s="23"/>
      <c r="I1132" s="23"/>
      <c r="J1132" s="25"/>
      <c r="K1132" s="23"/>
      <c r="L1132" s="23"/>
      <c r="M1132" s="23"/>
      <c r="N1132" s="26"/>
      <c r="O1132" s="26"/>
      <c r="P1132" s="26"/>
      <c r="Q1132" s="26"/>
      <c r="R1132" s="26"/>
      <c r="S1132" s="26"/>
      <c r="T1132" s="26"/>
      <c r="U1132" s="26"/>
      <c r="V1132" s="26"/>
      <c r="W1132" s="27"/>
    </row>
    <row r="1133" spans="1:23" ht="15.75" customHeight="1" x14ac:dyDescent="0.25">
      <c r="A1133" s="23"/>
      <c r="B1133" s="23" t="str">
        <f t="shared" si="5"/>
        <v/>
      </c>
      <c r="C1133" s="23"/>
      <c r="D1133" s="44"/>
      <c r="E1133" s="23"/>
      <c r="F1133" s="45"/>
      <c r="G1133" s="23"/>
      <c r="H1133" s="23"/>
      <c r="I1133" s="23"/>
      <c r="J1133" s="25"/>
      <c r="K1133" s="23"/>
      <c r="L1133" s="23"/>
      <c r="M1133" s="23"/>
      <c r="N1133" s="26"/>
      <c r="O1133" s="26"/>
      <c r="P1133" s="26"/>
      <c r="Q1133" s="26"/>
      <c r="R1133" s="26"/>
      <c r="S1133" s="26"/>
      <c r="T1133" s="26"/>
      <c r="U1133" s="26"/>
      <c r="V1133" s="26"/>
      <c r="W1133" s="27"/>
    </row>
    <row r="1134" spans="1:23" ht="15.75" customHeight="1" x14ac:dyDescent="0.25">
      <c r="A1134" s="23"/>
      <c r="B1134" s="23" t="str">
        <f t="shared" si="5"/>
        <v/>
      </c>
      <c r="C1134" s="23"/>
      <c r="D1134" s="44"/>
      <c r="E1134" s="23"/>
      <c r="F1134" s="45"/>
      <c r="G1134" s="23"/>
      <c r="H1134" s="23"/>
      <c r="I1134" s="23"/>
      <c r="J1134" s="25"/>
      <c r="K1134" s="23"/>
      <c r="L1134" s="23"/>
      <c r="M1134" s="23"/>
      <c r="N1134" s="26"/>
      <c r="O1134" s="26"/>
      <c r="P1134" s="26"/>
      <c r="Q1134" s="26"/>
      <c r="R1134" s="26"/>
      <c r="S1134" s="26"/>
      <c r="T1134" s="26"/>
      <c r="U1134" s="26"/>
      <c r="V1134" s="26"/>
      <c r="W1134" s="27"/>
    </row>
    <row r="1135" spans="1:23" ht="15.75" customHeight="1" x14ac:dyDescent="0.25">
      <c r="A1135" s="23"/>
      <c r="B1135" s="23" t="str">
        <f t="shared" si="5"/>
        <v/>
      </c>
      <c r="C1135" s="23"/>
      <c r="D1135" s="44"/>
      <c r="E1135" s="23"/>
      <c r="F1135" s="45"/>
      <c r="G1135" s="23"/>
      <c r="H1135" s="23"/>
      <c r="I1135" s="23"/>
      <c r="J1135" s="25"/>
      <c r="K1135" s="23"/>
      <c r="L1135" s="23"/>
      <c r="M1135" s="23"/>
      <c r="N1135" s="26"/>
      <c r="O1135" s="26"/>
      <c r="P1135" s="26"/>
      <c r="Q1135" s="26"/>
      <c r="R1135" s="26"/>
      <c r="S1135" s="26"/>
      <c r="T1135" s="26"/>
      <c r="U1135" s="26"/>
      <c r="V1135" s="26"/>
      <c r="W1135" s="27"/>
    </row>
    <row r="1136" spans="1:23" ht="15.75" customHeight="1" x14ac:dyDescent="0.25">
      <c r="A1136" s="23"/>
      <c r="B1136" s="23" t="str">
        <f t="shared" si="5"/>
        <v/>
      </c>
      <c r="C1136" s="23"/>
      <c r="D1136" s="44"/>
      <c r="E1136" s="23"/>
      <c r="F1136" s="45"/>
      <c r="G1136" s="23"/>
      <c r="H1136" s="23"/>
      <c r="I1136" s="23"/>
      <c r="J1136" s="25"/>
      <c r="K1136" s="23"/>
      <c r="L1136" s="23"/>
      <c r="M1136" s="23"/>
      <c r="N1136" s="26"/>
      <c r="O1136" s="26"/>
      <c r="P1136" s="26"/>
      <c r="Q1136" s="26"/>
      <c r="R1136" s="26"/>
      <c r="S1136" s="26"/>
      <c r="T1136" s="26"/>
      <c r="U1136" s="26"/>
      <c r="V1136" s="26"/>
      <c r="W1136" s="27"/>
    </row>
    <row r="1137" spans="1:23" ht="15.75" customHeight="1" x14ac:dyDescent="0.25">
      <c r="A1137" s="23"/>
      <c r="B1137" s="23" t="str">
        <f t="shared" si="5"/>
        <v/>
      </c>
      <c r="C1137" s="23"/>
      <c r="D1137" s="44"/>
      <c r="E1137" s="23"/>
      <c r="F1137" s="45"/>
      <c r="G1137" s="23"/>
      <c r="H1137" s="23"/>
      <c r="I1137" s="23"/>
      <c r="J1137" s="25"/>
      <c r="K1137" s="23"/>
      <c r="L1137" s="23"/>
      <c r="M1137" s="23"/>
      <c r="N1137" s="26"/>
      <c r="O1137" s="26"/>
      <c r="P1137" s="26"/>
      <c r="Q1137" s="26"/>
      <c r="R1137" s="26"/>
      <c r="S1137" s="26"/>
      <c r="T1137" s="26"/>
      <c r="U1137" s="26"/>
      <c r="V1137" s="26"/>
      <c r="W1137" s="27"/>
    </row>
    <row r="1138" spans="1:23" ht="15.75" customHeight="1" x14ac:dyDescent="0.25">
      <c r="A1138" s="23"/>
      <c r="B1138" s="23" t="str">
        <f t="shared" si="5"/>
        <v/>
      </c>
      <c r="C1138" s="23"/>
      <c r="D1138" s="44"/>
      <c r="E1138" s="23"/>
      <c r="F1138" s="45"/>
      <c r="G1138" s="23"/>
      <c r="H1138" s="23"/>
      <c r="I1138" s="23"/>
      <c r="J1138" s="25"/>
      <c r="K1138" s="23"/>
      <c r="L1138" s="23"/>
      <c r="M1138" s="23"/>
      <c r="N1138" s="26"/>
      <c r="O1138" s="26"/>
      <c r="P1138" s="26"/>
      <c r="Q1138" s="26"/>
      <c r="R1138" s="26"/>
      <c r="S1138" s="26"/>
      <c r="T1138" s="26"/>
      <c r="U1138" s="26"/>
      <c r="V1138" s="26"/>
      <c r="W1138" s="27"/>
    </row>
    <row r="1139" spans="1:23" ht="15.75" customHeight="1" x14ac:dyDescent="0.25">
      <c r="A1139" s="23"/>
      <c r="B1139" s="23" t="str">
        <f t="shared" si="5"/>
        <v/>
      </c>
      <c r="C1139" s="23"/>
      <c r="D1139" s="44"/>
      <c r="E1139" s="23"/>
      <c r="F1139" s="45"/>
      <c r="G1139" s="23"/>
      <c r="H1139" s="23"/>
      <c r="I1139" s="23"/>
      <c r="J1139" s="25"/>
      <c r="K1139" s="23"/>
      <c r="L1139" s="23"/>
      <c r="M1139" s="23"/>
      <c r="N1139" s="26"/>
      <c r="O1139" s="26"/>
      <c r="P1139" s="26"/>
      <c r="Q1139" s="26"/>
      <c r="R1139" s="26"/>
      <c r="S1139" s="26"/>
      <c r="T1139" s="26"/>
      <c r="U1139" s="26"/>
      <c r="V1139" s="26"/>
      <c r="W1139" s="27"/>
    </row>
    <row r="1140" spans="1:23" ht="15.75" customHeight="1" x14ac:dyDescent="0.25">
      <c r="A1140" s="23"/>
      <c r="B1140" s="23" t="str">
        <f t="shared" si="5"/>
        <v/>
      </c>
      <c r="C1140" s="23"/>
      <c r="D1140" s="44"/>
      <c r="E1140" s="23"/>
      <c r="F1140" s="45"/>
      <c r="G1140" s="23"/>
      <c r="H1140" s="23"/>
      <c r="I1140" s="23"/>
      <c r="J1140" s="25"/>
      <c r="K1140" s="23"/>
      <c r="L1140" s="23"/>
      <c r="M1140" s="23"/>
      <c r="N1140" s="26"/>
      <c r="O1140" s="26"/>
      <c r="P1140" s="26"/>
      <c r="Q1140" s="26"/>
      <c r="R1140" s="26"/>
      <c r="S1140" s="26"/>
      <c r="T1140" s="26"/>
      <c r="U1140" s="26"/>
      <c r="V1140" s="26"/>
      <c r="W1140" s="27"/>
    </row>
    <row r="1141" spans="1:23" ht="15.75" customHeight="1" x14ac:dyDescent="0.25">
      <c r="A1141" s="23"/>
      <c r="B1141" s="23" t="str">
        <f t="shared" si="5"/>
        <v/>
      </c>
      <c r="C1141" s="23"/>
      <c r="D1141" s="44"/>
      <c r="E1141" s="23"/>
      <c r="F1141" s="45"/>
      <c r="G1141" s="23"/>
      <c r="H1141" s="23"/>
      <c r="I1141" s="23"/>
      <c r="J1141" s="25"/>
      <c r="K1141" s="23"/>
      <c r="L1141" s="23"/>
      <c r="M1141" s="23"/>
      <c r="N1141" s="26"/>
      <c r="O1141" s="26"/>
      <c r="P1141" s="26"/>
      <c r="Q1141" s="26"/>
      <c r="R1141" s="26"/>
      <c r="S1141" s="26"/>
      <c r="T1141" s="26"/>
      <c r="U1141" s="26"/>
      <c r="V1141" s="26"/>
      <c r="W1141" s="27"/>
    </row>
    <row r="1142" spans="1:23" ht="15.75" customHeight="1" x14ac:dyDescent="0.25">
      <c r="A1142" s="23"/>
      <c r="B1142" s="23" t="str">
        <f t="shared" si="5"/>
        <v/>
      </c>
      <c r="C1142" s="23"/>
      <c r="D1142" s="44"/>
      <c r="E1142" s="23"/>
      <c r="F1142" s="45"/>
      <c r="G1142" s="23"/>
      <c r="H1142" s="23"/>
      <c r="I1142" s="23"/>
      <c r="J1142" s="25"/>
      <c r="K1142" s="23"/>
      <c r="L1142" s="23"/>
      <c r="M1142" s="23"/>
      <c r="N1142" s="26"/>
      <c r="O1142" s="26"/>
      <c r="P1142" s="26"/>
      <c r="Q1142" s="26"/>
      <c r="R1142" s="26"/>
      <c r="S1142" s="26"/>
      <c r="T1142" s="26"/>
      <c r="U1142" s="26"/>
      <c r="V1142" s="26"/>
      <c r="W1142" s="27"/>
    </row>
    <row r="1143" spans="1:23" ht="15.75" customHeight="1" x14ac:dyDescent="0.25">
      <c r="A1143" s="23"/>
      <c r="B1143" s="23" t="str">
        <f t="shared" si="5"/>
        <v/>
      </c>
      <c r="C1143" s="23"/>
      <c r="D1143" s="44"/>
      <c r="E1143" s="23"/>
      <c r="F1143" s="45"/>
      <c r="G1143" s="23"/>
      <c r="H1143" s="23"/>
      <c r="I1143" s="23"/>
      <c r="J1143" s="25"/>
      <c r="K1143" s="23"/>
      <c r="L1143" s="23"/>
      <c r="M1143" s="23"/>
      <c r="N1143" s="26"/>
      <c r="O1143" s="26"/>
      <c r="P1143" s="26"/>
      <c r="Q1143" s="26"/>
      <c r="R1143" s="26"/>
      <c r="S1143" s="26"/>
      <c r="T1143" s="26"/>
      <c r="U1143" s="26"/>
      <c r="V1143" s="26"/>
      <c r="W1143" s="27"/>
    </row>
    <row r="1144" spans="1:23" ht="15.75" customHeight="1" x14ac:dyDescent="0.25">
      <c r="A1144" s="23"/>
      <c r="B1144" s="23" t="str">
        <f t="shared" si="5"/>
        <v/>
      </c>
      <c r="C1144" s="23"/>
      <c r="D1144" s="44"/>
      <c r="E1144" s="23"/>
      <c r="F1144" s="45"/>
      <c r="G1144" s="23"/>
      <c r="H1144" s="23"/>
      <c r="I1144" s="23"/>
      <c r="J1144" s="25"/>
      <c r="K1144" s="23"/>
      <c r="L1144" s="23"/>
      <c r="M1144" s="23"/>
      <c r="N1144" s="26"/>
      <c r="O1144" s="26"/>
      <c r="P1144" s="26"/>
      <c r="Q1144" s="26"/>
      <c r="R1144" s="26"/>
      <c r="S1144" s="26"/>
      <c r="T1144" s="26"/>
      <c r="U1144" s="26"/>
      <c r="V1144" s="26"/>
      <c r="W1144" s="27"/>
    </row>
    <row r="1145" spans="1:23" ht="15.75" customHeight="1" x14ac:dyDescent="0.25">
      <c r="A1145" s="23"/>
      <c r="B1145" s="23" t="str">
        <f t="shared" si="5"/>
        <v/>
      </c>
      <c r="C1145" s="23"/>
      <c r="D1145" s="44"/>
      <c r="E1145" s="23"/>
      <c r="F1145" s="45"/>
      <c r="G1145" s="23"/>
      <c r="H1145" s="23"/>
      <c r="I1145" s="23"/>
      <c r="J1145" s="25"/>
      <c r="K1145" s="23"/>
      <c r="L1145" s="23"/>
      <c r="M1145" s="23"/>
      <c r="N1145" s="26"/>
      <c r="O1145" s="26"/>
      <c r="P1145" s="26"/>
      <c r="Q1145" s="26"/>
      <c r="R1145" s="26"/>
      <c r="S1145" s="26"/>
      <c r="T1145" s="26"/>
      <c r="U1145" s="26"/>
      <c r="V1145" s="26"/>
      <c r="W1145" s="27"/>
    </row>
    <row r="1146" spans="1:23" ht="15.75" customHeight="1" x14ac:dyDescent="0.25">
      <c r="A1146" s="23"/>
      <c r="B1146" s="23" t="str">
        <f t="shared" si="5"/>
        <v/>
      </c>
      <c r="C1146" s="23"/>
      <c r="D1146" s="44"/>
      <c r="E1146" s="23"/>
      <c r="F1146" s="45"/>
      <c r="G1146" s="23"/>
      <c r="H1146" s="23"/>
      <c r="I1146" s="23"/>
      <c r="J1146" s="25"/>
      <c r="K1146" s="23"/>
      <c r="L1146" s="23"/>
      <c r="M1146" s="23"/>
      <c r="N1146" s="26"/>
      <c r="O1146" s="26"/>
      <c r="P1146" s="26"/>
      <c r="Q1146" s="26"/>
      <c r="R1146" s="26"/>
      <c r="S1146" s="26"/>
      <c r="T1146" s="26"/>
      <c r="U1146" s="26"/>
      <c r="V1146" s="26"/>
      <c r="W1146" s="27"/>
    </row>
    <row r="1147" spans="1:23" ht="15.75" customHeight="1" x14ac:dyDescent="0.25">
      <c r="A1147" s="23"/>
      <c r="B1147" s="23" t="str">
        <f t="shared" si="5"/>
        <v/>
      </c>
      <c r="C1147" s="23"/>
      <c r="D1147" s="44"/>
      <c r="E1147" s="23"/>
      <c r="F1147" s="45"/>
      <c r="G1147" s="23"/>
      <c r="H1147" s="23"/>
      <c r="I1147" s="23"/>
      <c r="J1147" s="25"/>
      <c r="K1147" s="23"/>
      <c r="L1147" s="23"/>
      <c r="M1147" s="23"/>
      <c r="N1147" s="26"/>
      <c r="O1147" s="26"/>
      <c r="P1147" s="26"/>
      <c r="Q1147" s="26"/>
      <c r="R1147" s="26"/>
      <c r="S1147" s="26"/>
      <c r="T1147" s="26"/>
      <c r="U1147" s="26"/>
      <c r="V1147" s="26"/>
      <c r="W1147" s="27"/>
    </row>
    <row r="1148" spans="1:23" ht="15.75" customHeight="1" x14ac:dyDescent="0.25">
      <c r="A1148" s="23"/>
      <c r="B1148" s="23" t="str">
        <f t="shared" si="5"/>
        <v/>
      </c>
      <c r="C1148" s="23"/>
      <c r="D1148" s="44"/>
      <c r="E1148" s="23"/>
      <c r="F1148" s="45"/>
      <c r="G1148" s="23"/>
      <c r="H1148" s="23"/>
      <c r="I1148" s="23"/>
      <c r="J1148" s="25"/>
      <c r="K1148" s="23"/>
      <c r="L1148" s="23"/>
      <c r="M1148" s="23"/>
      <c r="N1148" s="26"/>
      <c r="O1148" s="26"/>
      <c r="P1148" s="26"/>
      <c r="Q1148" s="26"/>
      <c r="R1148" s="26"/>
      <c r="S1148" s="26"/>
      <c r="T1148" s="26"/>
      <c r="U1148" s="26"/>
      <c r="V1148" s="26"/>
      <c r="W1148" s="27"/>
    </row>
    <row r="1149" spans="1:23" ht="15.75" customHeight="1" x14ac:dyDescent="0.25">
      <c r="A1149" s="23"/>
      <c r="B1149" s="23" t="str">
        <f t="shared" si="5"/>
        <v/>
      </c>
      <c r="C1149" s="23"/>
      <c r="D1149" s="44"/>
      <c r="E1149" s="23"/>
      <c r="F1149" s="45"/>
      <c r="G1149" s="23"/>
      <c r="H1149" s="23"/>
      <c r="I1149" s="23"/>
      <c r="J1149" s="25"/>
      <c r="K1149" s="23"/>
      <c r="L1149" s="23"/>
      <c r="M1149" s="23"/>
      <c r="N1149" s="26"/>
      <c r="O1149" s="26"/>
      <c r="P1149" s="26"/>
      <c r="Q1149" s="26"/>
      <c r="R1149" s="26"/>
      <c r="S1149" s="26"/>
      <c r="T1149" s="26"/>
      <c r="U1149" s="26"/>
      <c r="V1149" s="26"/>
      <c r="W1149" s="27"/>
    </row>
    <row r="1150" spans="1:23" ht="15.75" customHeight="1" x14ac:dyDescent="0.25">
      <c r="A1150" s="23"/>
      <c r="B1150" s="23" t="str">
        <f t="shared" si="5"/>
        <v/>
      </c>
      <c r="C1150" s="23"/>
      <c r="D1150" s="44"/>
      <c r="E1150" s="23"/>
      <c r="F1150" s="45"/>
      <c r="G1150" s="23"/>
      <c r="H1150" s="23"/>
      <c r="I1150" s="23"/>
      <c r="J1150" s="25"/>
      <c r="K1150" s="23"/>
      <c r="L1150" s="23"/>
      <c r="M1150" s="23"/>
      <c r="N1150" s="26"/>
      <c r="O1150" s="26"/>
      <c r="P1150" s="26"/>
      <c r="Q1150" s="26"/>
      <c r="R1150" s="26"/>
      <c r="S1150" s="26"/>
      <c r="T1150" s="26"/>
      <c r="U1150" s="26"/>
      <c r="V1150" s="26"/>
      <c r="W1150" s="27"/>
    </row>
    <row r="1151" spans="1:23" ht="15.75" customHeight="1" x14ac:dyDescent="0.25">
      <c r="A1151" s="23"/>
      <c r="B1151" s="23" t="str">
        <f t="shared" si="5"/>
        <v/>
      </c>
      <c r="C1151" s="23"/>
      <c r="D1151" s="44"/>
      <c r="E1151" s="23"/>
      <c r="F1151" s="45"/>
      <c r="G1151" s="23"/>
      <c r="H1151" s="23"/>
      <c r="I1151" s="23"/>
      <c r="J1151" s="25"/>
      <c r="K1151" s="23"/>
      <c r="L1151" s="23"/>
      <c r="M1151" s="23"/>
      <c r="N1151" s="26"/>
      <c r="O1151" s="26"/>
      <c r="P1151" s="26"/>
      <c r="Q1151" s="26"/>
      <c r="R1151" s="26"/>
      <c r="S1151" s="26"/>
      <c r="T1151" s="26"/>
      <c r="U1151" s="26"/>
      <c r="V1151" s="26"/>
      <c r="W1151" s="27"/>
    </row>
    <row r="1152" spans="1:23" ht="15.75" customHeight="1" x14ac:dyDescent="0.25">
      <c r="A1152" s="23"/>
      <c r="B1152" s="23" t="str">
        <f t="shared" si="5"/>
        <v/>
      </c>
      <c r="C1152" s="23"/>
      <c r="D1152" s="44"/>
      <c r="E1152" s="23"/>
      <c r="F1152" s="45"/>
      <c r="G1152" s="23"/>
      <c r="H1152" s="23"/>
      <c r="I1152" s="23"/>
      <c r="J1152" s="25"/>
      <c r="K1152" s="23"/>
      <c r="L1152" s="23"/>
      <c r="M1152" s="23"/>
      <c r="N1152" s="26"/>
      <c r="O1152" s="26"/>
      <c r="P1152" s="26"/>
      <c r="Q1152" s="26"/>
      <c r="R1152" s="26"/>
      <c r="S1152" s="26"/>
      <c r="T1152" s="26"/>
      <c r="U1152" s="26"/>
      <c r="V1152" s="26"/>
      <c r="W1152" s="27"/>
    </row>
    <row r="1153" spans="1:23" ht="15.75" customHeight="1" x14ac:dyDescent="0.25">
      <c r="A1153" s="23"/>
      <c r="B1153" s="23" t="str">
        <f t="shared" si="5"/>
        <v/>
      </c>
      <c r="C1153" s="23"/>
      <c r="D1153" s="44"/>
      <c r="E1153" s="23"/>
      <c r="F1153" s="45"/>
      <c r="G1153" s="23"/>
      <c r="H1153" s="23"/>
      <c r="I1153" s="23"/>
      <c r="J1153" s="25"/>
      <c r="K1153" s="23"/>
      <c r="L1153" s="23"/>
      <c r="M1153" s="23"/>
      <c r="N1153" s="26"/>
      <c r="O1153" s="26"/>
      <c r="P1153" s="26"/>
      <c r="Q1153" s="26"/>
      <c r="R1153" s="26"/>
      <c r="S1153" s="26"/>
      <c r="T1153" s="26"/>
      <c r="U1153" s="26"/>
      <c r="V1153" s="26"/>
      <c r="W1153" s="27"/>
    </row>
    <row r="1154" spans="1:23" ht="15.75" customHeight="1" x14ac:dyDescent="0.25">
      <c r="A1154" s="23"/>
      <c r="B1154" s="23" t="str">
        <f t="shared" si="5"/>
        <v/>
      </c>
      <c r="C1154" s="23"/>
      <c r="D1154" s="44"/>
      <c r="E1154" s="23"/>
      <c r="F1154" s="45"/>
      <c r="G1154" s="23"/>
      <c r="H1154" s="23"/>
      <c r="I1154" s="23"/>
      <c r="J1154" s="25"/>
      <c r="K1154" s="23"/>
      <c r="L1154" s="23"/>
      <c r="M1154" s="23"/>
      <c r="N1154" s="26"/>
      <c r="O1154" s="26"/>
      <c r="P1154" s="26"/>
      <c r="Q1154" s="26"/>
      <c r="R1154" s="26"/>
      <c r="S1154" s="26"/>
      <c r="T1154" s="26"/>
      <c r="U1154" s="26"/>
      <c r="V1154" s="26"/>
      <c r="W1154" s="27"/>
    </row>
    <row r="1155" spans="1:23" ht="15.75" customHeight="1" x14ac:dyDescent="0.25">
      <c r="A1155" s="23"/>
      <c r="B1155" s="23" t="str">
        <f t="shared" si="5"/>
        <v/>
      </c>
      <c r="C1155" s="23"/>
      <c r="D1155" s="44"/>
      <c r="E1155" s="23"/>
      <c r="F1155" s="45"/>
      <c r="G1155" s="23"/>
      <c r="H1155" s="23"/>
      <c r="I1155" s="23"/>
      <c r="J1155" s="25"/>
      <c r="K1155" s="23"/>
      <c r="L1155" s="23"/>
      <c r="M1155" s="23"/>
      <c r="N1155" s="26"/>
      <c r="O1155" s="26"/>
      <c r="P1155" s="26"/>
      <c r="Q1155" s="26"/>
      <c r="R1155" s="26"/>
      <c r="S1155" s="26"/>
      <c r="T1155" s="26"/>
      <c r="U1155" s="26"/>
      <c r="V1155" s="26"/>
      <c r="W1155" s="27"/>
    </row>
    <row r="1156" spans="1:23" ht="15.75" customHeight="1" x14ac:dyDescent="0.25">
      <c r="A1156" s="23"/>
      <c r="B1156" s="23" t="str">
        <f t="shared" si="5"/>
        <v/>
      </c>
      <c r="C1156" s="23"/>
      <c r="D1156" s="44"/>
      <c r="E1156" s="23"/>
      <c r="F1156" s="45"/>
      <c r="G1156" s="23"/>
      <c r="H1156" s="23"/>
      <c r="I1156" s="23"/>
      <c r="J1156" s="25"/>
      <c r="K1156" s="23"/>
      <c r="L1156" s="23"/>
      <c r="M1156" s="23"/>
      <c r="N1156" s="26"/>
      <c r="O1156" s="26"/>
      <c r="P1156" s="26"/>
      <c r="Q1156" s="26"/>
      <c r="R1156" s="26"/>
      <c r="S1156" s="26"/>
      <c r="T1156" s="26"/>
      <c r="U1156" s="26"/>
      <c r="V1156" s="26"/>
      <c r="W1156" s="27"/>
    </row>
    <row r="1157" spans="1:23" ht="15.75" customHeight="1" x14ac:dyDescent="0.25">
      <c r="A1157" s="23"/>
      <c r="B1157" s="23" t="str">
        <f t="shared" si="5"/>
        <v/>
      </c>
      <c r="C1157" s="23"/>
      <c r="D1157" s="44"/>
      <c r="E1157" s="23"/>
      <c r="F1157" s="45"/>
      <c r="G1157" s="23"/>
      <c r="H1157" s="23"/>
      <c r="I1157" s="23"/>
      <c r="J1157" s="25"/>
      <c r="K1157" s="23"/>
      <c r="L1157" s="23"/>
      <c r="M1157" s="23"/>
      <c r="N1157" s="26"/>
      <c r="O1157" s="26"/>
      <c r="P1157" s="26"/>
      <c r="Q1157" s="26"/>
      <c r="R1157" s="26"/>
      <c r="S1157" s="26"/>
      <c r="T1157" s="26"/>
      <c r="U1157" s="26"/>
      <c r="V1157" s="26"/>
      <c r="W1157" s="27"/>
    </row>
    <row r="1158" spans="1:23" ht="15.75" customHeight="1" x14ac:dyDescent="0.25">
      <c r="A1158" s="23"/>
      <c r="B1158" s="23" t="str">
        <f t="shared" si="5"/>
        <v/>
      </c>
      <c r="C1158" s="23"/>
      <c r="D1158" s="44"/>
      <c r="E1158" s="23"/>
      <c r="F1158" s="45"/>
      <c r="G1158" s="23"/>
      <c r="H1158" s="23"/>
      <c r="I1158" s="23"/>
      <c r="J1158" s="25"/>
      <c r="K1158" s="23"/>
      <c r="L1158" s="23"/>
      <c r="M1158" s="23"/>
      <c r="N1158" s="26"/>
      <c r="O1158" s="26"/>
      <c r="P1158" s="26"/>
      <c r="Q1158" s="26"/>
      <c r="R1158" s="26"/>
      <c r="S1158" s="26"/>
      <c r="T1158" s="26"/>
      <c r="U1158" s="26"/>
      <c r="V1158" s="26"/>
      <c r="W1158" s="27"/>
    </row>
    <row r="1159" spans="1:23" ht="15.75" customHeight="1" x14ac:dyDescent="0.25">
      <c r="A1159" s="23"/>
      <c r="B1159" s="23" t="str">
        <f t="shared" si="5"/>
        <v/>
      </c>
      <c r="C1159" s="23"/>
      <c r="D1159" s="44"/>
      <c r="E1159" s="23"/>
      <c r="F1159" s="45"/>
      <c r="G1159" s="23"/>
      <c r="H1159" s="23"/>
      <c r="I1159" s="23"/>
      <c r="J1159" s="25"/>
      <c r="K1159" s="23"/>
      <c r="L1159" s="23"/>
      <c r="M1159" s="23"/>
      <c r="N1159" s="26"/>
      <c r="O1159" s="26"/>
      <c r="P1159" s="26"/>
      <c r="Q1159" s="26"/>
      <c r="R1159" s="26"/>
      <c r="S1159" s="26"/>
      <c r="T1159" s="26"/>
      <c r="U1159" s="26"/>
      <c r="V1159" s="26"/>
      <c r="W1159" s="27"/>
    </row>
    <row r="1160" spans="1:23" ht="15.75" customHeight="1" x14ac:dyDescent="0.25">
      <c r="A1160" s="23"/>
      <c r="B1160" s="23" t="str">
        <f t="shared" si="5"/>
        <v/>
      </c>
      <c r="C1160" s="23"/>
      <c r="D1160" s="44"/>
      <c r="E1160" s="23"/>
      <c r="F1160" s="45"/>
      <c r="G1160" s="23"/>
      <c r="H1160" s="23"/>
      <c r="I1160" s="23"/>
      <c r="J1160" s="25"/>
      <c r="K1160" s="23"/>
      <c r="L1160" s="23"/>
      <c r="M1160" s="23"/>
      <c r="N1160" s="26"/>
      <c r="O1160" s="26"/>
      <c r="P1160" s="26"/>
      <c r="Q1160" s="26"/>
      <c r="R1160" s="26"/>
      <c r="S1160" s="26"/>
      <c r="T1160" s="26"/>
      <c r="U1160" s="26"/>
      <c r="V1160" s="26"/>
      <c r="W1160" s="27"/>
    </row>
    <row r="1161" spans="1:23" ht="15.75" customHeight="1" x14ac:dyDescent="0.25">
      <c r="A1161" s="23"/>
      <c r="B1161" s="23" t="str">
        <f t="shared" si="5"/>
        <v/>
      </c>
      <c r="C1161" s="23"/>
      <c r="D1161" s="44"/>
      <c r="E1161" s="23"/>
      <c r="F1161" s="45"/>
      <c r="G1161" s="23"/>
      <c r="H1161" s="23"/>
      <c r="I1161" s="23"/>
      <c r="J1161" s="25"/>
      <c r="K1161" s="23"/>
      <c r="L1161" s="23"/>
      <c r="M1161" s="23"/>
      <c r="N1161" s="26"/>
      <c r="O1161" s="26"/>
      <c r="P1161" s="26"/>
      <c r="Q1161" s="26"/>
      <c r="R1161" s="26"/>
      <c r="S1161" s="26"/>
      <c r="T1161" s="26"/>
      <c r="U1161" s="26"/>
      <c r="V1161" s="26"/>
      <c r="W1161" s="27"/>
    </row>
    <row r="1162" spans="1:23" ht="15.75" customHeight="1" x14ac:dyDescent="0.25">
      <c r="A1162" s="23"/>
      <c r="B1162" s="23" t="str">
        <f t="shared" si="5"/>
        <v/>
      </c>
      <c r="C1162" s="23"/>
      <c r="D1162" s="44"/>
      <c r="E1162" s="23"/>
      <c r="F1162" s="45"/>
      <c r="G1162" s="23"/>
      <c r="H1162" s="23"/>
      <c r="I1162" s="23"/>
      <c r="J1162" s="25"/>
      <c r="K1162" s="23"/>
      <c r="L1162" s="23"/>
      <c r="M1162" s="23"/>
      <c r="N1162" s="26"/>
      <c r="O1162" s="26"/>
      <c r="P1162" s="26"/>
      <c r="Q1162" s="26"/>
      <c r="R1162" s="26"/>
      <c r="S1162" s="26"/>
      <c r="T1162" s="26"/>
      <c r="U1162" s="26"/>
      <c r="V1162" s="26"/>
      <c r="W1162" s="27"/>
    </row>
    <row r="1163" spans="1:23" ht="15.75" customHeight="1" x14ac:dyDescent="0.25">
      <c r="A1163" s="23"/>
      <c r="B1163" s="23" t="str">
        <f t="shared" si="5"/>
        <v/>
      </c>
      <c r="C1163" s="23"/>
      <c r="D1163" s="44"/>
      <c r="E1163" s="23"/>
      <c r="F1163" s="45"/>
      <c r="G1163" s="23"/>
      <c r="H1163" s="23"/>
      <c r="I1163" s="23"/>
      <c r="J1163" s="25"/>
      <c r="K1163" s="23"/>
      <c r="L1163" s="23"/>
      <c r="M1163" s="23"/>
      <c r="N1163" s="26"/>
      <c r="O1163" s="26"/>
      <c r="P1163" s="26"/>
      <c r="Q1163" s="26"/>
      <c r="R1163" s="26"/>
      <c r="S1163" s="26"/>
      <c r="T1163" s="26"/>
      <c r="U1163" s="26"/>
      <c r="V1163" s="26"/>
      <c r="W1163" s="27"/>
    </row>
    <row r="1164" spans="1:23" ht="15.75" customHeight="1" x14ac:dyDescent="0.25">
      <c r="A1164" s="23"/>
      <c r="B1164" s="23" t="str">
        <f t="shared" si="5"/>
        <v/>
      </c>
      <c r="C1164" s="23"/>
      <c r="D1164" s="44"/>
      <c r="E1164" s="23"/>
      <c r="F1164" s="45"/>
      <c r="G1164" s="23"/>
      <c r="H1164" s="23"/>
      <c r="I1164" s="23"/>
      <c r="J1164" s="25"/>
      <c r="K1164" s="23"/>
      <c r="L1164" s="23"/>
      <c r="M1164" s="23"/>
      <c r="N1164" s="26"/>
      <c r="O1164" s="26"/>
      <c r="P1164" s="26"/>
      <c r="Q1164" s="26"/>
      <c r="R1164" s="26"/>
      <c r="S1164" s="26"/>
      <c r="T1164" s="26"/>
      <c r="U1164" s="26"/>
      <c r="V1164" s="26"/>
      <c r="W1164" s="27"/>
    </row>
    <row r="1165" spans="1:23" ht="15.75" customHeight="1" x14ac:dyDescent="0.25">
      <c r="A1165" s="23"/>
      <c r="B1165" s="23" t="str">
        <f t="shared" si="5"/>
        <v/>
      </c>
      <c r="C1165" s="23"/>
      <c r="D1165" s="44"/>
      <c r="E1165" s="23"/>
      <c r="F1165" s="45"/>
      <c r="G1165" s="23"/>
      <c r="H1165" s="23"/>
      <c r="I1165" s="23"/>
      <c r="J1165" s="25"/>
      <c r="K1165" s="23"/>
      <c r="L1165" s="23"/>
      <c r="M1165" s="23"/>
      <c r="N1165" s="26"/>
      <c r="O1165" s="26"/>
      <c r="P1165" s="26"/>
      <c r="Q1165" s="26"/>
      <c r="R1165" s="26"/>
      <c r="S1165" s="26"/>
      <c r="T1165" s="26"/>
      <c r="U1165" s="26"/>
      <c r="V1165" s="26"/>
      <c r="W1165" s="27"/>
    </row>
    <row r="1166" spans="1:23" ht="15.75" customHeight="1" x14ac:dyDescent="0.25">
      <c r="A1166" s="23"/>
      <c r="B1166" s="23" t="str">
        <f t="shared" si="5"/>
        <v/>
      </c>
      <c r="C1166" s="23"/>
      <c r="D1166" s="44"/>
      <c r="E1166" s="23"/>
      <c r="F1166" s="45"/>
      <c r="G1166" s="23"/>
      <c r="H1166" s="23"/>
      <c r="I1166" s="23"/>
      <c r="J1166" s="25"/>
      <c r="K1166" s="23"/>
      <c r="L1166" s="23"/>
      <c r="M1166" s="23"/>
      <c r="N1166" s="26"/>
      <c r="O1166" s="26"/>
      <c r="P1166" s="26"/>
      <c r="Q1166" s="26"/>
      <c r="R1166" s="26"/>
      <c r="S1166" s="26"/>
      <c r="T1166" s="26"/>
      <c r="U1166" s="26"/>
      <c r="V1166" s="26"/>
      <c r="W1166" s="27"/>
    </row>
    <row r="1167" spans="1:23" ht="15.75" customHeight="1" x14ac:dyDescent="0.25">
      <c r="A1167" s="23"/>
      <c r="B1167" s="23" t="str">
        <f t="shared" si="5"/>
        <v/>
      </c>
      <c r="C1167" s="23"/>
      <c r="D1167" s="44"/>
      <c r="E1167" s="23"/>
      <c r="F1167" s="45"/>
      <c r="G1167" s="23"/>
      <c r="H1167" s="23"/>
      <c r="I1167" s="23"/>
      <c r="J1167" s="25"/>
      <c r="K1167" s="23"/>
      <c r="L1167" s="23"/>
      <c r="M1167" s="23"/>
      <c r="N1167" s="26"/>
      <c r="O1167" s="26"/>
      <c r="P1167" s="26"/>
      <c r="Q1167" s="26"/>
      <c r="R1167" s="26"/>
      <c r="S1167" s="26"/>
      <c r="T1167" s="26"/>
      <c r="U1167" s="26"/>
      <c r="V1167" s="26"/>
      <c r="W1167" s="27"/>
    </row>
    <row r="1168" spans="1:23" ht="15.75" customHeight="1" x14ac:dyDescent="0.25">
      <c r="A1168" s="23"/>
      <c r="B1168" s="23" t="str">
        <f t="shared" si="5"/>
        <v/>
      </c>
      <c r="C1168" s="23"/>
      <c r="D1168" s="44"/>
      <c r="E1168" s="23"/>
      <c r="F1168" s="45"/>
      <c r="G1168" s="23"/>
      <c r="H1168" s="23"/>
      <c r="I1168" s="23"/>
      <c r="J1168" s="25"/>
      <c r="K1168" s="23"/>
      <c r="L1168" s="23"/>
      <c r="M1168" s="23"/>
      <c r="N1168" s="26"/>
      <c r="O1168" s="26"/>
      <c r="P1168" s="26"/>
      <c r="Q1168" s="26"/>
      <c r="R1168" s="26"/>
      <c r="S1168" s="26"/>
      <c r="T1168" s="26"/>
      <c r="U1168" s="26"/>
      <c r="V1168" s="26"/>
      <c r="W1168" s="27"/>
    </row>
    <row r="1169" spans="1:23" ht="15.75" customHeight="1" x14ac:dyDescent="0.25">
      <c r="A1169" s="23"/>
      <c r="B1169" s="23" t="str">
        <f t="shared" si="5"/>
        <v/>
      </c>
      <c r="C1169" s="23"/>
      <c r="D1169" s="44"/>
      <c r="E1169" s="23"/>
      <c r="F1169" s="45"/>
      <c r="G1169" s="23"/>
      <c r="H1169" s="23"/>
      <c r="I1169" s="23"/>
      <c r="J1169" s="25"/>
      <c r="K1169" s="23"/>
      <c r="L1169" s="23"/>
      <c r="M1169" s="23"/>
      <c r="N1169" s="26"/>
      <c r="O1169" s="26"/>
      <c r="P1169" s="26"/>
      <c r="Q1169" s="26"/>
      <c r="R1169" s="26"/>
      <c r="S1169" s="26"/>
      <c r="T1169" s="26"/>
      <c r="U1169" s="26"/>
      <c r="V1169" s="26"/>
      <c r="W1169" s="27"/>
    </row>
    <row r="1170" spans="1:23" ht="15.75" customHeight="1" x14ac:dyDescent="0.25">
      <c r="A1170" s="23"/>
      <c r="B1170" s="23" t="str">
        <f t="shared" si="5"/>
        <v/>
      </c>
      <c r="C1170" s="23"/>
      <c r="D1170" s="44"/>
      <c r="E1170" s="23"/>
      <c r="F1170" s="45"/>
      <c r="G1170" s="23"/>
      <c r="H1170" s="23"/>
      <c r="I1170" s="23"/>
      <c r="J1170" s="25"/>
      <c r="K1170" s="23"/>
      <c r="L1170" s="23"/>
      <c r="M1170" s="23"/>
      <c r="N1170" s="26"/>
      <c r="O1170" s="26"/>
      <c r="P1170" s="26"/>
      <c r="Q1170" s="26"/>
      <c r="R1170" s="26"/>
      <c r="S1170" s="26"/>
      <c r="T1170" s="26"/>
      <c r="U1170" s="26"/>
      <c r="V1170" s="26"/>
      <c r="W1170" s="27"/>
    </row>
    <row r="1171" spans="1:23" ht="15.75" customHeight="1" x14ac:dyDescent="0.25">
      <c r="A1171" s="23"/>
      <c r="B1171" s="23" t="str">
        <f t="shared" si="5"/>
        <v/>
      </c>
      <c r="C1171" s="23"/>
      <c r="D1171" s="44"/>
      <c r="E1171" s="23"/>
      <c r="F1171" s="45"/>
      <c r="G1171" s="23"/>
      <c r="H1171" s="23"/>
      <c r="I1171" s="23"/>
      <c r="J1171" s="25"/>
      <c r="K1171" s="23"/>
      <c r="L1171" s="23"/>
      <c r="M1171" s="23"/>
      <c r="N1171" s="26"/>
      <c r="O1171" s="26"/>
      <c r="P1171" s="26"/>
      <c r="Q1171" s="26"/>
      <c r="R1171" s="26"/>
      <c r="S1171" s="26"/>
      <c r="T1171" s="26"/>
      <c r="U1171" s="26"/>
      <c r="V1171" s="26"/>
      <c r="W1171" s="27"/>
    </row>
    <row r="1172" spans="1:23" ht="15.75" customHeight="1" x14ac:dyDescent="0.25">
      <c r="A1172" s="23"/>
      <c r="B1172" s="23" t="str">
        <f t="shared" si="5"/>
        <v/>
      </c>
      <c r="C1172" s="23"/>
      <c r="D1172" s="44"/>
      <c r="E1172" s="23"/>
      <c r="F1172" s="45"/>
      <c r="G1172" s="23"/>
      <c r="H1172" s="23"/>
      <c r="I1172" s="23"/>
      <c r="J1172" s="25"/>
      <c r="K1172" s="23"/>
      <c r="L1172" s="23"/>
      <c r="M1172" s="23"/>
      <c r="N1172" s="26"/>
      <c r="O1172" s="26"/>
      <c r="P1172" s="26"/>
      <c r="Q1172" s="26"/>
      <c r="R1172" s="26"/>
      <c r="S1172" s="26"/>
      <c r="T1172" s="26"/>
      <c r="U1172" s="26"/>
      <c r="V1172" s="26"/>
      <c r="W1172" s="27"/>
    </row>
    <row r="1173" spans="1:23" ht="15.75" customHeight="1" x14ac:dyDescent="0.25">
      <c r="A1173" s="23"/>
      <c r="B1173" s="23" t="str">
        <f t="shared" si="5"/>
        <v/>
      </c>
      <c r="C1173" s="23"/>
      <c r="D1173" s="44"/>
      <c r="E1173" s="23"/>
      <c r="F1173" s="45"/>
      <c r="G1173" s="23"/>
      <c r="H1173" s="23"/>
      <c r="I1173" s="23"/>
      <c r="J1173" s="25"/>
      <c r="K1173" s="23"/>
      <c r="L1173" s="23"/>
      <c r="M1173" s="23"/>
      <c r="N1173" s="26"/>
      <c r="O1173" s="26"/>
      <c r="P1173" s="26"/>
      <c r="Q1173" s="26"/>
      <c r="R1173" s="26"/>
      <c r="S1173" s="26"/>
      <c r="T1173" s="26"/>
      <c r="U1173" s="26"/>
      <c r="V1173" s="26"/>
      <c r="W1173" s="27"/>
    </row>
    <row r="1174" spans="1:23" ht="15.75" customHeight="1" x14ac:dyDescent="0.25">
      <c r="A1174" s="23"/>
      <c r="B1174" s="23" t="str">
        <f t="shared" si="5"/>
        <v/>
      </c>
      <c r="C1174" s="23"/>
      <c r="D1174" s="44"/>
      <c r="E1174" s="23"/>
      <c r="F1174" s="45"/>
      <c r="G1174" s="23"/>
      <c r="H1174" s="23"/>
      <c r="I1174" s="23"/>
      <c r="J1174" s="25"/>
      <c r="K1174" s="23"/>
      <c r="L1174" s="23"/>
      <c r="M1174" s="23"/>
      <c r="N1174" s="26"/>
      <c r="O1174" s="26"/>
      <c r="P1174" s="26"/>
      <c r="Q1174" s="26"/>
      <c r="R1174" s="26"/>
      <c r="S1174" s="26"/>
      <c r="T1174" s="26"/>
      <c r="U1174" s="26"/>
      <c r="V1174" s="26"/>
      <c r="W1174" s="27"/>
    </row>
    <row r="1175" spans="1:23" ht="15.75" customHeight="1" x14ac:dyDescent="0.25">
      <c r="A1175" s="23"/>
      <c r="B1175" s="23" t="str">
        <f t="shared" si="5"/>
        <v/>
      </c>
      <c r="C1175" s="23"/>
      <c r="D1175" s="44"/>
      <c r="E1175" s="23"/>
      <c r="F1175" s="45"/>
      <c r="G1175" s="23"/>
      <c r="H1175" s="23"/>
      <c r="I1175" s="23"/>
      <c r="J1175" s="25"/>
      <c r="K1175" s="23"/>
      <c r="L1175" s="23"/>
      <c r="M1175" s="23"/>
      <c r="N1175" s="26"/>
      <c r="O1175" s="26"/>
      <c r="P1175" s="26"/>
      <c r="Q1175" s="26"/>
      <c r="R1175" s="26"/>
      <c r="S1175" s="26"/>
      <c r="T1175" s="26"/>
      <c r="U1175" s="26"/>
      <c r="V1175" s="26"/>
      <c r="W1175" s="27"/>
    </row>
    <row r="1176" spans="1:23" ht="15.75" customHeight="1" x14ac:dyDescent="0.25">
      <c r="A1176" s="23"/>
      <c r="B1176" s="23" t="str">
        <f t="shared" si="5"/>
        <v/>
      </c>
      <c r="C1176" s="23"/>
      <c r="D1176" s="44"/>
      <c r="E1176" s="23"/>
      <c r="F1176" s="45"/>
      <c r="G1176" s="23"/>
      <c r="H1176" s="23"/>
      <c r="I1176" s="23"/>
      <c r="J1176" s="25"/>
      <c r="K1176" s="23"/>
      <c r="L1176" s="23"/>
      <c r="M1176" s="23"/>
      <c r="N1176" s="26"/>
      <c r="O1176" s="26"/>
      <c r="P1176" s="26"/>
      <c r="Q1176" s="26"/>
      <c r="R1176" s="26"/>
      <c r="S1176" s="26"/>
      <c r="T1176" s="26"/>
      <c r="U1176" s="26"/>
      <c r="V1176" s="26"/>
      <c r="W1176" s="27"/>
    </row>
    <row r="1177" spans="1:23" ht="15.75" customHeight="1" x14ac:dyDescent="0.25">
      <c r="A1177" s="23"/>
      <c r="B1177" s="23" t="str">
        <f t="shared" si="5"/>
        <v/>
      </c>
      <c r="C1177" s="23"/>
      <c r="D1177" s="44"/>
      <c r="E1177" s="23"/>
      <c r="F1177" s="45"/>
      <c r="G1177" s="23"/>
      <c r="H1177" s="23"/>
      <c r="I1177" s="23"/>
      <c r="J1177" s="25"/>
      <c r="K1177" s="23"/>
      <c r="L1177" s="23"/>
      <c r="M1177" s="23"/>
      <c r="N1177" s="26"/>
      <c r="O1177" s="26"/>
      <c r="P1177" s="26"/>
      <c r="Q1177" s="26"/>
      <c r="R1177" s="26"/>
      <c r="S1177" s="26"/>
      <c r="T1177" s="26"/>
      <c r="U1177" s="26"/>
      <c r="V1177" s="26"/>
      <c r="W1177" s="27"/>
    </row>
    <row r="1178" spans="1:23" ht="15.75" customHeight="1" x14ac:dyDescent="0.25">
      <c r="A1178" s="23"/>
      <c r="B1178" s="23" t="str">
        <f t="shared" si="5"/>
        <v/>
      </c>
      <c r="C1178" s="23"/>
      <c r="D1178" s="44"/>
      <c r="E1178" s="23"/>
      <c r="F1178" s="45"/>
      <c r="G1178" s="23"/>
      <c r="H1178" s="23"/>
      <c r="I1178" s="23"/>
      <c r="J1178" s="25"/>
      <c r="K1178" s="23"/>
      <c r="L1178" s="23"/>
      <c r="M1178" s="23"/>
      <c r="N1178" s="26"/>
      <c r="O1178" s="26"/>
      <c r="P1178" s="26"/>
      <c r="Q1178" s="26"/>
      <c r="R1178" s="26"/>
      <c r="S1178" s="26"/>
      <c r="T1178" s="26"/>
      <c r="U1178" s="26"/>
      <c r="V1178" s="26"/>
      <c r="W1178" s="27"/>
    </row>
    <row r="1179" spans="1:23" ht="15.75" customHeight="1" x14ac:dyDescent="0.25">
      <c r="A1179" s="23"/>
      <c r="B1179" s="23" t="str">
        <f t="shared" si="5"/>
        <v/>
      </c>
      <c r="C1179" s="23"/>
      <c r="D1179" s="44"/>
      <c r="E1179" s="23"/>
      <c r="F1179" s="45"/>
      <c r="G1179" s="23"/>
      <c r="H1179" s="23"/>
      <c r="I1179" s="23"/>
      <c r="J1179" s="25"/>
      <c r="K1179" s="23"/>
      <c r="L1179" s="23"/>
      <c r="M1179" s="23"/>
      <c r="N1179" s="26"/>
      <c r="O1179" s="26"/>
      <c r="P1179" s="26"/>
      <c r="Q1179" s="26"/>
      <c r="R1179" s="26"/>
      <c r="S1179" s="26"/>
      <c r="T1179" s="26"/>
      <c r="U1179" s="26"/>
      <c r="V1179" s="26"/>
      <c r="W1179" s="27"/>
    </row>
    <row r="1180" spans="1:23" ht="15.75" customHeight="1" x14ac:dyDescent="0.25">
      <c r="A1180" s="23"/>
      <c r="B1180" s="23" t="str">
        <f t="shared" si="5"/>
        <v/>
      </c>
      <c r="C1180" s="23"/>
      <c r="D1180" s="44"/>
      <c r="E1180" s="23"/>
      <c r="F1180" s="45"/>
      <c r="G1180" s="23"/>
      <c r="H1180" s="23"/>
      <c r="I1180" s="23"/>
      <c r="J1180" s="25"/>
      <c r="K1180" s="23"/>
      <c r="L1180" s="23"/>
      <c r="M1180" s="23"/>
      <c r="N1180" s="26"/>
      <c r="O1180" s="26"/>
      <c r="P1180" s="26"/>
      <c r="Q1180" s="26"/>
      <c r="R1180" s="26"/>
      <c r="S1180" s="26"/>
      <c r="T1180" s="26"/>
      <c r="U1180" s="26"/>
      <c r="V1180" s="26"/>
      <c r="W1180" s="27"/>
    </row>
    <row r="1181" spans="1:23" ht="15.75" customHeight="1" x14ac:dyDescent="0.25">
      <c r="A1181" s="23"/>
      <c r="B1181" s="23" t="str">
        <f t="shared" si="5"/>
        <v/>
      </c>
      <c r="C1181" s="23"/>
      <c r="D1181" s="44"/>
      <c r="E1181" s="23"/>
      <c r="F1181" s="45"/>
      <c r="G1181" s="23"/>
      <c r="H1181" s="23"/>
      <c r="I1181" s="23"/>
      <c r="J1181" s="25"/>
      <c r="K1181" s="23"/>
      <c r="L1181" s="23"/>
      <c r="M1181" s="23"/>
      <c r="N1181" s="26"/>
      <c r="O1181" s="26"/>
      <c r="P1181" s="26"/>
      <c r="Q1181" s="26"/>
      <c r="R1181" s="26"/>
      <c r="S1181" s="26"/>
      <c r="T1181" s="26"/>
      <c r="U1181" s="26"/>
      <c r="V1181" s="26"/>
      <c r="W1181" s="27"/>
    </row>
    <row r="1182" spans="1:23" ht="15.75" customHeight="1" x14ac:dyDescent="0.25">
      <c r="A1182" s="23"/>
      <c r="B1182" s="23" t="str">
        <f t="shared" si="5"/>
        <v/>
      </c>
      <c r="C1182" s="23"/>
      <c r="D1182" s="44"/>
      <c r="E1182" s="23"/>
      <c r="F1182" s="45"/>
      <c r="G1182" s="23"/>
      <c r="H1182" s="23"/>
      <c r="I1182" s="23"/>
      <c r="J1182" s="25"/>
      <c r="K1182" s="23"/>
      <c r="L1182" s="23"/>
      <c r="M1182" s="23"/>
      <c r="N1182" s="26"/>
      <c r="O1182" s="26"/>
      <c r="P1182" s="26"/>
      <c r="Q1182" s="26"/>
      <c r="R1182" s="26"/>
      <c r="S1182" s="26"/>
      <c r="T1182" s="26"/>
      <c r="U1182" s="26"/>
      <c r="V1182" s="26"/>
      <c r="W1182" s="27"/>
    </row>
    <row r="1183" spans="1:23" ht="15.75" customHeight="1" x14ac:dyDescent="0.25">
      <c r="A1183" s="23"/>
      <c r="B1183" s="23" t="str">
        <f t="shared" si="5"/>
        <v/>
      </c>
      <c r="C1183" s="23"/>
      <c r="D1183" s="44"/>
      <c r="E1183" s="23"/>
      <c r="F1183" s="45"/>
      <c r="G1183" s="23"/>
      <c r="H1183" s="23"/>
      <c r="I1183" s="23"/>
      <c r="J1183" s="25"/>
      <c r="K1183" s="23"/>
      <c r="L1183" s="23"/>
      <c r="M1183" s="23"/>
      <c r="N1183" s="26"/>
      <c r="O1183" s="26"/>
      <c r="P1183" s="26"/>
      <c r="Q1183" s="26"/>
      <c r="R1183" s="26"/>
      <c r="S1183" s="26"/>
      <c r="T1183" s="26"/>
      <c r="U1183" s="26"/>
      <c r="V1183" s="26"/>
      <c r="W1183" s="27"/>
    </row>
    <row r="1184" spans="1:23" ht="15.75" customHeight="1" x14ac:dyDescent="0.25">
      <c r="A1184" s="23"/>
      <c r="B1184" s="23" t="str">
        <f t="shared" si="5"/>
        <v/>
      </c>
      <c r="C1184" s="23"/>
      <c r="D1184" s="44"/>
      <c r="E1184" s="23"/>
      <c r="F1184" s="45"/>
      <c r="G1184" s="23"/>
      <c r="H1184" s="23"/>
      <c r="I1184" s="23"/>
      <c r="J1184" s="25"/>
      <c r="K1184" s="23"/>
      <c r="L1184" s="23"/>
      <c r="M1184" s="23"/>
      <c r="N1184" s="26"/>
      <c r="O1184" s="26"/>
      <c r="P1184" s="26"/>
      <c r="Q1184" s="26"/>
      <c r="R1184" s="26"/>
      <c r="S1184" s="26"/>
      <c r="T1184" s="26"/>
      <c r="U1184" s="26"/>
      <c r="V1184" s="26"/>
      <c r="W1184" s="27"/>
    </row>
    <row r="1185" spans="1:23" ht="15.75" customHeight="1" x14ac:dyDescent="0.25">
      <c r="A1185" s="23"/>
      <c r="B1185" s="23" t="str">
        <f t="shared" si="5"/>
        <v/>
      </c>
      <c r="C1185" s="23"/>
      <c r="D1185" s="44"/>
      <c r="E1185" s="23"/>
      <c r="F1185" s="45"/>
      <c r="G1185" s="23"/>
      <c r="H1185" s="23"/>
      <c r="I1185" s="23"/>
      <c r="J1185" s="25"/>
      <c r="K1185" s="23"/>
      <c r="L1185" s="23"/>
      <c r="M1185" s="23"/>
      <c r="N1185" s="26"/>
      <c r="O1185" s="26"/>
      <c r="P1185" s="26"/>
      <c r="Q1185" s="26"/>
      <c r="R1185" s="26"/>
      <c r="S1185" s="26"/>
      <c r="T1185" s="26"/>
      <c r="U1185" s="26"/>
      <c r="V1185" s="26"/>
      <c r="W1185" s="27"/>
    </row>
    <row r="1186" spans="1:23" ht="15.75" customHeight="1" x14ac:dyDescent="0.25">
      <c r="A1186" s="23"/>
      <c r="B1186" s="23" t="str">
        <f t="shared" si="5"/>
        <v/>
      </c>
      <c r="C1186" s="23"/>
      <c r="D1186" s="44"/>
      <c r="E1186" s="23"/>
      <c r="F1186" s="45"/>
      <c r="G1186" s="23"/>
      <c r="H1186" s="23"/>
      <c r="I1186" s="23"/>
      <c r="J1186" s="25"/>
      <c r="K1186" s="23"/>
      <c r="L1186" s="23"/>
      <c r="M1186" s="23"/>
      <c r="N1186" s="26"/>
      <c r="O1186" s="26"/>
      <c r="P1186" s="26"/>
      <c r="Q1186" s="26"/>
      <c r="R1186" s="26"/>
      <c r="S1186" s="26"/>
      <c r="T1186" s="26"/>
      <c r="U1186" s="26"/>
      <c r="V1186" s="26"/>
      <c r="W1186" s="27"/>
    </row>
    <row r="1187" spans="1:23" ht="15.75" customHeight="1" x14ac:dyDescent="0.25">
      <c r="A1187" s="23"/>
      <c r="B1187" s="23" t="str">
        <f t="shared" si="5"/>
        <v/>
      </c>
      <c r="C1187" s="23"/>
      <c r="D1187" s="44"/>
      <c r="E1187" s="23"/>
      <c r="F1187" s="45"/>
      <c r="G1187" s="23"/>
      <c r="H1187" s="23"/>
      <c r="I1187" s="23"/>
      <c r="J1187" s="25"/>
      <c r="K1187" s="23"/>
      <c r="L1187" s="23"/>
      <c r="M1187" s="23"/>
      <c r="N1187" s="26"/>
      <c r="O1187" s="26"/>
      <c r="P1187" s="26"/>
      <c r="Q1187" s="26"/>
      <c r="R1187" s="26"/>
      <c r="S1187" s="26"/>
      <c r="T1187" s="26"/>
      <c r="U1187" s="26"/>
      <c r="V1187" s="26"/>
      <c r="W1187" s="27"/>
    </row>
    <row r="1188" spans="1:23" ht="15.75" customHeight="1" x14ac:dyDescent="0.25">
      <c r="A1188" s="23"/>
      <c r="B1188" s="23" t="str">
        <f t="shared" si="5"/>
        <v/>
      </c>
      <c r="C1188" s="23"/>
      <c r="D1188" s="44"/>
      <c r="E1188" s="23"/>
      <c r="F1188" s="45"/>
      <c r="G1188" s="23"/>
      <c r="H1188" s="23"/>
      <c r="I1188" s="23"/>
      <c r="J1188" s="25"/>
      <c r="K1188" s="23"/>
      <c r="L1188" s="23"/>
      <c r="M1188" s="23"/>
      <c r="N1188" s="26"/>
      <c r="O1188" s="26"/>
      <c r="P1188" s="26"/>
      <c r="Q1188" s="26"/>
      <c r="R1188" s="26"/>
      <c r="S1188" s="26"/>
      <c r="T1188" s="26"/>
      <c r="U1188" s="26"/>
      <c r="V1188" s="26"/>
      <c r="W1188" s="27"/>
    </row>
    <row r="1189" spans="1:23" ht="15.75" customHeight="1" x14ac:dyDescent="0.25">
      <c r="A1189" s="23"/>
      <c r="B1189" s="23" t="str">
        <f t="shared" si="5"/>
        <v/>
      </c>
      <c r="C1189" s="23"/>
      <c r="D1189" s="44"/>
      <c r="E1189" s="23"/>
      <c r="F1189" s="45"/>
      <c r="G1189" s="23"/>
      <c r="H1189" s="23"/>
      <c r="I1189" s="23"/>
      <c r="J1189" s="25"/>
      <c r="K1189" s="23"/>
      <c r="L1189" s="23"/>
      <c r="M1189" s="23"/>
      <c r="N1189" s="26"/>
      <c r="O1189" s="26"/>
      <c r="P1189" s="26"/>
      <c r="Q1189" s="26"/>
      <c r="R1189" s="26"/>
      <c r="S1189" s="26"/>
      <c r="T1189" s="26"/>
      <c r="U1189" s="26"/>
      <c r="V1189" s="26"/>
      <c r="W1189" s="27"/>
    </row>
    <row r="1190" spans="1:23" ht="15.75" customHeight="1" x14ac:dyDescent="0.25">
      <c r="A1190" s="23"/>
      <c r="B1190" s="23" t="str">
        <f t="shared" si="5"/>
        <v/>
      </c>
      <c r="C1190" s="23"/>
      <c r="D1190" s="44"/>
      <c r="E1190" s="23"/>
      <c r="F1190" s="45"/>
      <c r="G1190" s="23"/>
      <c r="H1190" s="23"/>
      <c r="I1190" s="23"/>
      <c r="J1190" s="25"/>
      <c r="K1190" s="23"/>
      <c r="L1190" s="23"/>
      <c r="M1190" s="23"/>
      <c r="N1190" s="26"/>
      <c r="O1190" s="26"/>
      <c r="P1190" s="26"/>
      <c r="Q1190" s="26"/>
      <c r="R1190" s="26"/>
      <c r="S1190" s="26"/>
      <c r="T1190" s="26"/>
      <c r="U1190" s="26"/>
      <c r="V1190" s="26"/>
      <c r="W1190" s="27"/>
    </row>
    <row r="1191" spans="1:23" ht="15.75" customHeight="1" x14ac:dyDescent="0.25">
      <c r="A1191" s="23"/>
      <c r="B1191" s="23" t="str">
        <f t="shared" si="5"/>
        <v/>
      </c>
      <c r="C1191" s="23"/>
      <c r="D1191" s="44"/>
      <c r="E1191" s="23"/>
      <c r="F1191" s="45"/>
      <c r="G1191" s="23"/>
      <c r="H1191" s="23"/>
      <c r="I1191" s="23"/>
      <c r="J1191" s="25"/>
      <c r="K1191" s="23"/>
      <c r="L1191" s="23"/>
      <c r="M1191" s="23"/>
      <c r="N1191" s="26"/>
      <c r="O1191" s="26"/>
      <c r="P1191" s="26"/>
      <c r="Q1191" s="26"/>
      <c r="R1191" s="26"/>
      <c r="S1191" s="26"/>
      <c r="T1191" s="26"/>
      <c r="U1191" s="26"/>
      <c r="V1191" s="26"/>
      <c r="W1191" s="27"/>
    </row>
    <row r="1192" spans="1:23" ht="15.75" customHeight="1" x14ac:dyDescent="0.25">
      <c r="A1192" s="23"/>
      <c r="B1192" s="23" t="str">
        <f t="shared" si="5"/>
        <v/>
      </c>
      <c r="C1192" s="23"/>
      <c r="D1192" s="44"/>
      <c r="E1192" s="23"/>
      <c r="F1192" s="45"/>
      <c r="G1192" s="23"/>
      <c r="H1192" s="23"/>
      <c r="I1192" s="23"/>
      <c r="J1192" s="25"/>
      <c r="K1192" s="23"/>
      <c r="L1192" s="23"/>
      <c r="M1192" s="23"/>
      <c r="N1192" s="26"/>
      <c r="O1192" s="26"/>
      <c r="P1192" s="26"/>
      <c r="Q1192" s="26"/>
      <c r="R1192" s="26"/>
      <c r="S1192" s="26"/>
      <c r="T1192" s="26"/>
      <c r="U1192" s="26"/>
      <c r="V1192" s="26"/>
      <c r="W1192" s="27"/>
    </row>
    <row r="1193" spans="1:23" ht="15.75" customHeight="1" x14ac:dyDescent="0.25">
      <c r="A1193" s="23"/>
      <c r="B1193" s="23" t="str">
        <f t="shared" si="5"/>
        <v/>
      </c>
      <c r="C1193" s="23"/>
      <c r="D1193" s="44"/>
      <c r="E1193" s="23"/>
      <c r="F1193" s="45"/>
      <c r="G1193" s="23"/>
      <c r="H1193" s="23"/>
      <c r="I1193" s="23"/>
      <c r="J1193" s="25"/>
      <c r="K1193" s="23"/>
      <c r="L1193" s="23"/>
      <c r="M1193" s="23"/>
      <c r="N1193" s="26"/>
      <c r="O1193" s="26"/>
      <c r="P1193" s="26"/>
      <c r="Q1193" s="26"/>
      <c r="R1193" s="26"/>
      <c r="S1193" s="26"/>
      <c r="T1193" s="26"/>
      <c r="U1193" s="26"/>
      <c r="V1193" s="26"/>
      <c r="W1193" s="27"/>
    </row>
    <row r="1194" spans="1:23" ht="15.75" customHeight="1" x14ac:dyDescent="0.25">
      <c r="A1194" s="23"/>
      <c r="B1194" s="23" t="str">
        <f t="shared" si="5"/>
        <v/>
      </c>
      <c r="C1194" s="23"/>
      <c r="D1194" s="44"/>
      <c r="E1194" s="23"/>
      <c r="F1194" s="45"/>
      <c r="G1194" s="23"/>
      <c r="H1194" s="23"/>
      <c r="I1194" s="23"/>
      <c r="J1194" s="25"/>
      <c r="K1194" s="23"/>
      <c r="L1194" s="23"/>
      <c r="M1194" s="23"/>
      <c r="N1194" s="26"/>
      <c r="O1194" s="26"/>
      <c r="P1194" s="26"/>
      <c r="Q1194" s="26"/>
      <c r="R1194" s="26"/>
      <c r="S1194" s="26"/>
      <c r="T1194" s="26"/>
      <c r="U1194" s="26"/>
      <c r="V1194" s="26"/>
      <c r="W1194" s="27"/>
    </row>
    <row r="1195" spans="1:23" ht="15.75" customHeight="1" x14ac:dyDescent="0.25">
      <c r="A1195" s="23"/>
      <c r="B1195" s="23" t="str">
        <f t="shared" si="5"/>
        <v/>
      </c>
      <c r="C1195" s="23"/>
      <c r="D1195" s="44"/>
      <c r="E1195" s="23"/>
      <c r="F1195" s="45"/>
      <c r="G1195" s="23"/>
      <c r="H1195" s="23"/>
      <c r="I1195" s="23"/>
      <c r="J1195" s="25"/>
      <c r="K1195" s="23"/>
      <c r="L1195" s="23"/>
      <c r="M1195" s="23"/>
      <c r="N1195" s="26"/>
      <c r="O1195" s="26"/>
      <c r="P1195" s="26"/>
      <c r="Q1195" s="26"/>
      <c r="R1195" s="26"/>
      <c r="S1195" s="26"/>
      <c r="T1195" s="26"/>
      <c r="U1195" s="26"/>
      <c r="V1195" s="26"/>
      <c r="W1195" s="27"/>
    </row>
    <row r="1196" spans="1:23" ht="15.75" customHeight="1" x14ac:dyDescent="0.25">
      <c r="A1196" s="23"/>
      <c r="B1196" s="23" t="str">
        <f t="shared" si="5"/>
        <v/>
      </c>
      <c r="C1196" s="23"/>
      <c r="D1196" s="44"/>
      <c r="E1196" s="23"/>
      <c r="F1196" s="45"/>
      <c r="G1196" s="23"/>
      <c r="H1196" s="23"/>
      <c r="I1196" s="23"/>
      <c r="J1196" s="25"/>
      <c r="K1196" s="23"/>
      <c r="L1196" s="23"/>
      <c r="M1196" s="23"/>
      <c r="N1196" s="26"/>
      <c r="O1196" s="26"/>
      <c r="P1196" s="26"/>
      <c r="Q1196" s="26"/>
      <c r="R1196" s="26"/>
      <c r="S1196" s="26"/>
      <c r="T1196" s="26"/>
      <c r="U1196" s="26"/>
      <c r="V1196" s="26"/>
      <c r="W1196" s="27"/>
    </row>
    <row r="1197" spans="1:23" ht="15.75" customHeight="1" x14ac:dyDescent="0.25">
      <c r="A1197" s="23"/>
      <c r="B1197" s="23" t="str">
        <f t="shared" si="5"/>
        <v/>
      </c>
      <c r="C1197" s="23"/>
      <c r="D1197" s="44"/>
      <c r="E1197" s="23"/>
      <c r="F1197" s="45"/>
      <c r="G1197" s="23"/>
      <c r="H1197" s="23"/>
      <c r="I1197" s="23"/>
      <c r="J1197" s="25"/>
      <c r="K1197" s="23"/>
      <c r="L1197" s="23"/>
      <c r="M1197" s="23"/>
      <c r="N1197" s="26"/>
      <c r="O1197" s="26"/>
      <c r="P1197" s="26"/>
      <c r="Q1197" s="26"/>
      <c r="R1197" s="26"/>
      <c r="S1197" s="26"/>
      <c r="T1197" s="26"/>
      <c r="U1197" s="26"/>
      <c r="V1197" s="26"/>
      <c r="W1197" s="27"/>
    </row>
    <row r="1198" spans="1:23" ht="15.75" customHeight="1" x14ac:dyDescent="0.25">
      <c r="A1198" s="23"/>
      <c r="B1198" s="23" t="str">
        <f t="shared" si="5"/>
        <v/>
      </c>
      <c r="C1198" s="23"/>
      <c r="D1198" s="44"/>
      <c r="E1198" s="23"/>
      <c r="F1198" s="45"/>
      <c r="G1198" s="23"/>
      <c r="H1198" s="23"/>
      <c r="I1198" s="23"/>
      <c r="J1198" s="25"/>
      <c r="K1198" s="23"/>
      <c r="L1198" s="23"/>
      <c r="M1198" s="23"/>
      <c r="N1198" s="26"/>
      <c r="O1198" s="26"/>
      <c r="P1198" s="26"/>
      <c r="Q1198" s="26"/>
      <c r="R1198" s="26"/>
      <c r="S1198" s="26"/>
      <c r="T1198" s="26"/>
      <c r="U1198" s="26"/>
      <c r="V1198" s="26"/>
      <c r="W1198" s="27"/>
    </row>
    <row r="1199" spans="1:23" ht="15.75" customHeight="1" x14ac:dyDescent="0.25">
      <c r="A1199" s="23"/>
      <c r="B1199" s="23" t="str">
        <f t="shared" si="5"/>
        <v/>
      </c>
      <c r="C1199" s="23"/>
      <c r="D1199" s="44"/>
      <c r="E1199" s="23"/>
      <c r="F1199" s="45"/>
      <c r="G1199" s="23"/>
      <c r="H1199" s="23"/>
      <c r="I1199" s="23"/>
      <c r="J1199" s="25"/>
      <c r="K1199" s="23"/>
      <c r="L1199" s="23"/>
      <c r="M1199" s="23"/>
      <c r="N1199" s="26"/>
      <c r="O1199" s="26"/>
      <c r="P1199" s="26"/>
      <c r="Q1199" s="26"/>
      <c r="R1199" s="26"/>
      <c r="S1199" s="26"/>
      <c r="T1199" s="26"/>
      <c r="U1199" s="26"/>
      <c r="V1199" s="26"/>
      <c r="W1199" s="27"/>
    </row>
    <row r="1200" spans="1:23" ht="15.75" customHeight="1" x14ac:dyDescent="0.25">
      <c r="A1200" s="23"/>
      <c r="B1200" s="23" t="str">
        <f t="shared" si="5"/>
        <v/>
      </c>
      <c r="C1200" s="23"/>
      <c r="D1200" s="44"/>
      <c r="E1200" s="23"/>
      <c r="F1200" s="45"/>
      <c r="G1200" s="23"/>
      <c r="H1200" s="23"/>
      <c r="I1200" s="23"/>
      <c r="J1200" s="25"/>
      <c r="K1200" s="23"/>
      <c r="L1200" s="23"/>
      <c r="M1200" s="23"/>
      <c r="N1200" s="26"/>
      <c r="O1200" s="26"/>
      <c r="P1200" s="26"/>
      <c r="Q1200" s="26"/>
      <c r="R1200" s="26"/>
      <c r="S1200" s="26"/>
      <c r="T1200" s="26"/>
      <c r="U1200" s="26"/>
      <c r="V1200" s="26"/>
      <c r="W1200" s="27"/>
    </row>
    <row r="1201" spans="1:23" ht="15.75" customHeight="1" x14ac:dyDescent="0.25">
      <c r="A1201" s="23"/>
      <c r="B1201" s="23" t="str">
        <f t="shared" si="5"/>
        <v/>
      </c>
      <c r="C1201" s="23"/>
      <c r="D1201" s="44"/>
      <c r="E1201" s="23"/>
      <c r="F1201" s="45"/>
      <c r="G1201" s="23"/>
      <c r="H1201" s="23"/>
      <c r="I1201" s="23"/>
      <c r="J1201" s="25"/>
      <c r="K1201" s="23"/>
      <c r="L1201" s="23"/>
      <c r="M1201" s="23"/>
      <c r="N1201" s="26"/>
      <c r="O1201" s="26"/>
      <c r="P1201" s="26"/>
      <c r="Q1201" s="26"/>
      <c r="R1201" s="26"/>
      <c r="S1201" s="26"/>
      <c r="T1201" s="26"/>
      <c r="U1201" s="26"/>
      <c r="V1201" s="26"/>
      <c r="W1201" s="27"/>
    </row>
    <row r="1202" spans="1:23" ht="15.75" customHeight="1" x14ac:dyDescent="0.25">
      <c r="A1202" s="23"/>
      <c r="B1202" s="23" t="str">
        <f t="shared" si="5"/>
        <v/>
      </c>
      <c r="C1202" s="23"/>
      <c r="D1202" s="44"/>
      <c r="E1202" s="23"/>
      <c r="F1202" s="45"/>
      <c r="G1202" s="23"/>
      <c r="H1202" s="23"/>
      <c r="I1202" s="23"/>
      <c r="J1202" s="25"/>
      <c r="K1202" s="23"/>
      <c r="L1202" s="23"/>
      <c r="M1202" s="23"/>
      <c r="N1202" s="26"/>
      <c r="O1202" s="26"/>
      <c r="P1202" s="26"/>
      <c r="Q1202" s="26"/>
      <c r="R1202" s="26"/>
      <c r="S1202" s="26"/>
      <c r="T1202" s="26"/>
      <c r="U1202" s="26"/>
      <c r="V1202" s="26"/>
      <c r="W1202" s="27"/>
    </row>
    <row r="1203" spans="1:23" ht="15.75" customHeight="1" x14ac:dyDescent="0.25">
      <c r="A1203" s="23"/>
      <c r="B1203" s="23" t="str">
        <f t="shared" si="5"/>
        <v/>
      </c>
      <c r="C1203" s="23"/>
      <c r="D1203" s="44"/>
      <c r="E1203" s="23"/>
      <c r="F1203" s="45"/>
      <c r="G1203" s="23"/>
      <c r="H1203" s="23"/>
      <c r="I1203" s="23"/>
      <c r="J1203" s="25"/>
      <c r="K1203" s="23"/>
      <c r="L1203" s="23"/>
      <c r="M1203" s="23"/>
      <c r="N1203" s="26"/>
      <c r="O1203" s="26"/>
      <c r="P1203" s="26"/>
      <c r="Q1203" s="26"/>
      <c r="R1203" s="26"/>
      <c r="S1203" s="26"/>
      <c r="T1203" s="26"/>
      <c r="U1203" s="26"/>
      <c r="V1203" s="26"/>
      <c r="W1203" s="27"/>
    </row>
    <row r="1204" spans="1:23" ht="15.75" customHeight="1" x14ac:dyDescent="0.25">
      <c r="A1204" s="23"/>
      <c r="B1204" s="23" t="str">
        <f t="shared" si="5"/>
        <v/>
      </c>
      <c r="C1204" s="23"/>
      <c r="D1204" s="44"/>
      <c r="E1204" s="23"/>
      <c r="F1204" s="45"/>
      <c r="G1204" s="23"/>
      <c r="H1204" s="23"/>
      <c r="I1204" s="23"/>
      <c r="J1204" s="25"/>
      <c r="K1204" s="23"/>
      <c r="L1204" s="23"/>
      <c r="M1204" s="23"/>
      <c r="N1204" s="26"/>
      <c r="O1204" s="26"/>
      <c r="P1204" s="26"/>
      <c r="Q1204" s="26"/>
      <c r="R1204" s="26"/>
      <c r="S1204" s="26"/>
      <c r="T1204" s="26"/>
      <c r="U1204" s="26"/>
      <c r="V1204" s="26"/>
      <c r="W1204" s="27"/>
    </row>
    <row r="1205" spans="1:23" ht="15.75" customHeight="1" x14ac:dyDescent="0.25">
      <c r="A1205" s="23"/>
      <c r="B1205" s="23" t="str">
        <f t="shared" si="5"/>
        <v/>
      </c>
      <c r="C1205" s="23"/>
      <c r="D1205" s="44"/>
      <c r="E1205" s="23"/>
      <c r="F1205" s="45"/>
      <c r="G1205" s="23"/>
      <c r="H1205" s="23"/>
      <c r="I1205" s="23"/>
      <c r="J1205" s="25"/>
      <c r="K1205" s="23"/>
      <c r="L1205" s="23"/>
      <c r="M1205" s="23"/>
      <c r="N1205" s="26"/>
      <c r="O1205" s="26"/>
      <c r="P1205" s="26"/>
      <c r="Q1205" s="26"/>
      <c r="R1205" s="26"/>
      <c r="S1205" s="26"/>
      <c r="T1205" s="26"/>
      <c r="U1205" s="26"/>
      <c r="V1205" s="26"/>
      <c r="W1205" s="27"/>
    </row>
    <row r="1206" spans="1:23" ht="15.75" customHeight="1" x14ac:dyDescent="0.25">
      <c r="A1206" s="23"/>
      <c r="B1206" s="23" t="str">
        <f t="shared" si="5"/>
        <v/>
      </c>
      <c r="C1206" s="23"/>
      <c r="D1206" s="44"/>
      <c r="E1206" s="23"/>
      <c r="F1206" s="45"/>
      <c r="G1206" s="23"/>
      <c r="H1206" s="23"/>
      <c r="I1206" s="23"/>
      <c r="J1206" s="25"/>
      <c r="K1206" s="23"/>
      <c r="L1206" s="23"/>
      <c r="M1206" s="23"/>
      <c r="N1206" s="26"/>
      <c r="O1206" s="26"/>
      <c r="P1206" s="26"/>
      <c r="Q1206" s="26"/>
      <c r="R1206" s="26"/>
      <c r="S1206" s="26"/>
      <c r="T1206" s="26"/>
      <c r="U1206" s="26"/>
      <c r="V1206" s="26"/>
      <c r="W1206" s="27"/>
    </row>
    <row r="1207" spans="1:23" ht="15.75" customHeight="1" x14ac:dyDescent="0.25">
      <c r="A1207" s="23"/>
      <c r="B1207" s="23" t="str">
        <f t="shared" si="5"/>
        <v/>
      </c>
      <c r="C1207" s="23"/>
      <c r="D1207" s="44"/>
      <c r="E1207" s="23"/>
      <c r="F1207" s="45"/>
      <c r="G1207" s="23"/>
      <c r="H1207" s="23"/>
      <c r="I1207" s="23"/>
      <c r="J1207" s="25"/>
      <c r="K1207" s="23"/>
      <c r="L1207" s="23"/>
      <c r="M1207" s="23"/>
      <c r="N1207" s="26"/>
      <c r="O1207" s="26"/>
      <c r="P1207" s="26"/>
      <c r="Q1207" s="26"/>
      <c r="R1207" s="26"/>
      <c r="S1207" s="26"/>
      <c r="T1207" s="26"/>
      <c r="U1207" s="26"/>
      <c r="V1207" s="26"/>
      <c r="W1207" s="27"/>
    </row>
    <row r="1208" spans="1:23" ht="15.75" customHeight="1" x14ac:dyDescent="0.25">
      <c r="A1208" s="23"/>
      <c r="B1208" s="23" t="str">
        <f t="shared" si="5"/>
        <v/>
      </c>
      <c r="C1208" s="23"/>
      <c r="D1208" s="44"/>
      <c r="E1208" s="23"/>
      <c r="F1208" s="45"/>
      <c r="G1208" s="23"/>
      <c r="H1208" s="23"/>
      <c r="I1208" s="23"/>
      <c r="J1208" s="25"/>
      <c r="K1208" s="23"/>
      <c r="L1208" s="23"/>
      <c r="M1208" s="23"/>
      <c r="N1208" s="26"/>
      <c r="O1208" s="26"/>
      <c r="P1208" s="26"/>
      <c r="Q1208" s="26"/>
      <c r="R1208" s="26"/>
      <c r="S1208" s="26"/>
      <c r="T1208" s="26"/>
      <c r="U1208" s="26"/>
      <c r="V1208" s="26"/>
      <c r="W1208" s="27"/>
    </row>
    <row r="1209" spans="1:23" ht="15.75" customHeight="1" x14ac:dyDescent="0.25">
      <c r="A1209" s="23"/>
      <c r="B1209" s="23" t="str">
        <f t="shared" si="5"/>
        <v/>
      </c>
      <c r="C1209" s="23"/>
      <c r="D1209" s="44"/>
      <c r="E1209" s="23"/>
      <c r="F1209" s="45"/>
      <c r="G1209" s="23"/>
      <c r="H1209" s="23"/>
      <c r="I1209" s="23"/>
      <c r="J1209" s="25"/>
      <c r="K1209" s="23"/>
      <c r="L1209" s="23"/>
      <c r="M1209" s="23"/>
      <c r="N1209" s="26"/>
      <c r="O1209" s="26"/>
      <c r="P1209" s="26"/>
      <c r="Q1209" s="26"/>
      <c r="R1209" s="26"/>
      <c r="S1209" s="26"/>
      <c r="T1209" s="26"/>
      <c r="U1209" s="26"/>
      <c r="V1209" s="26"/>
      <c r="W1209" s="27"/>
    </row>
    <row r="1210" spans="1:23" ht="15.75" customHeight="1" x14ac:dyDescent="0.25">
      <c r="A1210" s="23"/>
      <c r="B1210" s="23" t="str">
        <f t="shared" si="5"/>
        <v/>
      </c>
      <c r="C1210" s="23"/>
      <c r="D1210" s="44"/>
      <c r="E1210" s="23"/>
      <c r="F1210" s="45"/>
      <c r="G1210" s="23"/>
      <c r="H1210" s="23"/>
      <c r="I1210" s="23"/>
      <c r="J1210" s="25"/>
      <c r="K1210" s="23"/>
      <c r="L1210" s="23"/>
      <c r="M1210" s="23"/>
      <c r="N1210" s="26"/>
      <c r="O1210" s="26"/>
      <c r="P1210" s="26"/>
      <c r="Q1210" s="26"/>
      <c r="R1210" s="26"/>
      <c r="S1210" s="26"/>
      <c r="T1210" s="26"/>
      <c r="U1210" s="26"/>
      <c r="V1210" s="26"/>
      <c r="W1210" s="27"/>
    </row>
    <row r="1211" spans="1:23" ht="15.75" customHeight="1" x14ac:dyDescent="0.25">
      <c r="A1211" s="23"/>
      <c r="B1211" s="23" t="str">
        <f t="shared" si="5"/>
        <v/>
      </c>
      <c r="C1211" s="23"/>
      <c r="D1211" s="44"/>
      <c r="E1211" s="23"/>
      <c r="F1211" s="45"/>
      <c r="G1211" s="23"/>
      <c r="H1211" s="23"/>
      <c r="I1211" s="23"/>
      <c r="J1211" s="25"/>
      <c r="K1211" s="23"/>
      <c r="L1211" s="23"/>
      <c r="M1211" s="23"/>
      <c r="N1211" s="26"/>
      <c r="O1211" s="26"/>
      <c r="P1211" s="26"/>
      <c r="Q1211" s="26"/>
      <c r="R1211" s="26"/>
      <c r="S1211" s="26"/>
      <c r="T1211" s="26"/>
      <c r="U1211" s="26"/>
      <c r="V1211" s="26"/>
      <c r="W1211" s="27"/>
    </row>
    <row r="1212" spans="1:23" ht="15.75" customHeight="1" x14ac:dyDescent="0.25">
      <c r="A1212" s="23"/>
      <c r="B1212" s="23" t="str">
        <f t="shared" si="5"/>
        <v/>
      </c>
      <c r="C1212" s="23"/>
      <c r="D1212" s="44"/>
      <c r="E1212" s="23"/>
      <c r="F1212" s="45"/>
      <c r="G1212" s="23"/>
      <c r="H1212" s="23"/>
      <c r="I1212" s="23"/>
      <c r="J1212" s="25"/>
      <c r="K1212" s="23"/>
      <c r="L1212" s="23"/>
      <c r="M1212" s="23"/>
      <c r="N1212" s="26"/>
      <c r="O1212" s="26"/>
      <c r="P1212" s="26"/>
      <c r="Q1212" s="26"/>
      <c r="R1212" s="26"/>
      <c r="S1212" s="26"/>
      <c r="T1212" s="26"/>
      <c r="U1212" s="26"/>
      <c r="V1212" s="26"/>
      <c r="W1212" s="27"/>
    </row>
    <row r="1213" spans="1:23" ht="15.75" customHeight="1" x14ac:dyDescent="0.25">
      <c r="A1213" s="23"/>
      <c r="B1213" s="23" t="str">
        <f t="shared" si="5"/>
        <v/>
      </c>
      <c r="C1213" s="23"/>
      <c r="D1213" s="44"/>
      <c r="E1213" s="23"/>
      <c r="F1213" s="45"/>
      <c r="G1213" s="23"/>
      <c r="H1213" s="23"/>
      <c r="I1213" s="23"/>
      <c r="J1213" s="25"/>
      <c r="K1213" s="23"/>
      <c r="L1213" s="23"/>
      <c r="M1213" s="23"/>
      <c r="N1213" s="26"/>
      <c r="O1213" s="26"/>
      <c r="P1213" s="26"/>
      <c r="Q1213" s="26"/>
      <c r="R1213" s="26"/>
      <c r="S1213" s="26"/>
      <c r="T1213" s="26"/>
      <c r="U1213" s="26"/>
      <c r="V1213" s="26"/>
      <c r="W1213" s="27"/>
    </row>
    <row r="1214" spans="1:23" ht="15.75" customHeight="1" x14ac:dyDescent="0.25">
      <c r="A1214" s="23"/>
      <c r="B1214" s="23" t="str">
        <f t="shared" si="5"/>
        <v/>
      </c>
      <c r="C1214" s="23"/>
      <c r="D1214" s="44"/>
      <c r="E1214" s="23"/>
      <c r="F1214" s="45"/>
      <c r="G1214" s="23"/>
      <c r="H1214" s="23"/>
      <c r="I1214" s="23"/>
      <c r="J1214" s="25"/>
      <c r="K1214" s="23"/>
      <c r="L1214" s="23"/>
      <c r="M1214" s="23"/>
      <c r="N1214" s="26"/>
      <c r="O1214" s="26"/>
      <c r="P1214" s="26"/>
      <c r="Q1214" s="26"/>
      <c r="R1214" s="26"/>
      <c r="S1214" s="26"/>
      <c r="T1214" s="26"/>
      <c r="U1214" s="26"/>
      <c r="V1214" s="26"/>
      <c r="W1214" s="27"/>
    </row>
    <row r="1215" spans="1:23" ht="15.75" customHeight="1" x14ac:dyDescent="0.25">
      <c r="A1215" s="23"/>
      <c r="B1215" s="23" t="str">
        <f t="shared" si="5"/>
        <v/>
      </c>
      <c r="C1215" s="23"/>
      <c r="D1215" s="44"/>
      <c r="E1215" s="23"/>
      <c r="F1215" s="45"/>
      <c r="G1215" s="23"/>
      <c r="H1215" s="23"/>
      <c r="I1215" s="23"/>
      <c r="J1215" s="25"/>
      <c r="K1215" s="23"/>
      <c r="L1215" s="23"/>
      <c r="M1215" s="23"/>
      <c r="N1215" s="26"/>
      <c r="O1215" s="26"/>
      <c r="P1215" s="26"/>
      <c r="Q1215" s="26"/>
      <c r="R1215" s="26"/>
      <c r="S1215" s="26"/>
      <c r="T1215" s="26"/>
      <c r="U1215" s="26"/>
      <c r="V1215" s="26"/>
      <c r="W1215" s="27"/>
    </row>
    <row r="1216" spans="1:23" ht="15.75" customHeight="1" x14ac:dyDescent="0.25">
      <c r="A1216" s="23"/>
      <c r="B1216" s="23" t="str">
        <f t="shared" si="5"/>
        <v/>
      </c>
      <c r="C1216" s="23"/>
      <c r="D1216" s="44"/>
      <c r="E1216" s="23"/>
      <c r="F1216" s="45"/>
      <c r="G1216" s="23"/>
      <c r="H1216" s="23"/>
      <c r="I1216" s="23"/>
      <c r="J1216" s="25"/>
      <c r="K1216" s="23"/>
      <c r="L1216" s="23"/>
      <c r="M1216" s="23"/>
      <c r="N1216" s="26"/>
      <c r="O1216" s="26"/>
      <c r="P1216" s="26"/>
      <c r="Q1216" s="26"/>
      <c r="R1216" s="26"/>
      <c r="S1216" s="26"/>
      <c r="T1216" s="26"/>
      <c r="U1216" s="26"/>
      <c r="V1216" s="26"/>
      <c r="W1216" s="27"/>
    </row>
    <row r="1217" spans="1:23" ht="15.75" customHeight="1" x14ac:dyDescent="0.25">
      <c r="A1217" s="23"/>
      <c r="B1217" s="23" t="str">
        <f t="shared" si="5"/>
        <v/>
      </c>
      <c r="C1217" s="23"/>
      <c r="D1217" s="44"/>
      <c r="E1217" s="23"/>
      <c r="F1217" s="45"/>
      <c r="G1217" s="23"/>
      <c r="H1217" s="23"/>
      <c r="I1217" s="23"/>
      <c r="J1217" s="25"/>
      <c r="K1217" s="23"/>
      <c r="L1217" s="23"/>
      <c r="M1217" s="23"/>
      <c r="N1217" s="26"/>
      <c r="O1217" s="26"/>
      <c r="P1217" s="26"/>
      <c r="Q1217" s="26"/>
      <c r="R1217" s="26"/>
      <c r="S1217" s="26"/>
      <c r="T1217" s="26"/>
      <c r="U1217" s="26"/>
      <c r="V1217" s="26"/>
      <c r="W1217" s="27"/>
    </row>
    <row r="1218" spans="1:23" ht="15.75" customHeight="1" x14ac:dyDescent="0.25">
      <c r="A1218" s="23"/>
      <c r="B1218" s="23" t="str">
        <f t="shared" si="5"/>
        <v/>
      </c>
      <c r="C1218" s="23"/>
      <c r="D1218" s="44"/>
      <c r="E1218" s="23"/>
      <c r="F1218" s="45"/>
      <c r="G1218" s="23"/>
      <c r="H1218" s="23"/>
      <c r="I1218" s="23"/>
      <c r="J1218" s="25"/>
      <c r="K1218" s="23"/>
      <c r="L1218" s="23"/>
      <c r="M1218" s="23"/>
      <c r="N1218" s="26"/>
      <c r="O1218" s="26"/>
      <c r="P1218" s="26"/>
      <c r="Q1218" s="26"/>
      <c r="R1218" s="26"/>
      <c r="S1218" s="26"/>
      <c r="T1218" s="26"/>
      <c r="U1218" s="26"/>
      <c r="V1218" s="26"/>
      <c r="W1218" s="27"/>
    </row>
    <row r="1219" spans="1:23" ht="15.75" customHeight="1" x14ac:dyDescent="0.25">
      <c r="A1219" s="23"/>
      <c r="B1219" s="23" t="str">
        <f t="shared" si="5"/>
        <v/>
      </c>
      <c r="C1219" s="23"/>
      <c r="D1219" s="44"/>
      <c r="E1219" s="23"/>
      <c r="F1219" s="45"/>
      <c r="G1219" s="23"/>
      <c r="H1219" s="23"/>
      <c r="I1219" s="23"/>
      <c r="J1219" s="25"/>
      <c r="K1219" s="23"/>
      <c r="L1219" s="23"/>
      <c r="M1219" s="23"/>
      <c r="N1219" s="26"/>
      <c r="O1219" s="26"/>
      <c r="P1219" s="26"/>
      <c r="Q1219" s="26"/>
      <c r="R1219" s="26"/>
      <c r="S1219" s="26"/>
      <c r="T1219" s="26"/>
      <c r="U1219" s="26"/>
      <c r="V1219" s="26"/>
      <c r="W1219" s="27"/>
    </row>
    <row r="1220" spans="1:23" ht="15.75" customHeight="1" x14ac:dyDescent="0.25">
      <c r="A1220" s="23"/>
      <c r="B1220" s="23" t="str">
        <f t="shared" si="5"/>
        <v/>
      </c>
      <c r="C1220" s="23"/>
      <c r="D1220" s="44"/>
      <c r="E1220" s="23"/>
      <c r="F1220" s="45"/>
      <c r="G1220" s="23"/>
      <c r="H1220" s="23"/>
      <c r="I1220" s="23"/>
      <c r="J1220" s="25"/>
      <c r="K1220" s="23"/>
      <c r="L1220" s="23"/>
      <c r="M1220" s="23"/>
      <c r="N1220" s="26"/>
      <c r="O1220" s="26"/>
      <c r="P1220" s="26"/>
      <c r="Q1220" s="26"/>
      <c r="R1220" s="26"/>
      <c r="S1220" s="26"/>
      <c r="T1220" s="26"/>
      <c r="U1220" s="26"/>
      <c r="V1220" s="26"/>
      <c r="W1220" s="27"/>
    </row>
    <row r="1221" spans="1:23" ht="15.75" customHeight="1" x14ac:dyDescent="0.25">
      <c r="A1221" s="23"/>
      <c r="B1221" s="23" t="str">
        <f t="shared" si="5"/>
        <v/>
      </c>
      <c r="C1221" s="23"/>
      <c r="D1221" s="44"/>
      <c r="E1221" s="23"/>
      <c r="F1221" s="45"/>
      <c r="G1221" s="23"/>
      <c r="H1221" s="23"/>
      <c r="I1221" s="23"/>
      <c r="J1221" s="25"/>
      <c r="K1221" s="23"/>
      <c r="L1221" s="23"/>
      <c r="M1221" s="23"/>
      <c r="N1221" s="26"/>
      <c r="O1221" s="26"/>
      <c r="P1221" s="26"/>
      <c r="Q1221" s="26"/>
      <c r="R1221" s="26"/>
      <c r="S1221" s="26"/>
      <c r="T1221" s="26"/>
      <c r="U1221" s="26"/>
      <c r="V1221" s="26"/>
      <c r="W1221" s="27"/>
    </row>
    <row r="1222" spans="1:23" ht="15.75" customHeight="1" x14ac:dyDescent="0.25">
      <c r="A1222" s="23"/>
      <c r="B1222" s="23" t="str">
        <f t="shared" si="5"/>
        <v/>
      </c>
      <c r="C1222" s="23"/>
      <c r="D1222" s="44"/>
      <c r="E1222" s="23"/>
      <c r="F1222" s="45"/>
      <c r="G1222" s="23"/>
      <c r="H1222" s="23"/>
      <c r="I1222" s="23"/>
      <c r="J1222" s="25"/>
      <c r="K1222" s="23"/>
      <c r="L1222" s="23"/>
      <c r="M1222" s="23"/>
      <c r="N1222" s="26"/>
      <c r="O1222" s="26"/>
      <c r="P1222" s="26"/>
      <c r="Q1222" s="26"/>
      <c r="R1222" s="26"/>
      <c r="S1222" s="26"/>
      <c r="T1222" s="26"/>
      <c r="U1222" s="26"/>
      <c r="V1222" s="26"/>
      <c r="W1222" s="27"/>
    </row>
    <row r="1223" spans="1:23" ht="15.75" customHeight="1" x14ac:dyDescent="0.25">
      <c r="A1223" s="23"/>
      <c r="B1223" s="23" t="str">
        <f t="shared" si="5"/>
        <v/>
      </c>
      <c r="C1223" s="23"/>
      <c r="D1223" s="44"/>
      <c r="E1223" s="23"/>
      <c r="F1223" s="45"/>
      <c r="G1223" s="23"/>
      <c r="H1223" s="23"/>
      <c r="I1223" s="23"/>
      <c r="J1223" s="25"/>
      <c r="K1223" s="23"/>
      <c r="L1223" s="23"/>
      <c r="M1223" s="23"/>
      <c r="N1223" s="26"/>
      <c r="O1223" s="26"/>
      <c r="P1223" s="26"/>
      <c r="Q1223" s="26"/>
      <c r="R1223" s="26"/>
      <c r="S1223" s="26"/>
      <c r="T1223" s="26"/>
      <c r="U1223" s="26"/>
      <c r="V1223" s="26"/>
      <c r="W1223" s="27"/>
    </row>
    <row r="1224" spans="1:23" ht="15.75" customHeight="1" x14ac:dyDescent="0.25">
      <c r="A1224" s="23"/>
      <c r="B1224" s="23" t="str">
        <f t="shared" si="5"/>
        <v/>
      </c>
      <c r="C1224" s="23"/>
      <c r="D1224" s="44"/>
      <c r="E1224" s="23"/>
      <c r="F1224" s="45"/>
      <c r="G1224" s="23"/>
      <c r="H1224" s="23"/>
      <c r="I1224" s="23"/>
      <c r="J1224" s="25"/>
      <c r="K1224" s="23"/>
      <c r="L1224" s="23"/>
      <c r="M1224" s="23"/>
      <c r="N1224" s="26"/>
      <c r="O1224" s="26"/>
      <c r="P1224" s="26"/>
      <c r="Q1224" s="26"/>
      <c r="R1224" s="26"/>
      <c r="S1224" s="26"/>
      <c r="T1224" s="26"/>
      <c r="U1224" s="26"/>
      <c r="V1224" s="26"/>
      <c r="W1224" s="27"/>
    </row>
    <row r="1225" spans="1:23" ht="15.75" customHeight="1" x14ac:dyDescent="0.25">
      <c r="A1225" s="23"/>
      <c r="B1225" s="23" t="str">
        <f t="shared" si="5"/>
        <v/>
      </c>
      <c r="C1225" s="23"/>
      <c r="D1225" s="44"/>
      <c r="E1225" s="23"/>
      <c r="F1225" s="45"/>
      <c r="G1225" s="23"/>
      <c r="H1225" s="23"/>
      <c r="I1225" s="23"/>
      <c r="J1225" s="25"/>
      <c r="K1225" s="23"/>
      <c r="L1225" s="23"/>
      <c r="M1225" s="23"/>
      <c r="N1225" s="26"/>
      <c r="O1225" s="26"/>
      <c r="P1225" s="26"/>
      <c r="Q1225" s="26"/>
      <c r="R1225" s="26"/>
      <c r="S1225" s="26"/>
      <c r="T1225" s="26"/>
      <c r="U1225" s="26"/>
      <c r="V1225" s="26"/>
      <c r="W1225" s="27"/>
    </row>
    <row r="1226" spans="1:23" ht="15.75" customHeight="1" x14ac:dyDescent="0.25">
      <c r="A1226" s="23"/>
      <c r="B1226" s="23" t="str">
        <f t="shared" si="5"/>
        <v/>
      </c>
      <c r="C1226" s="23"/>
      <c r="D1226" s="44"/>
      <c r="E1226" s="23"/>
      <c r="F1226" s="45"/>
      <c r="G1226" s="23"/>
      <c r="H1226" s="23"/>
      <c r="I1226" s="23"/>
      <c r="J1226" s="25"/>
      <c r="K1226" s="23"/>
      <c r="L1226" s="23"/>
      <c r="M1226" s="23"/>
      <c r="N1226" s="26"/>
      <c r="O1226" s="26"/>
      <c r="P1226" s="26"/>
      <c r="Q1226" s="26"/>
      <c r="R1226" s="26"/>
      <c r="S1226" s="26"/>
      <c r="T1226" s="26"/>
      <c r="U1226" s="26"/>
      <c r="V1226" s="26"/>
      <c r="W1226" s="27"/>
    </row>
    <row r="1227" spans="1:23" ht="15.75" customHeight="1" x14ac:dyDescent="0.25">
      <c r="A1227" s="23"/>
      <c r="B1227" s="23" t="str">
        <f t="shared" si="5"/>
        <v/>
      </c>
      <c r="C1227" s="23"/>
      <c r="D1227" s="44"/>
      <c r="E1227" s="23"/>
      <c r="F1227" s="45"/>
      <c r="G1227" s="23"/>
      <c r="H1227" s="23"/>
      <c r="I1227" s="23"/>
      <c r="J1227" s="25"/>
      <c r="K1227" s="23"/>
      <c r="L1227" s="23"/>
      <c r="M1227" s="23"/>
      <c r="N1227" s="26"/>
      <c r="O1227" s="26"/>
      <c r="P1227" s="26"/>
      <c r="Q1227" s="26"/>
      <c r="R1227" s="26"/>
      <c r="S1227" s="26"/>
      <c r="T1227" s="26"/>
      <c r="U1227" s="26"/>
      <c r="V1227" s="26"/>
      <c r="W1227" s="27"/>
    </row>
    <row r="1228" spans="1:23" ht="15.75" customHeight="1" x14ac:dyDescent="0.25">
      <c r="A1228" s="23"/>
      <c r="B1228" s="23" t="str">
        <f t="shared" si="5"/>
        <v/>
      </c>
      <c r="C1228" s="23"/>
      <c r="D1228" s="44"/>
      <c r="E1228" s="23"/>
      <c r="F1228" s="45"/>
      <c r="G1228" s="23"/>
      <c r="H1228" s="23"/>
      <c r="I1228" s="23"/>
      <c r="J1228" s="25"/>
      <c r="K1228" s="23"/>
      <c r="L1228" s="23"/>
      <c r="M1228" s="23"/>
      <c r="N1228" s="26"/>
      <c r="O1228" s="26"/>
      <c r="P1228" s="26"/>
      <c r="Q1228" s="26"/>
      <c r="R1228" s="26"/>
      <c r="S1228" s="26"/>
      <c r="T1228" s="26"/>
      <c r="U1228" s="26"/>
      <c r="V1228" s="26"/>
      <c r="W1228" s="27"/>
    </row>
    <row r="1229" spans="1:23" ht="15.75" customHeight="1" x14ac:dyDescent="0.25">
      <c r="A1229" s="23"/>
      <c r="B1229" s="23" t="str">
        <f t="shared" si="5"/>
        <v/>
      </c>
      <c r="C1229" s="23"/>
      <c r="D1229" s="44"/>
      <c r="E1229" s="23"/>
      <c r="F1229" s="45"/>
      <c r="G1229" s="23"/>
      <c r="H1229" s="23"/>
      <c r="I1229" s="23"/>
      <c r="J1229" s="25"/>
      <c r="K1229" s="23"/>
      <c r="L1229" s="23"/>
      <c r="M1229" s="23"/>
      <c r="N1229" s="26"/>
      <c r="O1229" s="26"/>
      <c r="P1229" s="26"/>
      <c r="Q1229" s="26"/>
      <c r="R1229" s="26"/>
      <c r="S1229" s="26"/>
      <c r="T1229" s="26"/>
      <c r="U1229" s="26"/>
      <c r="V1229" s="26"/>
      <c r="W1229" s="27"/>
    </row>
    <row r="1230" spans="1:23" ht="15.75" customHeight="1" x14ac:dyDescent="0.25">
      <c r="A1230" s="23"/>
      <c r="B1230" s="23" t="str">
        <f t="shared" si="5"/>
        <v/>
      </c>
      <c r="C1230" s="23"/>
      <c r="D1230" s="44"/>
      <c r="E1230" s="23"/>
      <c r="F1230" s="45"/>
      <c r="G1230" s="23"/>
      <c r="H1230" s="23"/>
      <c r="I1230" s="23"/>
      <c r="J1230" s="25"/>
      <c r="K1230" s="23"/>
      <c r="L1230" s="23"/>
      <c r="M1230" s="23"/>
      <c r="N1230" s="26"/>
      <c r="O1230" s="26"/>
      <c r="P1230" s="26"/>
      <c r="Q1230" s="26"/>
      <c r="R1230" s="26"/>
      <c r="S1230" s="26"/>
      <c r="T1230" s="26"/>
      <c r="U1230" s="26"/>
      <c r="V1230" s="26"/>
      <c r="W1230" s="27"/>
    </row>
    <row r="1231" spans="1:23" ht="15.75" customHeight="1" x14ac:dyDescent="0.25">
      <c r="A1231" s="23"/>
      <c r="B1231" s="23" t="str">
        <f t="shared" si="5"/>
        <v/>
      </c>
      <c r="C1231" s="23"/>
      <c r="D1231" s="44"/>
      <c r="E1231" s="23"/>
      <c r="F1231" s="45"/>
      <c r="G1231" s="23"/>
      <c r="H1231" s="23"/>
      <c r="I1231" s="23"/>
      <c r="J1231" s="25"/>
      <c r="K1231" s="23"/>
      <c r="L1231" s="23"/>
      <c r="M1231" s="23"/>
      <c r="N1231" s="26"/>
      <c r="O1231" s="26"/>
      <c r="P1231" s="26"/>
      <c r="Q1231" s="26"/>
      <c r="R1231" s="26"/>
      <c r="S1231" s="26"/>
      <c r="T1231" s="26"/>
      <c r="U1231" s="26"/>
      <c r="V1231" s="26"/>
      <c r="W1231" s="27"/>
    </row>
    <row r="1232" spans="1:23" ht="15.75" customHeight="1" x14ac:dyDescent="0.25">
      <c r="A1232" s="23"/>
      <c r="B1232" s="23" t="str">
        <f t="shared" si="5"/>
        <v/>
      </c>
      <c r="C1232" s="23"/>
      <c r="D1232" s="44"/>
      <c r="E1232" s="23"/>
      <c r="F1232" s="45"/>
      <c r="G1232" s="23"/>
      <c r="H1232" s="23"/>
      <c r="I1232" s="23"/>
      <c r="J1232" s="25"/>
      <c r="K1232" s="23"/>
      <c r="L1232" s="23"/>
      <c r="M1232" s="23"/>
      <c r="N1232" s="26"/>
      <c r="O1232" s="26"/>
      <c r="P1232" s="26"/>
      <c r="Q1232" s="26"/>
      <c r="R1232" s="26"/>
      <c r="S1232" s="26"/>
      <c r="T1232" s="26"/>
      <c r="U1232" s="26"/>
      <c r="V1232" s="26"/>
      <c r="W1232" s="27"/>
    </row>
    <row r="1233" spans="1:23" ht="15.75" customHeight="1" x14ac:dyDescent="0.25">
      <c r="A1233" s="23"/>
      <c r="B1233" s="23" t="str">
        <f t="shared" si="5"/>
        <v/>
      </c>
      <c r="C1233" s="23"/>
      <c r="D1233" s="44"/>
      <c r="E1233" s="23"/>
      <c r="F1233" s="45"/>
      <c r="G1233" s="23"/>
      <c r="H1233" s="23"/>
      <c r="I1233" s="23"/>
      <c r="J1233" s="25"/>
      <c r="K1233" s="23"/>
      <c r="L1233" s="23"/>
      <c r="M1233" s="23"/>
      <c r="N1233" s="26"/>
      <c r="O1233" s="26"/>
      <c r="P1233" s="26"/>
      <c r="Q1233" s="26"/>
      <c r="R1233" s="26"/>
      <c r="S1233" s="26"/>
      <c r="T1233" s="26"/>
      <c r="U1233" s="26"/>
      <c r="V1233" s="26"/>
      <c r="W1233" s="27"/>
    </row>
    <row r="1234" spans="1:23" ht="15.75" customHeight="1" x14ac:dyDescent="0.25">
      <c r="A1234" s="23"/>
      <c r="B1234" s="23" t="str">
        <f t="shared" si="5"/>
        <v/>
      </c>
      <c r="C1234" s="23"/>
      <c r="D1234" s="44"/>
      <c r="E1234" s="23"/>
      <c r="F1234" s="45"/>
      <c r="G1234" s="23"/>
      <c r="H1234" s="23"/>
      <c r="I1234" s="23"/>
      <c r="J1234" s="25"/>
      <c r="K1234" s="23"/>
      <c r="L1234" s="23"/>
      <c r="M1234" s="23"/>
      <c r="N1234" s="26"/>
      <c r="O1234" s="26"/>
      <c r="P1234" s="26"/>
      <c r="Q1234" s="26"/>
      <c r="R1234" s="26"/>
      <c r="S1234" s="26"/>
      <c r="T1234" s="26"/>
      <c r="U1234" s="26"/>
      <c r="V1234" s="26"/>
      <c r="W1234" s="27"/>
    </row>
    <row r="1235" spans="1:23" ht="15.75" customHeight="1" x14ac:dyDescent="0.25">
      <c r="A1235" s="23"/>
      <c r="B1235" s="23" t="str">
        <f t="shared" si="5"/>
        <v/>
      </c>
      <c r="C1235" s="23"/>
      <c r="D1235" s="44"/>
      <c r="E1235" s="23"/>
      <c r="F1235" s="45"/>
      <c r="G1235" s="23"/>
      <c r="H1235" s="23"/>
      <c r="I1235" s="23"/>
      <c r="J1235" s="25"/>
      <c r="K1235" s="23"/>
      <c r="L1235" s="23"/>
      <c r="M1235" s="23"/>
      <c r="N1235" s="26"/>
      <c r="O1235" s="26"/>
      <c r="P1235" s="26"/>
      <c r="Q1235" s="26"/>
      <c r="R1235" s="26"/>
      <c r="S1235" s="26"/>
      <c r="T1235" s="26"/>
      <c r="U1235" s="26"/>
      <c r="V1235" s="26"/>
      <c r="W1235" s="27"/>
    </row>
    <row r="1236" spans="1:23" ht="15.75" customHeight="1" x14ac:dyDescent="0.25">
      <c r="A1236" s="23"/>
      <c r="B1236" s="23" t="str">
        <f t="shared" si="5"/>
        <v/>
      </c>
      <c r="C1236" s="23"/>
      <c r="D1236" s="44"/>
      <c r="E1236" s="23"/>
      <c r="F1236" s="45"/>
      <c r="G1236" s="23"/>
      <c r="H1236" s="23"/>
      <c r="I1236" s="23"/>
      <c r="J1236" s="25"/>
      <c r="K1236" s="23"/>
      <c r="L1236" s="23"/>
      <c r="M1236" s="23"/>
      <c r="N1236" s="26"/>
      <c r="O1236" s="26"/>
      <c r="P1236" s="26"/>
      <c r="Q1236" s="26"/>
      <c r="R1236" s="26"/>
      <c r="S1236" s="26"/>
      <c r="T1236" s="26"/>
      <c r="U1236" s="26"/>
      <c r="V1236" s="26"/>
      <c r="W1236" s="27"/>
    </row>
    <row r="1237" spans="1:23" ht="15.75" customHeight="1" x14ac:dyDescent="0.25">
      <c r="A1237" s="23"/>
      <c r="B1237" s="23" t="str">
        <f t="shared" si="5"/>
        <v/>
      </c>
      <c r="C1237" s="23"/>
      <c r="D1237" s="44"/>
      <c r="E1237" s="23"/>
      <c r="F1237" s="45"/>
      <c r="G1237" s="23"/>
      <c r="H1237" s="23"/>
      <c r="I1237" s="23"/>
      <c r="J1237" s="25"/>
      <c r="K1237" s="23"/>
      <c r="L1237" s="23"/>
      <c r="M1237" s="23"/>
      <c r="N1237" s="26"/>
      <c r="O1237" s="26"/>
      <c r="P1237" s="26"/>
      <c r="Q1237" s="26"/>
      <c r="R1237" s="26"/>
      <c r="S1237" s="26"/>
      <c r="T1237" s="26"/>
      <c r="U1237" s="26"/>
      <c r="V1237" s="26"/>
      <c r="W1237" s="27"/>
    </row>
    <row r="1238" spans="1:23" ht="15.75" customHeight="1" x14ac:dyDescent="0.25">
      <c r="A1238" s="23"/>
      <c r="B1238" s="23" t="str">
        <f t="shared" si="5"/>
        <v/>
      </c>
      <c r="C1238" s="23"/>
      <c r="D1238" s="44"/>
      <c r="E1238" s="23"/>
      <c r="F1238" s="45"/>
      <c r="G1238" s="23"/>
      <c r="H1238" s="23"/>
      <c r="I1238" s="23"/>
      <c r="J1238" s="25"/>
      <c r="K1238" s="23"/>
      <c r="L1238" s="23"/>
      <c r="M1238" s="23"/>
      <c r="N1238" s="26"/>
      <c r="O1238" s="26"/>
      <c r="P1238" s="26"/>
      <c r="Q1238" s="26"/>
      <c r="R1238" s="26"/>
      <c r="S1238" s="26"/>
      <c r="T1238" s="26"/>
      <c r="U1238" s="26"/>
      <c r="V1238" s="26"/>
      <c r="W1238" s="27"/>
    </row>
    <row r="1239" spans="1:23" ht="15.75" customHeight="1" x14ac:dyDescent="0.25">
      <c r="A1239" s="23"/>
      <c r="B1239" s="23" t="str">
        <f t="shared" si="5"/>
        <v/>
      </c>
      <c r="C1239" s="23"/>
      <c r="D1239" s="44"/>
      <c r="E1239" s="23"/>
      <c r="F1239" s="45"/>
      <c r="G1239" s="23"/>
      <c r="H1239" s="23"/>
      <c r="I1239" s="23"/>
      <c r="J1239" s="25"/>
      <c r="K1239" s="23"/>
      <c r="L1239" s="23"/>
      <c r="M1239" s="23"/>
      <c r="N1239" s="26"/>
      <c r="O1239" s="26"/>
      <c r="P1239" s="26"/>
      <c r="Q1239" s="26"/>
      <c r="R1239" s="26"/>
      <c r="S1239" s="26"/>
      <c r="T1239" s="26"/>
      <c r="U1239" s="26"/>
      <c r="V1239" s="26"/>
      <c r="W1239" s="27"/>
    </row>
    <row r="1240" spans="1:23" ht="15.75" customHeight="1" x14ac:dyDescent="0.25">
      <c r="A1240" s="23"/>
      <c r="B1240" s="23" t="str">
        <f t="shared" si="5"/>
        <v/>
      </c>
      <c r="C1240" s="23"/>
      <c r="D1240" s="44"/>
      <c r="E1240" s="23"/>
      <c r="F1240" s="45"/>
      <c r="G1240" s="23"/>
      <c r="H1240" s="23"/>
      <c r="I1240" s="23"/>
      <c r="J1240" s="25"/>
      <c r="K1240" s="23"/>
      <c r="L1240" s="23"/>
      <c r="M1240" s="23"/>
      <c r="N1240" s="26"/>
      <c r="O1240" s="26"/>
      <c r="P1240" s="26"/>
      <c r="Q1240" s="26"/>
      <c r="R1240" s="26"/>
      <c r="S1240" s="26"/>
      <c r="T1240" s="26"/>
      <c r="U1240" s="26"/>
      <c r="V1240" s="26"/>
      <c r="W1240" s="27"/>
    </row>
    <row r="1241" spans="1:23" ht="15.75" customHeight="1" x14ac:dyDescent="0.25">
      <c r="A1241" s="23"/>
      <c r="B1241" s="23" t="str">
        <f t="shared" si="5"/>
        <v/>
      </c>
      <c r="C1241" s="23"/>
      <c r="D1241" s="44"/>
      <c r="E1241" s="23"/>
      <c r="F1241" s="45"/>
      <c r="G1241" s="23"/>
      <c r="H1241" s="23"/>
      <c r="I1241" s="23"/>
      <c r="J1241" s="25"/>
      <c r="K1241" s="23"/>
      <c r="L1241" s="23"/>
      <c r="M1241" s="23"/>
      <c r="N1241" s="26"/>
      <c r="O1241" s="26"/>
      <c r="P1241" s="26"/>
      <c r="Q1241" s="26"/>
      <c r="R1241" s="26"/>
      <c r="S1241" s="26"/>
      <c r="T1241" s="26"/>
      <c r="U1241" s="26"/>
      <c r="V1241" s="26"/>
      <c r="W1241" s="27"/>
    </row>
    <row r="1242" spans="1:23" ht="15.75" customHeight="1" x14ac:dyDescent="0.25">
      <c r="A1242" s="23"/>
      <c r="B1242" s="23" t="str">
        <f t="shared" si="5"/>
        <v/>
      </c>
      <c r="C1242" s="23"/>
      <c r="D1242" s="44"/>
      <c r="E1242" s="23"/>
      <c r="F1242" s="45"/>
      <c r="G1242" s="23"/>
      <c r="H1242" s="23"/>
      <c r="I1242" s="23"/>
      <c r="J1242" s="25"/>
      <c r="K1242" s="23"/>
      <c r="L1242" s="23"/>
      <c r="M1242" s="23"/>
      <c r="N1242" s="26"/>
      <c r="O1242" s="26"/>
      <c r="P1242" s="26"/>
      <c r="Q1242" s="26"/>
      <c r="R1242" s="26"/>
      <c r="S1242" s="26"/>
      <c r="T1242" s="26"/>
      <c r="U1242" s="26"/>
      <c r="V1242" s="26"/>
      <c r="W1242" s="27"/>
    </row>
    <row r="1243" spans="1:23" ht="15.75" customHeight="1" x14ac:dyDescent="0.25">
      <c r="A1243" s="23"/>
      <c r="B1243" s="23" t="str">
        <f t="shared" si="5"/>
        <v/>
      </c>
      <c r="C1243" s="23"/>
      <c r="D1243" s="44"/>
      <c r="E1243" s="23"/>
      <c r="F1243" s="45"/>
      <c r="G1243" s="23"/>
      <c r="H1243" s="23"/>
      <c r="I1243" s="23"/>
      <c r="J1243" s="25"/>
      <c r="K1243" s="23"/>
      <c r="L1243" s="23"/>
      <c r="M1243" s="23"/>
      <c r="N1243" s="26"/>
      <c r="O1243" s="26"/>
      <c r="P1243" s="26"/>
      <c r="Q1243" s="26"/>
      <c r="R1243" s="26"/>
      <c r="S1243" s="26"/>
      <c r="T1243" s="26"/>
      <c r="U1243" s="26"/>
      <c r="V1243" s="26"/>
      <c r="W1243" s="27"/>
    </row>
    <row r="1244" spans="1:23" ht="15.75" customHeight="1" x14ac:dyDescent="0.25">
      <c r="A1244" s="23"/>
      <c r="B1244" s="23" t="str">
        <f t="shared" si="5"/>
        <v/>
      </c>
      <c r="C1244" s="23"/>
      <c r="D1244" s="44"/>
      <c r="E1244" s="23"/>
      <c r="F1244" s="45"/>
      <c r="G1244" s="23"/>
      <c r="H1244" s="23"/>
      <c r="I1244" s="23"/>
      <c r="J1244" s="25"/>
      <c r="K1244" s="23"/>
      <c r="L1244" s="23"/>
      <c r="M1244" s="23"/>
      <c r="N1244" s="26"/>
      <c r="O1244" s="26"/>
      <c r="P1244" s="26"/>
      <c r="Q1244" s="26"/>
      <c r="R1244" s="26"/>
      <c r="S1244" s="26"/>
      <c r="T1244" s="26"/>
      <c r="U1244" s="26"/>
      <c r="V1244" s="26"/>
      <c r="W1244" s="27"/>
    </row>
    <row r="1245" spans="1:23" ht="15.75" customHeight="1" x14ac:dyDescent="0.25">
      <c r="A1245" s="23"/>
      <c r="B1245" s="23" t="str">
        <f t="shared" si="5"/>
        <v/>
      </c>
      <c r="C1245" s="23"/>
      <c r="D1245" s="44"/>
      <c r="E1245" s="23"/>
      <c r="F1245" s="45"/>
      <c r="G1245" s="23"/>
      <c r="H1245" s="23"/>
      <c r="I1245" s="23"/>
      <c r="J1245" s="25"/>
      <c r="K1245" s="23"/>
      <c r="L1245" s="23"/>
      <c r="M1245" s="23"/>
      <c r="N1245" s="26"/>
      <c r="O1245" s="26"/>
      <c r="P1245" s="26"/>
      <c r="Q1245" s="26"/>
      <c r="R1245" s="26"/>
      <c r="S1245" s="26"/>
      <c r="T1245" s="26"/>
      <c r="U1245" s="26"/>
      <c r="V1245" s="26"/>
      <c r="W1245" s="27"/>
    </row>
    <row r="1246" spans="1:23" ht="15.75" customHeight="1" x14ac:dyDescent="0.25">
      <c r="A1246" s="23"/>
      <c r="B1246" s="23" t="str">
        <f t="shared" si="5"/>
        <v/>
      </c>
      <c r="C1246" s="23"/>
      <c r="D1246" s="44"/>
      <c r="E1246" s="23"/>
      <c r="F1246" s="45"/>
      <c r="G1246" s="23"/>
      <c r="H1246" s="23"/>
      <c r="I1246" s="23"/>
      <c r="J1246" s="25"/>
      <c r="K1246" s="23"/>
      <c r="L1246" s="23"/>
      <c r="M1246" s="23"/>
      <c r="N1246" s="26"/>
      <c r="O1246" s="26"/>
      <c r="P1246" s="26"/>
      <c r="Q1246" s="26"/>
      <c r="R1246" s="26"/>
      <c r="S1246" s="26"/>
      <c r="T1246" s="26"/>
      <c r="U1246" s="26"/>
      <c r="V1246" s="26"/>
      <c r="W1246" s="27"/>
    </row>
    <row r="1247" spans="1:23" ht="15.75" customHeight="1" x14ac:dyDescent="0.25">
      <c r="A1247" s="23"/>
      <c r="B1247" s="23" t="str">
        <f t="shared" si="5"/>
        <v/>
      </c>
      <c r="C1247" s="23"/>
      <c r="D1247" s="44"/>
      <c r="E1247" s="23"/>
      <c r="F1247" s="45"/>
      <c r="G1247" s="23"/>
      <c r="H1247" s="23"/>
      <c r="I1247" s="23"/>
      <c r="J1247" s="25"/>
      <c r="K1247" s="23"/>
      <c r="L1247" s="23"/>
      <c r="M1247" s="23"/>
      <c r="N1247" s="26"/>
      <c r="O1247" s="26"/>
      <c r="P1247" s="26"/>
      <c r="Q1247" s="26"/>
      <c r="R1247" s="26"/>
      <c r="S1247" s="26"/>
      <c r="T1247" s="26"/>
      <c r="U1247" s="26"/>
      <c r="V1247" s="26"/>
      <c r="W1247" s="27"/>
    </row>
    <row r="1248" spans="1:23" ht="15.75" customHeight="1" x14ac:dyDescent="0.25">
      <c r="A1248" s="23"/>
      <c r="B1248" s="23" t="str">
        <f t="shared" si="5"/>
        <v/>
      </c>
      <c r="C1248" s="23"/>
      <c r="D1248" s="44"/>
      <c r="E1248" s="23"/>
      <c r="F1248" s="45"/>
      <c r="G1248" s="23"/>
      <c r="H1248" s="23"/>
      <c r="I1248" s="23"/>
      <c r="J1248" s="25"/>
      <c r="K1248" s="23"/>
      <c r="L1248" s="23"/>
      <c r="M1248" s="23"/>
      <c r="N1248" s="26"/>
      <c r="O1248" s="26"/>
      <c r="P1248" s="26"/>
      <c r="Q1248" s="26"/>
      <c r="R1248" s="26"/>
      <c r="S1248" s="26"/>
      <c r="T1248" s="26"/>
      <c r="U1248" s="26"/>
      <c r="V1248" s="26"/>
      <c r="W1248" s="27"/>
    </row>
    <row r="1249" spans="1:23" ht="15.75" customHeight="1" x14ac:dyDescent="0.25">
      <c r="A1249" s="23"/>
      <c r="B1249" s="23" t="str">
        <f t="shared" si="5"/>
        <v/>
      </c>
      <c r="C1249" s="23"/>
      <c r="D1249" s="44"/>
      <c r="E1249" s="23"/>
      <c r="F1249" s="45"/>
      <c r="G1249" s="23"/>
      <c r="H1249" s="23"/>
      <c r="I1249" s="23"/>
      <c r="J1249" s="25"/>
      <c r="K1249" s="23"/>
      <c r="L1249" s="23"/>
      <c r="M1249" s="23"/>
      <c r="N1249" s="26"/>
      <c r="O1249" s="26"/>
      <c r="P1249" s="26"/>
      <c r="Q1249" s="26"/>
      <c r="R1249" s="26"/>
      <c r="S1249" s="26"/>
      <c r="T1249" s="26"/>
      <c r="U1249" s="26"/>
      <c r="V1249" s="26"/>
      <c r="W1249" s="27"/>
    </row>
    <row r="1250" spans="1:23" ht="15.75" customHeight="1" x14ac:dyDescent="0.25">
      <c r="A1250" s="23"/>
      <c r="B1250" s="23" t="str">
        <f t="shared" si="5"/>
        <v/>
      </c>
      <c r="C1250" s="23"/>
      <c r="D1250" s="44"/>
      <c r="E1250" s="23"/>
      <c r="F1250" s="45"/>
      <c r="G1250" s="23"/>
      <c r="H1250" s="23"/>
      <c r="I1250" s="23"/>
      <c r="J1250" s="25"/>
      <c r="K1250" s="23"/>
      <c r="L1250" s="23"/>
      <c r="M1250" s="23"/>
      <c r="N1250" s="26"/>
      <c r="O1250" s="26"/>
      <c r="P1250" s="26"/>
      <c r="Q1250" s="26"/>
      <c r="R1250" s="26"/>
      <c r="S1250" s="26"/>
      <c r="T1250" s="26"/>
      <c r="U1250" s="26"/>
      <c r="V1250" s="26"/>
      <c r="W1250" s="27"/>
    </row>
    <row r="1251" spans="1:23" ht="15.75" customHeight="1" x14ac:dyDescent="0.25">
      <c r="A1251" s="23"/>
      <c r="B1251" s="23" t="str">
        <f t="shared" si="5"/>
        <v/>
      </c>
      <c r="C1251" s="23"/>
      <c r="D1251" s="44"/>
      <c r="E1251" s="23"/>
      <c r="F1251" s="45"/>
      <c r="G1251" s="23"/>
      <c r="H1251" s="23"/>
      <c r="I1251" s="23"/>
      <c r="J1251" s="25"/>
      <c r="K1251" s="23"/>
      <c r="L1251" s="23"/>
      <c r="M1251" s="23"/>
      <c r="N1251" s="26"/>
      <c r="O1251" s="26"/>
      <c r="P1251" s="26"/>
      <c r="Q1251" s="26"/>
      <c r="R1251" s="26"/>
      <c r="S1251" s="26"/>
      <c r="T1251" s="26"/>
      <c r="U1251" s="26"/>
      <c r="V1251" s="26"/>
      <c r="W1251" s="27"/>
    </row>
    <row r="1252" spans="1:23" ht="15.75" customHeight="1" x14ac:dyDescent="0.25">
      <c r="A1252" s="23"/>
      <c r="B1252" s="23" t="str">
        <f t="shared" si="5"/>
        <v/>
      </c>
      <c r="C1252" s="23"/>
      <c r="D1252" s="44"/>
      <c r="E1252" s="23"/>
      <c r="F1252" s="45"/>
      <c r="G1252" s="23"/>
      <c r="H1252" s="23"/>
      <c r="I1252" s="23"/>
      <c r="J1252" s="25"/>
      <c r="K1252" s="23"/>
      <c r="L1252" s="23"/>
      <c r="M1252" s="23"/>
      <c r="N1252" s="26"/>
      <c r="O1252" s="26"/>
      <c r="P1252" s="26"/>
      <c r="Q1252" s="26"/>
      <c r="R1252" s="26"/>
      <c r="S1252" s="26"/>
      <c r="T1252" s="26"/>
      <c r="U1252" s="26"/>
      <c r="V1252" s="26"/>
      <c r="W1252" s="27"/>
    </row>
    <row r="1253" spans="1:23" ht="15.75" customHeight="1" x14ac:dyDescent="0.25">
      <c r="A1253" s="23"/>
      <c r="B1253" s="23" t="str">
        <f t="shared" si="5"/>
        <v/>
      </c>
      <c r="C1253" s="23"/>
      <c r="D1253" s="44"/>
      <c r="E1253" s="23"/>
      <c r="F1253" s="45"/>
      <c r="G1253" s="23"/>
      <c r="H1253" s="23"/>
      <c r="I1253" s="23"/>
      <c r="J1253" s="25"/>
      <c r="K1253" s="23"/>
      <c r="L1253" s="23"/>
      <c r="M1253" s="23"/>
      <c r="N1253" s="26"/>
      <c r="O1253" s="26"/>
      <c r="P1253" s="26"/>
      <c r="Q1253" s="26"/>
      <c r="R1253" s="26"/>
      <c r="S1253" s="26"/>
      <c r="T1253" s="26"/>
      <c r="U1253" s="26"/>
      <c r="V1253" s="26"/>
      <c r="W1253" s="27"/>
    </row>
    <row r="1254" spans="1:23" ht="15.75" customHeight="1" x14ac:dyDescent="0.25">
      <c r="A1254" s="23"/>
      <c r="B1254" s="23" t="str">
        <f t="shared" si="5"/>
        <v/>
      </c>
      <c r="C1254" s="23"/>
      <c r="D1254" s="44"/>
      <c r="E1254" s="23"/>
      <c r="F1254" s="45"/>
      <c r="G1254" s="23"/>
      <c r="H1254" s="23"/>
      <c r="I1254" s="23"/>
      <c r="J1254" s="25"/>
      <c r="K1254" s="23"/>
      <c r="L1254" s="23"/>
      <c r="M1254" s="23"/>
      <c r="N1254" s="26"/>
      <c r="O1254" s="26"/>
      <c r="P1254" s="26"/>
      <c r="Q1254" s="26"/>
      <c r="R1254" s="26"/>
      <c r="S1254" s="26"/>
      <c r="T1254" s="26"/>
      <c r="U1254" s="26"/>
      <c r="V1254" s="26"/>
      <c r="W1254" s="27"/>
    </row>
    <row r="1255" spans="1:23" ht="15.75" customHeight="1" x14ac:dyDescent="0.25">
      <c r="A1255" s="23"/>
      <c r="B1255" s="23" t="str">
        <f t="shared" si="5"/>
        <v/>
      </c>
      <c r="C1255" s="23"/>
      <c r="D1255" s="44"/>
      <c r="E1255" s="23"/>
      <c r="F1255" s="45"/>
      <c r="G1255" s="23"/>
      <c r="H1255" s="23"/>
      <c r="I1255" s="23"/>
      <c r="J1255" s="25"/>
      <c r="K1255" s="23"/>
      <c r="L1255" s="23"/>
      <c r="M1255" s="23"/>
      <c r="N1255" s="26"/>
      <c r="O1255" s="26"/>
      <c r="P1255" s="26"/>
      <c r="Q1255" s="26"/>
      <c r="R1255" s="26"/>
      <c r="S1255" s="26"/>
      <c r="T1255" s="26"/>
      <c r="U1255" s="26"/>
      <c r="V1255" s="26"/>
      <c r="W1255" s="27"/>
    </row>
    <row r="1256" spans="1:23" ht="15.75" customHeight="1" x14ac:dyDescent="0.25">
      <c r="A1256" s="23"/>
      <c r="B1256" s="23" t="str">
        <f t="shared" si="5"/>
        <v/>
      </c>
      <c r="C1256" s="23"/>
      <c r="D1256" s="44"/>
      <c r="E1256" s="23"/>
      <c r="F1256" s="45"/>
      <c r="G1256" s="23"/>
      <c r="H1256" s="23"/>
      <c r="I1256" s="23"/>
      <c r="J1256" s="25"/>
      <c r="K1256" s="23"/>
      <c r="L1256" s="23"/>
      <c r="M1256" s="23"/>
      <c r="N1256" s="26"/>
      <c r="O1256" s="26"/>
      <c r="P1256" s="26"/>
      <c r="Q1256" s="26"/>
      <c r="R1256" s="26"/>
      <c r="S1256" s="26"/>
      <c r="T1256" s="26"/>
      <c r="U1256" s="26"/>
      <c r="V1256" s="26"/>
      <c r="W1256" s="27"/>
    </row>
    <row r="1257" spans="1:23" ht="15.75" customHeight="1" x14ac:dyDescent="0.25">
      <c r="A1257" s="23"/>
      <c r="B1257" s="23" t="str">
        <f t="shared" si="5"/>
        <v/>
      </c>
      <c r="C1257" s="23"/>
      <c r="D1257" s="44"/>
      <c r="E1257" s="23"/>
      <c r="F1257" s="45"/>
      <c r="G1257" s="23"/>
      <c r="H1257" s="23"/>
      <c r="I1257" s="23"/>
      <c r="J1257" s="25"/>
      <c r="K1257" s="23"/>
      <c r="L1257" s="23"/>
      <c r="M1257" s="23"/>
      <c r="N1257" s="26"/>
      <c r="O1257" s="26"/>
      <c r="P1257" s="26"/>
      <c r="Q1257" s="26"/>
      <c r="R1257" s="26"/>
      <c r="S1257" s="26"/>
      <c r="T1257" s="26"/>
      <c r="U1257" s="26"/>
      <c r="V1257" s="26"/>
      <c r="W1257" s="27"/>
    </row>
    <row r="1258" spans="1:23" ht="15.75" customHeight="1" x14ac:dyDescent="0.25">
      <c r="A1258" s="23"/>
      <c r="B1258" s="23" t="str">
        <f t="shared" si="5"/>
        <v/>
      </c>
      <c r="C1258" s="23"/>
      <c r="D1258" s="44"/>
      <c r="E1258" s="23"/>
      <c r="F1258" s="45"/>
      <c r="G1258" s="23"/>
      <c r="H1258" s="23"/>
      <c r="I1258" s="23"/>
      <c r="J1258" s="25"/>
      <c r="K1258" s="23"/>
      <c r="L1258" s="23"/>
      <c r="M1258" s="23"/>
      <c r="N1258" s="26"/>
      <c r="O1258" s="26"/>
      <c r="P1258" s="26"/>
      <c r="Q1258" s="26"/>
      <c r="R1258" s="26"/>
      <c r="S1258" s="26"/>
      <c r="T1258" s="26"/>
      <c r="U1258" s="26"/>
      <c r="V1258" s="26"/>
      <c r="W1258" s="27"/>
    </row>
    <row r="1259" spans="1:23" ht="15.75" customHeight="1" x14ac:dyDescent="0.25">
      <c r="A1259" s="23"/>
      <c r="B1259" s="23" t="str">
        <f t="shared" si="5"/>
        <v/>
      </c>
      <c r="C1259" s="23"/>
      <c r="D1259" s="44"/>
      <c r="E1259" s="23"/>
      <c r="F1259" s="45"/>
      <c r="G1259" s="23"/>
      <c r="H1259" s="23"/>
      <c r="I1259" s="23"/>
      <c r="J1259" s="25"/>
      <c r="K1259" s="23"/>
      <c r="L1259" s="23"/>
      <c r="M1259" s="23"/>
      <c r="N1259" s="26"/>
      <c r="O1259" s="26"/>
      <c r="P1259" s="26"/>
      <c r="Q1259" s="26"/>
      <c r="R1259" s="26"/>
      <c r="S1259" s="26"/>
      <c r="T1259" s="26"/>
      <c r="U1259" s="26"/>
      <c r="V1259" s="26"/>
      <c r="W1259" s="27"/>
    </row>
    <row r="1260" spans="1:23" ht="15.75" customHeight="1" x14ac:dyDescent="0.25">
      <c r="A1260" s="23"/>
      <c r="B1260" s="23" t="str">
        <f t="shared" si="5"/>
        <v/>
      </c>
      <c r="C1260" s="23"/>
      <c r="D1260" s="44"/>
      <c r="E1260" s="23"/>
      <c r="F1260" s="45"/>
      <c r="G1260" s="23"/>
      <c r="H1260" s="23"/>
      <c r="I1260" s="23"/>
      <c r="J1260" s="25"/>
      <c r="K1260" s="23"/>
      <c r="L1260" s="23"/>
      <c r="M1260" s="23"/>
      <c r="N1260" s="26"/>
      <c r="O1260" s="26"/>
      <c r="P1260" s="26"/>
      <c r="Q1260" s="26"/>
      <c r="R1260" s="26"/>
      <c r="S1260" s="26"/>
      <c r="T1260" s="26"/>
      <c r="U1260" s="26"/>
      <c r="V1260" s="26"/>
      <c r="W1260" s="27"/>
    </row>
    <row r="1261" spans="1:23" ht="15.75" customHeight="1" x14ac:dyDescent="0.25">
      <c r="A1261" s="23"/>
      <c r="B1261" s="23" t="str">
        <f t="shared" si="5"/>
        <v/>
      </c>
      <c r="C1261" s="23"/>
      <c r="D1261" s="44"/>
      <c r="E1261" s="23"/>
      <c r="F1261" s="45"/>
      <c r="G1261" s="23"/>
      <c r="H1261" s="23"/>
      <c r="I1261" s="23"/>
      <c r="J1261" s="25"/>
      <c r="K1261" s="23"/>
      <c r="L1261" s="23"/>
      <c r="M1261" s="23"/>
      <c r="N1261" s="26"/>
      <c r="O1261" s="26"/>
      <c r="P1261" s="26"/>
      <c r="Q1261" s="26"/>
      <c r="R1261" s="26"/>
      <c r="S1261" s="26"/>
      <c r="T1261" s="26"/>
      <c r="U1261" s="26"/>
      <c r="V1261" s="26"/>
      <c r="W1261" s="27"/>
    </row>
    <row r="1262" spans="1:23" ht="15.75" customHeight="1" x14ac:dyDescent="0.25">
      <c r="A1262" s="23"/>
      <c r="B1262" s="23" t="str">
        <f t="shared" si="5"/>
        <v/>
      </c>
      <c r="C1262" s="23"/>
      <c r="D1262" s="44"/>
      <c r="E1262" s="23"/>
      <c r="F1262" s="45"/>
      <c r="G1262" s="23"/>
      <c r="H1262" s="23"/>
      <c r="I1262" s="23"/>
      <c r="J1262" s="25"/>
      <c r="K1262" s="23"/>
      <c r="L1262" s="23"/>
      <c r="M1262" s="23"/>
      <c r="N1262" s="26"/>
      <c r="O1262" s="26"/>
      <c r="P1262" s="26"/>
      <c r="Q1262" s="26"/>
      <c r="R1262" s="26"/>
      <c r="S1262" s="26"/>
      <c r="T1262" s="26"/>
      <c r="U1262" s="26"/>
      <c r="V1262" s="26"/>
      <c r="W1262" s="27"/>
    </row>
    <row r="1263" spans="1:23" ht="15.75" customHeight="1" x14ac:dyDescent="0.25">
      <c r="A1263" s="23"/>
      <c r="B1263" s="23" t="str">
        <f t="shared" si="5"/>
        <v/>
      </c>
      <c r="C1263" s="23"/>
      <c r="D1263" s="44"/>
      <c r="E1263" s="23"/>
      <c r="F1263" s="45"/>
      <c r="G1263" s="23"/>
      <c r="H1263" s="23"/>
      <c r="I1263" s="23"/>
      <c r="J1263" s="25"/>
      <c r="K1263" s="23"/>
      <c r="L1263" s="23"/>
      <c r="M1263" s="23"/>
      <c r="N1263" s="26"/>
      <c r="O1263" s="26"/>
      <c r="P1263" s="26"/>
      <c r="Q1263" s="26"/>
      <c r="R1263" s="26"/>
      <c r="S1263" s="26"/>
      <c r="T1263" s="26"/>
      <c r="U1263" s="26"/>
      <c r="V1263" s="26"/>
      <c r="W1263" s="27"/>
    </row>
    <row r="1264" spans="1:23" ht="15.75" customHeight="1" x14ac:dyDescent="0.25">
      <c r="A1264" s="23"/>
      <c r="B1264" s="23" t="str">
        <f t="shared" si="5"/>
        <v/>
      </c>
      <c r="C1264" s="23"/>
      <c r="D1264" s="44"/>
      <c r="E1264" s="23"/>
      <c r="F1264" s="45"/>
      <c r="G1264" s="23"/>
      <c r="H1264" s="23"/>
      <c r="I1264" s="23"/>
      <c r="J1264" s="25"/>
      <c r="K1264" s="23"/>
      <c r="L1264" s="23"/>
      <c r="M1264" s="23"/>
      <c r="N1264" s="26"/>
      <c r="O1264" s="26"/>
      <c r="P1264" s="26"/>
      <c r="Q1264" s="26"/>
      <c r="R1264" s="26"/>
      <c r="S1264" s="26"/>
      <c r="T1264" s="26"/>
      <c r="U1264" s="26"/>
      <c r="V1264" s="26"/>
      <c r="W1264" s="27"/>
    </row>
    <row r="1265" spans="1:23" ht="15.75" customHeight="1" x14ac:dyDescent="0.25">
      <c r="A1265" s="23"/>
      <c r="B1265" s="23" t="str">
        <f t="shared" si="5"/>
        <v/>
      </c>
      <c r="C1265" s="23"/>
      <c r="D1265" s="44"/>
      <c r="E1265" s="23"/>
      <c r="F1265" s="45"/>
      <c r="G1265" s="23"/>
      <c r="H1265" s="23"/>
      <c r="I1265" s="23"/>
      <c r="J1265" s="25"/>
      <c r="K1265" s="23"/>
      <c r="L1265" s="23"/>
      <c r="M1265" s="23"/>
      <c r="N1265" s="26"/>
      <c r="O1265" s="26"/>
      <c r="P1265" s="26"/>
      <c r="Q1265" s="26"/>
      <c r="R1265" s="26"/>
      <c r="S1265" s="26"/>
      <c r="T1265" s="26"/>
      <c r="U1265" s="26"/>
      <c r="V1265" s="26"/>
      <c r="W1265" s="27"/>
    </row>
    <row r="1266" spans="1:23" ht="15.75" customHeight="1" x14ac:dyDescent="0.25">
      <c r="A1266" s="23"/>
      <c r="B1266" s="23" t="str">
        <f t="shared" si="5"/>
        <v/>
      </c>
      <c r="C1266" s="23"/>
      <c r="D1266" s="44"/>
      <c r="E1266" s="23"/>
      <c r="F1266" s="45"/>
      <c r="G1266" s="23"/>
      <c r="H1266" s="23"/>
      <c r="I1266" s="23"/>
      <c r="J1266" s="25"/>
      <c r="K1266" s="23"/>
      <c r="L1266" s="23"/>
      <c r="M1266" s="23"/>
      <c r="N1266" s="26"/>
      <c r="O1266" s="26"/>
      <c r="P1266" s="26"/>
      <c r="Q1266" s="26"/>
      <c r="R1266" s="26"/>
      <c r="S1266" s="26"/>
      <c r="T1266" s="26"/>
      <c r="U1266" s="26"/>
      <c r="V1266" s="26"/>
      <c r="W1266" s="27"/>
    </row>
    <row r="1267" spans="1:23" ht="15.75" customHeight="1" x14ac:dyDescent="0.25">
      <c r="A1267" s="23"/>
      <c r="B1267" s="23" t="str">
        <f t="shared" si="5"/>
        <v/>
      </c>
      <c r="C1267" s="23"/>
      <c r="D1267" s="44"/>
      <c r="E1267" s="23"/>
      <c r="F1267" s="45"/>
      <c r="G1267" s="23"/>
      <c r="H1267" s="23"/>
      <c r="I1267" s="23"/>
      <c r="J1267" s="25"/>
      <c r="K1267" s="23"/>
      <c r="L1267" s="23"/>
      <c r="M1267" s="23"/>
      <c r="N1267" s="26"/>
      <c r="O1267" s="26"/>
      <c r="P1267" s="26"/>
      <c r="Q1267" s="26"/>
      <c r="R1267" s="26"/>
      <c r="S1267" s="26"/>
      <c r="T1267" s="26"/>
      <c r="U1267" s="26"/>
      <c r="V1267" s="26"/>
      <c r="W1267" s="27"/>
    </row>
    <row r="1268" spans="1:23" ht="15.75" customHeight="1" x14ac:dyDescent="0.25">
      <c r="A1268" s="23"/>
      <c r="B1268" s="23" t="str">
        <f t="shared" si="5"/>
        <v/>
      </c>
      <c r="C1268" s="23"/>
      <c r="D1268" s="44"/>
      <c r="E1268" s="23"/>
      <c r="F1268" s="45"/>
      <c r="G1268" s="23"/>
      <c r="H1268" s="23"/>
      <c r="I1268" s="23"/>
      <c r="J1268" s="25"/>
      <c r="K1268" s="23"/>
      <c r="L1268" s="23"/>
      <c r="M1268" s="23"/>
      <c r="N1268" s="26"/>
      <c r="O1268" s="26"/>
      <c r="P1268" s="26"/>
      <c r="Q1268" s="26"/>
      <c r="R1268" s="26"/>
      <c r="S1268" s="26"/>
      <c r="T1268" s="26"/>
      <c r="U1268" s="26"/>
      <c r="V1268" s="26"/>
      <c r="W1268" s="27"/>
    </row>
    <row r="1269" spans="1:23" ht="15.75" customHeight="1" x14ac:dyDescent="0.25">
      <c r="A1269" s="23"/>
      <c r="B1269" s="23" t="str">
        <f t="shared" si="5"/>
        <v/>
      </c>
      <c r="C1269" s="23"/>
      <c r="D1269" s="44"/>
      <c r="E1269" s="23"/>
      <c r="F1269" s="45"/>
      <c r="G1269" s="23"/>
      <c r="H1269" s="23"/>
      <c r="I1269" s="23"/>
      <c r="J1269" s="25"/>
      <c r="K1269" s="23"/>
      <c r="L1269" s="23"/>
      <c r="M1269" s="23"/>
      <c r="N1269" s="26"/>
      <c r="O1269" s="26"/>
      <c r="P1269" s="26"/>
      <c r="Q1269" s="26"/>
      <c r="R1269" s="26"/>
      <c r="S1269" s="26"/>
      <c r="T1269" s="26"/>
      <c r="U1269" s="26"/>
      <c r="V1269" s="26"/>
      <c r="W1269" s="27"/>
    </row>
    <row r="1270" spans="1:23" ht="15.75" customHeight="1" x14ac:dyDescent="0.25">
      <c r="A1270" s="23"/>
      <c r="B1270" s="23" t="str">
        <f t="shared" si="5"/>
        <v/>
      </c>
      <c r="C1270" s="23"/>
      <c r="D1270" s="44"/>
      <c r="E1270" s="23"/>
      <c r="F1270" s="45"/>
      <c r="G1270" s="23"/>
      <c r="H1270" s="23"/>
      <c r="I1270" s="23"/>
      <c r="J1270" s="25"/>
      <c r="K1270" s="23"/>
      <c r="L1270" s="23"/>
      <c r="M1270" s="23"/>
      <c r="N1270" s="26"/>
      <c r="O1270" s="26"/>
      <c r="P1270" s="26"/>
      <c r="Q1270" s="26"/>
      <c r="R1270" s="26"/>
      <c r="S1270" s="26"/>
      <c r="T1270" s="26"/>
      <c r="U1270" s="26"/>
      <c r="V1270" s="26"/>
      <c r="W1270" s="27"/>
    </row>
    <row r="1271" spans="1:23" ht="15.75" customHeight="1" x14ac:dyDescent="0.25">
      <c r="A1271" s="23"/>
      <c r="B1271" s="23" t="str">
        <f t="shared" si="5"/>
        <v/>
      </c>
      <c r="C1271" s="23"/>
      <c r="D1271" s="44"/>
      <c r="E1271" s="23"/>
      <c r="F1271" s="45"/>
      <c r="G1271" s="23"/>
      <c r="H1271" s="23"/>
      <c r="I1271" s="23"/>
      <c r="J1271" s="25"/>
      <c r="K1271" s="23"/>
      <c r="L1271" s="23"/>
      <c r="M1271" s="23"/>
      <c r="N1271" s="26"/>
      <c r="O1271" s="26"/>
      <c r="P1271" s="26"/>
      <c r="Q1271" s="26"/>
      <c r="R1271" s="26"/>
      <c r="S1271" s="26"/>
      <c r="T1271" s="26"/>
      <c r="U1271" s="26"/>
      <c r="V1271" s="26"/>
      <c r="W1271" s="27"/>
    </row>
    <row r="1272" spans="1:23" ht="15.75" customHeight="1" x14ac:dyDescent="0.25">
      <c r="A1272" s="23"/>
      <c r="B1272" s="23" t="str">
        <f t="shared" si="5"/>
        <v/>
      </c>
      <c r="C1272" s="23"/>
      <c r="D1272" s="44"/>
      <c r="E1272" s="23"/>
      <c r="F1272" s="45"/>
      <c r="G1272" s="23"/>
      <c r="H1272" s="23"/>
      <c r="I1272" s="23"/>
      <c r="J1272" s="25"/>
      <c r="K1272" s="23"/>
      <c r="L1272" s="23"/>
      <c r="M1272" s="23"/>
      <c r="N1272" s="26"/>
      <c r="O1272" s="26"/>
      <c r="P1272" s="26"/>
      <c r="Q1272" s="26"/>
      <c r="R1272" s="26"/>
      <c r="S1272" s="26"/>
      <c r="T1272" s="26"/>
      <c r="U1272" s="26"/>
      <c r="V1272" s="26"/>
      <c r="W1272" s="27"/>
    </row>
    <row r="1273" spans="1:23" ht="15.75" customHeight="1" x14ac:dyDescent="0.25">
      <c r="A1273" s="23"/>
      <c r="B1273" s="23" t="str">
        <f t="shared" si="5"/>
        <v/>
      </c>
      <c r="C1273" s="23"/>
      <c r="D1273" s="44"/>
      <c r="E1273" s="23"/>
      <c r="F1273" s="45"/>
      <c r="G1273" s="23"/>
      <c r="H1273" s="23"/>
      <c r="I1273" s="23"/>
      <c r="J1273" s="25"/>
      <c r="K1273" s="23"/>
      <c r="L1273" s="23"/>
      <c r="M1273" s="23"/>
      <c r="N1273" s="26"/>
      <c r="O1273" s="26"/>
      <c r="P1273" s="26"/>
      <c r="Q1273" s="26"/>
      <c r="R1273" s="26"/>
      <c r="S1273" s="26"/>
      <c r="T1273" s="26"/>
      <c r="U1273" s="26"/>
      <c r="V1273" s="26"/>
      <c r="W1273" s="27"/>
    </row>
    <row r="1274" spans="1:23" ht="15.75" customHeight="1" x14ac:dyDescent="0.25">
      <c r="A1274" s="23"/>
      <c r="B1274" s="23" t="str">
        <f t="shared" si="5"/>
        <v/>
      </c>
      <c r="C1274" s="23"/>
      <c r="D1274" s="44"/>
      <c r="E1274" s="23"/>
      <c r="F1274" s="45"/>
      <c r="G1274" s="23"/>
      <c r="H1274" s="23"/>
      <c r="I1274" s="23"/>
      <c r="J1274" s="25"/>
      <c r="K1274" s="23"/>
      <c r="L1274" s="23"/>
      <c r="M1274" s="23"/>
      <c r="N1274" s="26"/>
      <c r="O1274" s="26"/>
      <c r="P1274" s="26"/>
      <c r="Q1274" s="26"/>
      <c r="R1274" s="26"/>
      <c r="S1274" s="26"/>
      <c r="T1274" s="26"/>
      <c r="U1274" s="26"/>
      <c r="V1274" s="26"/>
      <c r="W1274" s="27"/>
    </row>
    <row r="1275" spans="1:23" ht="15.75" customHeight="1" x14ac:dyDescent="0.25">
      <c r="A1275" s="23"/>
      <c r="B1275" s="23" t="str">
        <f t="shared" si="5"/>
        <v/>
      </c>
      <c r="C1275" s="23"/>
      <c r="D1275" s="44"/>
      <c r="E1275" s="23"/>
      <c r="F1275" s="45"/>
      <c r="G1275" s="23"/>
      <c r="H1275" s="23"/>
      <c r="I1275" s="23"/>
      <c r="J1275" s="25"/>
      <c r="K1275" s="23"/>
      <c r="L1275" s="23"/>
      <c r="M1275" s="23"/>
      <c r="N1275" s="26"/>
      <c r="O1275" s="26"/>
      <c r="P1275" s="26"/>
      <c r="Q1275" s="26"/>
      <c r="R1275" s="26"/>
      <c r="S1275" s="26"/>
      <c r="T1275" s="26"/>
      <c r="U1275" s="26"/>
      <c r="V1275" s="26"/>
      <c r="W1275" s="27"/>
    </row>
    <row r="1276" spans="1:23" ht="15.75" customHeight="1" x14ac:dyDescent="0.25">
      <c r="A1276" s="23"/>
      <c r="B1276" s="23" t="str">
        <f t="shared" si="5"/>
        <v/>
      </c>
      <c r="C1276" s="23"/>
      <c r="D1276" s="44"/>
      <c r="E1276" s="23"/>
      <c r="F1276" s="45"/>
      <c r="G1276" s="23"/>
      <c r="H1276" s="23"/>
      <c r="I1276" s="23"/>
      <c r="J1276" s="25"/>
      <c r="K1276" s="23"/>
      <c r="L1276" s="23"/>
      <c r="M1276" s="23"/>
      <c r="N1276" s="26"/>
      <c r="O1276" s="26"/>
      <c r="P1276" s="26"/>
      <c r="Q1276" s="26"/>
      <c r="R1276" s="26"/>
      <c r="S1276" s="26"/>
      <c r="T1276" s="26"/>
      <c r="U1276" s="26"/>
      <c r="V1276" s="26"/>
      <c r="W1276" s="27"/>
    </row>
    <row r="1277" spans="1:23" ht="15.75" customHeight="1" x14ac:dyDescent="0.25">
      <c r="A1277" s="23"/>
      <c r="B1277" s="23" t="str">
        <f t="shared" si="5"/>
        <v/>
      </c>
      <c r="C1277" s="23"/>
      <c r="D1277" s="44"/>
      <c r="E1277" s="23"/>
      <c r="F1277" s="45"/>
      <c r="G1277" s="23"/>
      <c r="H1277" s="23"/>
      <c r="I1277" s="23"/>
      <c r="J1277" s="25"/>
      <c r="K1277" s="23"/>
      <c r="L1277" s="23"/>
      <c r="M1277" s="23"/>
      <c r="N1277" s="26"/>
      <c r="O1277" s="26"/>
      <c r="P1277" s="26"/>
      <c r="Q1277" s="26"/>
      <c r="R1277" s="26"/>
      <c r="S1277" s="26"/>
      <c r="T1277" s="26"/>
      <c r="U1277" s="26"/>
      <c r="V1277" s="26"/>
      <c r="W1277" s="27"/>
    </row>
    <row r="1278" spans="1:23" ht="15.75" customHeight="1" x14ac:dyDescent="0.25">
      <c r="A1278" s="23"/>
      <c r="B1278" s="23" t="str">
        <f t="shared" si="5"/>
        <v/>
      </c>
      <c r="C1278" s="23"/>
      <c r="D1278" s="44"/>
      <c r="E1278" s="23"/>
      <c r="F1278" s="45"/>
      <c r="G1278" s="23"/>
      <c r="H1278" s="23"/>
      <c r="I1278" s="23"/>
      <c r="J1278" s="25"/>
      <c r="K1278" s="23"/>
      <c r="L1278" s="23"/>
      <c r="M1278" s="23"/>
      <c r="N1278" s="26"/>
      <c r="O1278" s="26"/>
      <c r="P1278" s="26"/>
      <c r="Q1278" s="26"/>
      <c r="R1278" s="26"/>
      <c r="S1278" s="26"/>
      <c r="T1278" s="26"/>
      <c r="U1278" s="26"/>
      <c r="V1278" s="26"/>
      <c r="W1278" s="27"/>
    </row>
    <row r="1279" spans="1:23" ht="15.75" customHeight="1" x14ac:dyDescent="0.25">
      <c r="A1279" s="23"/>
      <c r="B1279" s="23" t="str">
        <f t="shared" si="5"/>
        <v/>
      </c>
      <c r="C1279" s="23"/>
      <c r="D1279" s="44"/>
      <c r="E1279" s="23"/>
      <c r="F1279" s="45"/>
      <c r="G1279" s="23"/>
      <c r="H1279" s="23"/>
      <c r="I1279" s="23"/>
      <c r="J1279" s="25"/>
      <c r="K1279" s="23"/>
      <c r="L1279" s="23"/>
      <c r="M1279" s="23"/>
      <c r="N1279" s="26"/>
      <c r="O1279" s="26"/>
      <c r="P1279" s="26"/>
      <c r="Q1279" s="26"/>
      <c r="R1279" s="26"/>
      <c r="S1279" s="26"/>
      <c r="T1279" s="26"/>
      <c r="U1279" s="26"/>
      <c r="V1279" s="26"/>
      <c r="W1279" s="27"/>
    </row>
    <row r="1280" spans="1:23" ht="15.75" customHeight="1" x14ac:dyDescent="0.25">
      <c r="A1280" s="23"/>
      <c r="B1280" s="23" t="str">
        <f t="shared" si="5"/>
        <v/>
      </c>
      <c r="C1280" s="23"/>
      <c r="D1280" s="44"/>
      <c r="E1280" s="23"/>
      <c r="F1280" s="45"/>
      <c r="G1280" s="23"/>
      <c r="H1280" s="23"/>
      <c r="I1280" s="23"/>
      <c r="J1280" s="25"/>
      <c r="K1280" s="23"/>
      <c r="L1280" s="23"/>
      <c r="M1280" s="23"/>
      <c r="N1280" s="26"/>
      <c r="O1280" s="26"/>
      <c r="P1280" s="26"/>
      <c r="Q1280" s="26"/>
      <c r="R1280" s="26"/>
      <c r="S1280" s="26"/>
      <c r="T1280" s="26"/>
      <c r="U1280" s="26"/>
      <c r="V1280" s="26"/>
      <c r="W1280" s="27"/>
    </row>
    <row r="1281" spans="1:23" ht="15.75" customHeight="1" x14ac:dyDescent="0.25">
      <c r="A1281" s="23"/>
      <c r="B1281" s="23" t="str">
        <f t="shared" si="5"/>
        <v/>
      </c>
      <c r="C1281" s="23"/>
      <c r="D1281" s="44"/>
      <c r="E1281" s="23"/>
      <c r="F1281" s="45"/>
      <c r="G1281" s="23"/>
      <c r="H1281" s="23"/>
      <c r="I1281" s="23"/>
      <c r="J1281" s="25"/>
      <c r="K1281" s="23"/>
      <c r="L1281" s="23"/>
      <c r="M1281" s="23"/>
      <c r="N1281" s="26"/>
      <c r="O1281" s="26"/>
      <c r="P1281" s="26"/>
      <c r="Q1281" s="26"/>
      <c r="R1281" s="26"/>
      <c r="S1281" s="26"/>
      <c r="T1281" s="26"/>
      <c r="U1281" s="26"/>
      <c r="V1281" s="26"/>
      <c r="W1281" s="27"/>
    </row>
    <row r="1282" spans="1:23" ht="15.75" customHeight="1" x14ac:dyDescent="0.25">
      <c r="A1282" s="23"/>
      <c r="B1282" s="23" t="str">
        <f t="shared" si="5"/>
        <v/>
      </c>
      <c r="C1282" s="23"/>
      <c r="D1282" s="44"/>
      <c r="E1282" s="23"/>
      <c r="F1282" s="45"/>
      <c r="G1282" s="23"/>
      <c r="H1282" s="23"/>
      <c r="I1282" s="23"/>
      <c r="J1282" s="25"/>
      <c r="K1282" s="23"/>
      <c r="L1282" s="23"/>
      <c r="M1282" s="23"/>
      <c r="N1282" s="26"/>
      <c r="O1282" s="26"/>
      <c r="P1282" s="26"/>
      <c r="Q1282" s="26"/>
      <c r="R1282" s="26"/>
      <c r="S1282" s="26"/>
      <c r="T1282" s="26"/>
      <c r="U1282" s="26"/>
      <c r="V1282" s="26"/>
      <c r="W1282" s="27"/>
    </row>
    <row r="1283" spans="1:23" ht="15.75" customHeight="1" x14ac:dyDescent="0.25">
      <c r="A1283" s="23"/>
      <c r="B1283" s="23" t="str">
        <f t="shared" si="5"/>
        <v/>
      </c>
      <c r="C1283" s="23"/>
      <c r="D1283" s="44"/>
      <c r="E1283" s="23"/>
      <c r="F1283" s="45"/>
      <c r="G1283" s="23"/>
      <c r="H1283" s="23"/>
      <c r="I1283" s="23"/>
      <c r="J1283" s="25"/>
      <c r="K1283" s="23"/>
      <c r="L1283" s="23"/>
      <c r="M1283" s="23"/>
      <c r="N1283" s="26"/>
      <c r="O1283" s="26"/>
      <c r="P1283" s="26"/>
      <c r="Q1283" s="26"/>
      <c r="R1283" s="26"/>
      <c r="S1283" s="26"/>
      <c r="T1283" s="26"/>
      <c r="U1283" s="26"/>
      <c r="V1283" s="26"/>
      <c r="W1283" s="27"/>
    </row>
    <row r="1284" spans="1:23" ht="15.75" customHeight="1" x14ac:dyDescent="0.25">
      <c r="A1284" s="23"/>
      <c r="B1284" s="23" t="str">
        <f t="shared" si="5"/>
        <v/>
      </c>
      <c r="C1284" s="23"/>
      <c r="D1284" s="44"/>
      <c r="E1284" s="23"/>
      <c r="F1284" s="45"/>
      <c r="G1284" s="23"/>
      <c r="H1284" s="23"/>
      <c r="I1284" s="23"/>
      <c r="J1284" s="25"/>
      <c r="K1284" s="23"/>
      <c r="L1284" s="23"/>
      <c r="M1284" s="23"/>
      <c r="N1284" s="26"/>
      <c r="O1284" s="26"/>
      <c r="P1284" s="26"/>
      <c r="Q1284" s="26"/>
      <c r="R1284" s="26"/>
      <c r="S1284" s="26"/>
      <c r="T1284" s="26"/>
      <c r="U1284" s="26"/>
      <c r="V1284" s="26"/>
      <c r="W1284" s="27"/>
    </row>
    <row r="1285" spans="1:23" ht="15.75" customHeight="1" x14ac:dyDescent="0.25">
      <c r="A1285" s="23"/>
      <c r="B1285" s="23" t="str">
        <f t="shared" si="5"/>
        <v/>
      </c>
      <c r="C1285" s="23"/>
      <c r="D1285" s="44"/>
      <c r="E1285" s="23"/>
      <c r="F1285" s="45"/>
      <c r="G1285" s="23"/>
      <c r="H1285" s="23"/>
      <c r="I1285" s="23"/>
      <c r="J1285" s="25"/>
      <c r="K1285" s="23"/>
      <c r="L1285" s="23"/>
      <c r="M1285" s="23"/>
      <c r="N1285" s="26"/>
      <c r="O1285" s="26"/>
      <c r="P1285" s="26"/>
      <c r="Q1285" s="26"/>
      <c r="R1285" s="26"/>
      <c r="S1285" s="26"/>
      <c r="T1285" s="26"/>
      <c r="U1285" s="26"/>
      <c r="V1285" s="26"/>
      <c r="W1285" s="27"/>
    </row>
    <row r="1286" spans="1:23" ht="15.75" customHeight="1" x14ac:dyDescent="0.25">
      <c r="A1286" s="23"/>
      <c r="B1286" s="23" t="str">
        <f t="shared" si="5"/>
        <v/>
      </c>
      <c r="C1286" s="23"/>
      <c r="D1286" s="44"/>
      <c r="E1286" s="23"/>
      <c r="F1286" s="45"/>
      <c r="G1286" s="23"/>
      <c r="H1286" s="23"/>
      <c r="I1286" s="23"/>
      <c r="J1286" s="25"/>
      <c r="K1286" s="23"/>
      <c r="L1286" s="23"/>
      <c r="M1286" s="23"/>
      <c r="N1286" s="26"/>
      <c r="O1286" s="26"/>
      <c r="P1286" s="26"/>
      <c r="Q1286" s="26"/>
      <c r="R1286" s="26"/>
      <c r="S1286" s="26"/>
      <c r="T1286" s="26"/>
      <c r="U1286" s="26"/>
      <c r="V1286" s="26"/>
      <c r="W1286" s="27"/>
    </row>
    <row r="1287" spans="1:23" ht="15.75" customHeight="1" x14ac:dyDescent="0.25">
      <c r="A1287" s="23"/>
      <c r="B1287" s="23" t="str">
        <f t="shared" si="5"/>
        <v/>
      </c>
      <c r="C1287" s="23"/>
      <c r="D1287" s="44"/>
      <c r="E1287" s="23"/>
      <c r="F1287" s="45"/>
      <c r="G1287" s="23"/>
      <c r="H1287" s="23"/>
      <c r="I1287" s="23"/>
      <c r="J1287" s="25"/>
      <c r="K1287" s="23"/>
      <c r="L1287" s="23"/>
      <c r="M1287" s="23"/>
      <c r="N1287" s="26"/>
      <c r="O1287" s="26"/>
      <c r="P1287" s="26"/>
      <c r="Q1287" s="26"/>
      <c r="R1287" s="26"/>
      <c r="S1287" s="26"/>
      <c r="T1287" s="26"/>
      <c r="U1287" s="26"/>
      <c r="V1287" s="26"/>
      <c r="W1287" s="27"/>
    </row>
    <row r="1288" spans="1:23" ht="15.75" customHeight="1" x14ac:dyDescent="0.25">
      <c r="A1288" s="23"/>
      <c r="B1288" s="23" t="str">
        <f t="shared" si="5"/>
        <v/>
      </c>
      <c r="C1288" s="23"/>
      <c r="D1288" s="44"/>
      <c r="E1288" s="23"/>
      <c r="F1288" s="45"/>
      <c r="G1288" s="23"/>
      <c r="H1288" s="23"/>
      <c r="I1288" s="23"/>
      <c r="J1288" s="25"/>
      <c r="K1288" s="23"/>
      <c r="L1288" s="23"/>
      <c r="M1288" s="23"/>
      <c r="N1288" s="26"/>
      <c r="O1288" s="26"/>
      <c r="P1288" s="26"/>
      <c r="Q1288" s="26"/>
      <c r="R1288" s="26"/>
      <c r="S1288" s="26"/>
      <c r="T1288" s="26"/>
      <c r="U1288" s="26"/>
      <c r="V1288" s="26"/>
      <c r="W1288" s="27"/>
    </row>
    <row r="1289" spans="1:23" ht="15.75" customHeight="1" x14ac:dyDescent="0.25">
      <c r="A1289" s="23"/>
      <c r="B1289" s="23" t="str">
        <f t="shared" si="5"/>
        <v/>
      </c>
      <c r="C1289" s="23"/>
      <c r="D1289" s="44"/>
      <c r="E1289" s="23"/>
      <c r="F1289" s="45"/>
      <c r="G1289" s="23"/>
      <c r="H1289" s="23"/>
      <c r="I1289" s="23"/>
      <c r="J1289" s="25"/>
      <c r="K1289" s="23"/>
      <c r="L1289" s="23"/>
      <c r="M1289" s="23"/>
      <c r="N1289" s="26"/>
      <c r="O1289" s="26"/>
      <c r="P1289" s="26"/>
      <c r="Q1289" s="26"/>
      <c r="R1289" s="26"/>
      <c r="S1289" s="26"/>
      <c r="T1289" s="26"/>
      <c r="U1289" s="26"/>
      <c r="V1289" s="26"/>
      <c r="W1289" s="27"/>
    </row>
    <row r="1290" spans="1:23" ht="15.75" customHeight="1" x14ac:dyDescent="0.25">
      <c r="A1290" s="23"/>
      <c r="B1290" s="23" t="str">
        <f t="shared" si="5"/>
        <v/>
      </c>
      <c r="C1290" s="23"/>
      <c r="D1290" s="44"/>
      <c r="E1290" s="23"/>
      <c r="F1290" s="45"/>
      <c r="G1290" s="23"/>
      <c r="H1290" s="23"/>
      <c r="I1290" s="23"/>
      <c r="J1290" s="25"/>
      <c r="K1290" s="23"/>
      <c r="L1290" s="23"/>
      <c r="M1290" s="23"/>
      <c r="N1290" s="26"/>
      <c r="O1290" s="26"/>
      <c r="P1290" s="26"/>
      <c r="Q1290" s="26"/>
      <c r="R1290" s="26"/>
      <c r="S1290" s="26"/>
      <c r="T1290" s="26"/>
      <c r="U1290" s="26"/>
      <c r="V1290" s="26"/>
      <c r="W1290" s="27"/>
    </row>
    <row r="1291" spans="1:23" ht="15.75" customHeight="1" x14ac:dyDescent="0.25">
      <c r="A1291" s="23"/>
      <c r="B1291" s="23" t="str">
        <f t="shared" si="5"/>
        <v/>
      </c>
      <c r="C1291" s="23"/>
      <c r="D1291" s="44"/>
      <c r="E1291" s="23"/>
      <c r="F1291" s="45"/>
      <c r="G1291" s="23"/>
      <c r="H1291" s="23"/>
      <c r="I1291" s="23"/>
      <c r="J1291" s="25"/>
      <c r="K1291" s="23"/>
      <c r="L1291" s="23"/>
      <c r="M1291" s="23"/>
      <c r="N1291" s="26"/>
      <c r="O1291" s="26"/>
      <c r="P1291" s="26"/>
      <c r="Q1291" s="26"/>
      <c r="R1291" s="26"/>
      <c r="S1291" s="26"/>
      <c r="T1291" s="26"/>
      <c r="U1291" s="26"/>
      <c r="V1291" s="26"/>
      <c r="W1291" s="27"/>
    </row>
    <row r="1292" spans="1:23" ht="15.75" customHeight="1" x14ac:dyDescent="0.25">
      <c r="A1292" s="23"/>
      <c r="B1292" s="23" t="str">
        <f t="shared" si="5"/>
        <v/>
      </c>
      <c r="C1292" s="23"/>
      <c r="D1292" s="44"/>
      <c r="E1292" s="23"/>
      <c r="F1292" s="45"/>
      <c r="G1292" s="23"/>
      <c r="H1292" s="23"/>
      <c r="I1292" s="23"/>
      <c r="J1292" s="25"/>
      <c r="K1292" s="23"/>
      <c r="L1292" s="23"/>
      <c r="M1292" s="23"/>
      <c r="N1292" s="26"/>
      <c r="O1292" s="26"/>
      <c r="P1292" s="26"/>
      <c r="Q1292" s="26"/>
      <c r="R1292" s="26"/>
      <c r="S1292" s="26"/>
      <c r="T1292" s="26"/>
      <c r="U1292" s="26"/>
      <c r="V1292" s="26"/>
      <c r="W1292" s="27"/>
    </row>
    <row r="1293" spans="1:23" ht="15.75" customHeight="1" x14ac:dyDescent="0.25">
      <c r="A1293" s="23"/>
      <c r="B1293" s="23" t="str">
        <f t="shared" si="5"/>
        <v/>
      </c>
      <c r="C1293" s="23"/>
      <c r="D1293" s="44"/>
      <c r="E1293" s="23"/>
      <c r="F1293" s="45"/>
      <c r="G1293" s="23"/>
      <c r="H1293" s="23"/>
      <c r="I1293" s="23"/>
      <c r="J1293" s="25"/>
      <c r="K1293" s="23"/>
      <c r="L1293" s="23"/>
      <c r="M1293" s="23"/>
      <c r="N1293" s="26"/>
      <c r="O1293" s="26"/>
      <c r="P1293" s="26"/>
      <c r="Q1293" s="26"/>
      <c r="R1293" s="26"/>
      <c r="S1293" s="26"/>
      <c r="T1293" s="26"/>
      <c r="U1293" s="26"/>
      <c r="V1293" s="26"/>
      <c r="W1293" s="27"/>
    </row>
    <row r="1294" spans="1:23" ht="15.75" customHeight="1" x14ac:dyDescent="0.25">
      <c r="A1294" s="23"/>
      <c r="B1294" s="23" t="str">
        <f t="shared" si="5"/>
        <v/>
      </c>
      <c r="C1294" s="23"/>
      <c r="D1294" s="44"/>
      <c r="E1294" s="23"/>
      <c r="F1294" s="45"/>
      <c r="G1294" s="23"/>
      <c r="H1294" s="23"/>
      <c r="I1294" s="23"/>
      <c r="J1294" s="25"/>
      <c r="K1294" s="23"/>
      <c r="L1294" s="23"/>
      <c r="M1294" s="23"/>
      <c r="N1294" s="26"/>
      <c r="O1294" s="26"/>
      <c r="P1294" s="26"/>
      <c r="Q1294" s="26"/>
      <c r="R1294" s="26"/>
      <c r="S1294" s="26"/>
      <c r="T1294" s="26"/>
      <c r="U1294" s="26"/>
      <c r="V1294" s="26"/>
      <c r="W1294" s="27"/>
    </row>
    <row r="1295" spans="1:23" ht="15.75" customHeight="1" x14ac:dyDescent="0.25">
      <c r="A1295" s="23"/>
      <c r="B1295" s="23" t="str">
        <f t="shared" si="5"/>
        <v/>
      </c>
      <c r="C1295" s="23"/>
      <c r="D1295" s="44"/>
      <c r="E1295" s="23"/>
      <c r="F1295" s="45"/>
      <c r="G1295" s="23"/>
      <c r="H1295" s="23"/>
      <c r="I1295" s="23"/>
      <c r="J1295" s="25"/>
      <c r="K1295" s="23"/>
      <c r="L1295" s="23"/>
      <c r="M1295" s="23"/>
      <c r="N1295" s="26"/>
      <c r="O1295" s="26"/>
      <c r="P1295" s="26"/>
      <c r="Q1295" s="26"/>
      <c r="R1295" s="26"/>
      <c r="S1295" s="26"/>
      <c r="T1295" s="26"/>
      <c r="U1295" s="26"/>
      <c r="V1295" s="26"/>
      <c r="W1295" s="27"/>
    </row>
    <row r="1296" spans="1:23" ht="15.75" customHeight="1" x14ac:dyDescent="0.25">
      <c r="A1296" s="23"/>
      <c r="B1296" s="23" t="str">
        <f t="shared" si="5"/>
        <v/>
      </c>
      <c r="C1296" s="23"/>
      <c r="D1296" s="44"/>
      <c r="E1296" s="23"/>
      <c r="F1296" s="45"/>
      <c r="G1296" s="23"/>
      <c r="H1296" s="23"/>
      <c r="I1296" s="23"/>
      <c r="J1296" s="25"/>
      <c r="K1296" s="23"/>
      <c r="L1296" s="23"/>
      <c r="M1296" s="23"/>
      <c r="N1296" s="26"/>
      <c r="O1296" s="26"/>
      <c r="P1296" s="26"/>
      <c r="Q1296" s="26"/>
      <c r="R1296" s="26"/>
      <c r="S1296" s="26"/>
      <c r="T1296" s="26"/>
      <c r="U1296" s="26"/>
      <c r="V1296" s="26"/>
      <c r="W1296" s="27"/>
    </row>
    <row r="1297" spans="1:23" ht="15.75" customHeight="1" x14ac:dyDescent="0.25">
      <c r="A1297" s="23"/>
      <c r="B1297" s="23" t="str">
        <f t="shared" ref="B1297:B1551" si="6">MID(X1297,17,30)</f>
        <v/>
      </c>
      <c r="C1297" s="23"/>
      <c r="D1297" s="44"/>
      <c r="E1297" s="23"/>
      <c r="F1297" s="45"/>
      <c r="G1297" s="23"/>
      <c r="H1297" s="23"/>
      <c r="I1297" s="23"/>
      <c r="J1297" s="25"/>
      <c r="K1297" s="23"/>
      <c r="L1297" s="23"/>
      <c r="M1297" s="23"/>
      <c r="N1297" s="26"/>
      <c r="O1297" s="26"/>
      <c r="P1297" s="26"/>
      <c r="Q1297" s="26"/>
      <c r="R1297" s="26"/>
      <c r="S1297" s="26"/>
      <c r="T1297" s="26"/>
      <c r="U1297" s="26"/>
      <c r="V1297" s="26"/>
      <c r="W1297" s="27"/>
    </row>
    <row r="1298" spans="1:23" ht="15.75" customHeight="1" x14ac:dyDescent="0.25">
      <c r="A1298" s="23"/>
      <c r="B1298" s="23" t="str">
        <f t="shared" si="6"/>
        <v/>
      </c>
      <c r="C1298" s="23"/>
      <c r="D1298" s="44"/>
      <c r="E1298" s="23"/>
      <c r="F1298" s="45"/>
      <c r="G1298" s="23"/>
      <c r="H1298" s="23"/>
      <c r="I1298" s="23"/>
      <c r="J1298" s="25"/>
      <c r="K1298" s="23"/>
      <c r="L1298" s="23"/>
      <c r="M1298" s="23"/>
      <c r="N1298" s="26"/>
      <c r="O1298" s="26"/>
      <c r="P1298" s="26"/>
      <c r="Q1298" s="26"/>
      <c r="R1298" s="26"/>
      <c r="S1298" s="26"/>
      <c r="T1298" s="26"/>
      <c r="U1298" s="26"/>
      <c r="V1298" s="26"/>
      <c r="W1298" s="27"/>
    </row>
    <row r="1299" spans="1:23" ht="15.75" customHeight="1" x14ac:dyDescent="0.25">
      <c r="A1299" s="23"/>
      <c r="B1299" s="23" t="str">
        <f t="shared" si="6"/>
        <v/>
      </c>
      <c r="C1299" s="23"/>
      <c r="D1299" s="44"/>
      <c r="E1299" s="23"/>
      <c r="F1299" s="45"/>
      <c r="G1299" s="23"/>
      <c r="H1299" s="23"/>
      <c r="I1299" s="23"/>
      <c r="J1299" s="25"/>
      <c r="K1299" s="23"/>
      <c r="L1299" s="23"/>
      <c r="M1299" s="23"/>
      <c r="N1299" s="26"/>
      <c r="O1299" s="26"/>
      <c r="P1299" s="26"/>
      <c r="Q1299" s="26"/>
      <c r="R1299" s="26"/>
      <c r="S1299" s="26"/>
      <c r="T1299" s="26"/>
      <c r="U1299" s="26"/>
      <c r="V1299" s="26"/>
      <c r="W1299" s="27"/>
    </row>
    <row r="1300" spans="1:23" ht="15.75" customHeight="1" x14ac:dyDescent="0.25">
      <c r="A1300" s="23"/>
      <c r="B1300" s="23" t="str">
        <f t="shared" si="6"/>
        <v/>
      </c>
      <c r="C1300" s="23"/>
      <c r="D1300" s="44"/>
      <c r="E1300" s="23"/>
      <c r="F1300" s="45"/>
      <c r="G1300" s="23"/>
      <c r="H1300" s="23"/>
      <c r="I1300" s="23"/>
      <c r="J1300" s="25"/>
      <c r="K1300" s="23"/>
      <c r="L1300" s="23"/>
      <c r="M1300" s="23"/>
      <c r="N1300" s="26"/>
      <c r="O1300" s="26"/>
      <c r="P1300" s="26"/>
      <c r="Q1300" s="26"/>
      <c r="R1300" s="26"/>
      <c r="S1300" s="26"/>
      <c r="T1300" s="26"/>
      <c r="U1300" s="26"/>
      <c r="V1300" s="26"/>
      <c r="W1300" s="27"/>
    </row>
    <row r="1301" spans="1:23" ht="15.75" customHeight="1" x14ac:dyDescent="0.25">
      <c r="A1301" s="23"/>
      <c r="B1301" s="23" t="str">
        <f t="shared" si="6"/>
        <v/>
      </c>
      <c r="C1301" s="23"/>
      <c r="D1301" s="44"/>
      <c r="E1301" s="23"/>
      <c r="F1301" s="45"/>
      <c r="G1301" s="23"/>
      <c r="H1301" s="23"/>
      <c r="I1301" s="23"/>
      <c r="J1301" s="25"/>
      <c r="K1301" s="23"/>
      <c r="L1301" s="23"/>
      <c r="M1301" s="23"/>
      <c r="N1301" s="26"/>
      <c r="O1301" s="26"/>
      <c r="P1301" s="26"/>
      <c r="Q1301" s="26"/>
      <c r="R1301" s="26"/>
      <c r="S1301" s="26"/>
      <c r="T1301" s="26"/>
      <c r="U1301" s="26"/>
      <c r="V1301" s="26"/>
      <c r="W1301" s="27"/>
    </row>
    <row r="1302" spans="1:23" ht="15.75" customHeight="1" x14ac:dyDescent="0.25">
      <c r="A1302" s="23"/>
      <c r="B1302" s="23" t="str">
        <f t="shared" si="6"/>
        <v/>
      </c>
      <c r="C1302" s="23"/>
      <c r="D1302" s="44"/>
      <c r="E1302" s="23"/>
      <c r="F1302" s="45"/>
      <c r="G1302" s="23"/>
      <c r="H1302" s="23"/>
      <c r="I1302" s="23"/>
      <c r="J1302" s="25"/>
      <c r="K1302" s="23"/>
      <c r="L1302" s="23"/>
      <c r="M1302" s="23"/>
      <c r="N1302" s="26"/>
      <c r="O1302" s="26"/>
      <c r="P1302" s="26"/>
      <c r="Q1302" s="26"/>
      <c r="R1302" s="26"/>
      <c r="S1302" s="26"/>
      <c r="T1302" s="26"/>
      <c r="U1302" s="26"/>
      <c r="V1302" s="26"/>
      <c r="W1302" s="27"/>
    </row>
    <row r="1303" spans="1:23" ht="15.75" customHeight="1" x14ac:dyDescent="0.25">
      <c r="A1303" s="23"/>
      <c r="B1303" s="23" t="str">
        <f t="shared" si="6"/>
        <v/>
      </c>
      <c r="C1303" s="23"/>
      <c r="D1303" s="44"/>
      <c r="E1303" s="23"/>
      <c r="F1303" s="45"/>
      <c r="G1303" s="23"/>
      <c r="H1303" s="23"/>
      <c r="I1303" s="23"/>
      <c r="J1303" s="25"/>
      <c r="K1303" s="23"/>
      <c r="L1303" s="23"/>
      <c r="M1303" s="23"/>
      <c r="N1303" s="26"/>
      <c r="O1303" s="26"/>
      <c r="P1303" s="26"/>
      <c r="Q1303" s="26"/>
      <c r="R1303" s="26"/>
      <c r="S1303" s="26"/>
      <c r="T1303" s="26"/>
      <c r="U1303" s="26"/>
      <c r="V1303" s="26"/>
      <c r="W1303" s="27"/>
    </row>
    <row r="1304" spans="1:23" ht="15.75" customHeight="1" x14ac:dyDescent="0.25">
      <c r="A1304" s="23"/>
      <c r="B1304" s="23" t="str">
        <f t="shared" si="6"/>
        <v/>
      </c>
      <c r="C1304" s="23"/>
      <c r="D1304" s="44"/>
      <c r="E1304" s="23"/>
      <c r="F1304" s="45"/>
      <c r="G1304" s="23"/>
      <c r="H1304" s="23"/>
      <c r="I1304" s="23"/>
      <c r="J1304" s="25"/>
      <c r="K1304" s="23"/>
      <c r="L1304" s="23"/>
      <c r="M1304" s="23"/>
      <c r="N1304" s="26"/>
      <c r="O1304" s="26"/>
      <c r="P1304" s="26"/>
      <c r="Q1304" s="26"/>
      <c r="R1304" s="26"/>
      <c r="S1304" s="26"/>
      <c r="T1304" s="26"/>
      <c r="U1304" s="26"/>
      <c r="V1304" s="26"/>
      <c r="W1304" s="27"/>
    </row>
    <row r="1305" spans="1:23" ht="15.75" customHeight="1" x14ac:dyDescent="0.25">
      <c r="A1305" s="23"/>
      <c r="B1305" s="23" t="str">
        <f t="shared" si="6"/>
        <v/>
      </c>
      <c r="C1305" s="23"/>
      <c r="D1305" s="44"/>
      <c r="E1305" s="23"/>
      <c r="F1305" s="45"/>
      <c r="G1305" s="23"/>
      <c r="H1305" s="23"/>
      <c r="I1305" s="23"/>
      <c r="J1305" s="25"/>
      <c r="K1305" s="23"/>
      <c r="L1305" s="23"/>
      <c r="M1305" s="23"/>
      <c r="N1305" s="26"/>
      <c r="O1305" s="26"/>
      <c r="P1305" s="26"/>
      <c r="Q1305" s="26"/>
      <c r="R1305" s="26"/>
      <c r="S1305" s="26"/>
      <c r="T1305" s="26"/>
      <c r="U1305" s="26"/>
      <c r="V1305" s="26"/>
      <c r="W1305" s="27"/>
    </row>
    <row r="1306" spans="1:23" ht="15.75" customHeight="1" x14ac:dyDescent="0.25">
      <c r="A1306" s="23"/>
      <c r="B1306" s="23" t="str">
        <f t="shared" si="6"/>
        <v/>
      </c>
      <c r="C1306" s="23"/>
      <c r="D1306" s="44"/>
      <c r="E1306" s="23"/>
      <c r="F1306" s="45"/>
      <c r="G1306" s="23"/>
      <c r="H1306" s="23"/>
      <c r="I1306" s="23"/>
      <c r="J1306" s="25"/>
      <c r="K1306" s="23"/>
      <c r="L1306" s="23"/>
      <c r="M1306" s="23"/>
      <c r="N1306" s="26"/>
      <c r="O1306" s="26"/>
      <c r="P1306" s="26"/>
      <c r="Q1306" s="26"/>
      <c r="R1306" s="26"/>
      <c r="S1306" s="26"/>
      <c r="T1306" s="26"/>
      <c r="U1306" s="26"/>
      <c r="V1306" s="26"/>
      <c r="W1306" s="27"/>
    </row>
    <row r="1307" spans="1:23" ht="15.75" customHeight="1" x14ac:dyDescent="0.25">
      <c r="A1307" s="23"/>
      <c r="B1307" s="23" t="str">
        <f t="shared" si="6"/>
        <v/>
      </c>
      <c r="C1307" s="23"/>
      <c r="D1307" s="44"/>
      <c r="E1307" s="23"/>
      <c r="F1307" s="45"/>
      <c r="G1307" s="23"/>
      <c r="H1307" s="23"/>
      <c r="I1307" s="23"/>
      <c r="J1307" s="25"/>
      <c r="K1307" s="23"/>
      <c r="L1307" s="23"/>
      <c r="M1307" s="23"/>
      <c r="N1307" s="26"/>
      <c r="O1307" s="26"/>
      <c r="P1307" s="26"/>
      <c r="Q1307" s="26"/>
      <c r="R1307" s="26"/>
      <c r="S1307" s="26"/>
      <c r="T1307" s="26"/>
      <c r="U1307" s="26"/>
      <c r="V1307" s="26"/>
      <c r="W1307" s="27"/>
    </row>
    <row r="1308" spans="1:23" ht="15.75" customHeight="1" x14ac:dyDescent="0.25">
      <c r="A1308" s="23"/>
      <c r="B1308" s="23" t="str">
        <f t="shared" si="6"/>
        <v/>
      </c>
      <c r="C1308" s="23"/>
      <c r="D1308" s="44"/>
      <c r="E1308" s="23"/>
      <c r="F1308" s="45"/>
      <c r="G1308" s="23"/>
      <c r="H1308" s="23"/>
      <c r="I1308" s="23"/>
      <c r="J1308" s="25"/>
      <c r="K1308" s="23"/>
      <c r="L1308" s="23"/>
      <c r="M1308" s="23"/>
      <c r="N1308" s="26"/>
      <c r="O1308" s="26"/>
      <c r="P1308" s="26"/>
      <c r="Q1308" s="26"/>
      <c r="R1308" s="26"/>
      <c r="S1308" s="26"/>
      <c r="T1308" s="26"/>
      <c r="U1308" s="26"/>
      <c r="V1308" s="26"/>
      <c r="W1308" s="27"/>
    </row>
    <row r="1309" spans="1:23" ht="15.75" customHeight="1" x14ac:dyDescent="0.25">
      <c r="A1309" s="23"/>
      <c r="B1309" s="23" t="str">
        <f t="shared" si="6"/>
        <v/>
      </c>
      <c r="C1309" s="23"/>
      <c r="D1309" s="44"/>
      <c r="E1309" s="23"/>
      <c r="F1309" s="45"/>
      <c r="G1309" s="23"/>
      <c r="H1309" s="23"/>
      <c r="I1309" s="23"/>
      <c r="J1309" s="25"/>
      <c r="K1309" s="23"/>
      <c r="L1309" s="23"/>
      <c r="M1309" s="23"/>
      <c r="N1309" s="26"/>
      <c r="O1309" s="26"/>
      <c r="P1309" s="26"/>
      <c r="Q1309" s="26"/>
      <c r="R1309" s="26"/>
      <c r="S1309" s="26"/>
      <c r="T1309" s="26"/>
      <c r="U1309" s="26"/>
      <c r="V1309" s="26"/>
      <c r="W1309" s="27"/>
    </row>
    <row r="1310" spans="1:23" ht="15.75" customHeight="1" x14ac:dyDescent="0.25">
      <c r="A1310" s="23"/>
      <c r="B1310" s="23" t="str">
        <f t="shared" si="6"/>
        <v/>
      </c>
      <c r="C1310" s="23"/>
      <c r="D1310" s="44"/>
      <c r="E1310" s="23"/>
      <c r="F1310" s="45"/>
      <c r="G1310" s="23"/>
      <c r="H1310" s="23"/>
      <c r="I1310" s="23"/>
      <c r="J1310" s="25"/>
      <c r="K1310" s="23"/>
      <c r="L1310" s="23"/>
      <c r="M1310" s="23"/>
      <c r="N1310" s="26"/>
      <c r="O1310" s="26"/>
      <c r="P1310" s="26"/>
      <c r="Q1310" s="26"/>
      <c r="R1310" s="26"/>
      <c r="S1310" s="26"/>
      <c r="T1310" s="26"/>
      <c r="U1310" s="26"/>
      <c r="V1310" s="26"/>
      <c r="W1310" s="27"/>
    </row>
    <row r="1311" spans="1:23" ht="15.75" customHeight="1" x14ac:dyDescent="0.25">
      <c r="A1311" s="23"/>
      <c r="B1311" s="23" t="str">
        <f t="shared" si="6"/>
        <v/>
      </c>
      <c r="C1311" s="23"/>
      <c r="D1311" s="44"/>
      <c r="E1311" s="23"/>
      <c r="F1311" s="45"/>
      <c r="G1311" s="23"/>
      <c r="H1311" s="23"/>
      <c r="I1311" s="23"/>
      <c r="J1311" s="25"/>
      <c r="K1311" s="23"/>
      <c r="L1311" s="23"/>
      <c r="M1311" s="23"/>
      <c r="N1311" s="26"/>
      <c r="O1311" s="26"/>
      <c r="P1311" s="26"/>
      <c r="Q1311" s="26"/>
      <c r="R1311" s="26"/>
      <c r="S1311" s="26"/>
      <c r="T1311" s="26"/>
      <c r="U1311" s="26"/>
      <c r="V1311" s="26"/>
      <c r="W1311" s="27"/>
    </row>
    <row r="1312" spans="1:23" ht="15.75" customHeight="1" x14ac:dyDescent="0.25">
      <c r="A1312" s="23"/>
      <c r="B1312" s="23" t="str">
        <f t="shared" si="6"/>
        <v/>
      </c>
      <c r="C1312" s="23"/>
      <c r="D1312" s="44"/>
      <c r="E1312" s="23"/>
      <c r="F1312" s="45"/>
      <c r="G1312" s="23"/>
      <c r="H1312" s="23"/>
      <c r="I1312" s="23"/>
      <c r="J1312" s="25"/>
      <c r="K1312" s="23"/>
      <c r="L1312" s="23"/>
      <c r="M1312" s="23"/>
      <c r="N1312" s="26"/>
      <c r="O1312" s="26"/>
      <c r="P1312" s="26"/>
      <c r="Q1312" s="26"/>
      <c r="R1312" s="26"/>
      <c r="S1312" s="26"/>
      <c r="T1312" s="26"/>
      <c r="U1312" s="26"/>
      <c r="V1312" s="26"/>
      <c r="W1312" s="27"/>
    </row>
    <row r="1313" spans="1:23" ht="15.75" customHeight="1" x14ac:dyDescent="0.25">
      <c r="A1313" s="23"/>
      <c r="B1313" s="23" t="str">
        <f t="shared" si="6"/>
        <v/>
      </c>
      <c r="C1313" s="23"/>
      <c r="D1313" s="44"/>
      <c r="E1313" s="23"/>
      <c r="F1313" s="45"/>
      <c r="G1313" s="23"/>
      <c r="H1313" s="23"/>
      <c r="I1313" s="23"/>
      <c r="J1313" s="25"/>
      <c r="K1313" s="23"/>
      <c r="L1313" s="23"/>
      <c r="M1313" s="23"/>
      <c r="N1313" s="26"/>
      <c r="O1313" s="26"/>
      <c r="P1313" s="26"/>
      <c r="Q1313" s="26"/>
      <c r="R1313" s="26"/>
      <c r="S1313" s="26"/>
      <c r="T1313" s="26"/>
      <c r="U1313" s="26"/>
      <c r="V1313" s="26"/>
      <c r="W1313" s="27"/>
    </row>
    <row r="1314" spans="1:23" ht="15.75" customHeight="1" x14ac:dyDescent="0.25">
      <c r="A1314" s="23"/>
      <c r="B1314" s="23" t="str">
        <f t="shared" si="6"/>
        <v/>
      </c>
      <c r="C1314" s="23"/>
      <c r="D1314" s="44"/>
      <c r="E1314" s="23"/>
      <c r="F1314" s="45"/>
      <c r="G1314" s="23"/>
      <c r="H1314" s="23"/>
      <c r="I1314" s="23"/>
      <c r="J1314" s="25"/>
      <c r="K1314" s="23"/>
      <c r="L1314" s="23"/>
      <c r="M1314" s="23"/>
      <c r="N1314" s="26"/>
      <c r="O1314" s="26"/>
      <c r="P1314" s="26"/>
      <c r="Q1314" s="26"/>
      <c r="R1314" s="26"/>
      <c r="S1314" s="26"/>
      <c r="T1314" s="26"/>
      <c r="U1314" s="26"/>
      <c r="V1314" s="26"/>
      <c r="W1314" s="27"/>
    </row>
    <row r="1315" spans="1:23" ht="15.75" customHeight="1" x14ac:dyDescent="0.25">
      <c r="A1315" s="23"/>
      <c r="B1315" s="23" t="str">
        <f t="shared" si="6"/>
        <v/>
      </c>
      <c r="C1315" s="23"/>
      <c r="D1315" s="44"/>
      <c r="E1315" s="23"/>
      <c r="F1315" s="45"/>
      <c r="G1315" s="23"/>
      <c r="H1315" s="23"/>
      <c r="I1315" s="23"/>
      <c r="J1315" s="25"/>
      <c r="K1315" s="23"/>
      <c r="L1315" s="23"/>
      <c r="M1315" s="23"/>
      <c r="N1315" s="26"/>
      <c r="O1315" s="26"/>
      <c r="P1315" s="26"/>
      <c r="Q1315" s="26"/>
      <c r="R1315" s="26"/>
      <c r="S1315" s="26"/>
      <c r="T1315" s="26"/>
      <c r="U1315" s="26"/>
      <c r="V1315" s="26"/>
      <c r="W1315" s="27"/>
    </row>
    <row r="1316" spans="1:23" ht="15.75" customHeight="1" x14ac:dyDescent="0.25">
      <c r="A1316" s="23"/>
      <c r="B1316" s="23" t="str">
        <f t="shared" si="6"/>
        <v/>
      </c>
      <c r="C1316" s="23"/>
      <c r="D1316" s="44"/>
      <c r="E1316" s="23"/>
      <c r="F1316" s="45"/>
      <c r="G1316" s="23"/>
      <c r="H1316" s="23"/>
      <c r="I1316" s="23"/>
      <c r="J1316" s="25"/>
      <c r="K1316" s="23"/>
      <c r="L1316" s="23"/>
      <c r="M1316" s="23"/>
      <c r="N1316" s="26"/>
      <c r="O1316" s="26"/>
      <c r="P1316" s="26"/>
      <c r="Q1316" s="26"/>
      <c r="R1316" s="26"/>
      <c r="S1316" s="26"/>
      <c r="T1316" s="26"/>
      <c r="U1316" s="26"/>
      <c r="V1316" s="26"/>
      <c r="W1316" s="27"/>
    </row>
    <row r="1317" spans="1:23" ht="15.75" customHeight="1" x14ac:dyDescent="0.25">
      <c r="A1317" s="23"/>
      <c r="B1317" s="23" t="str">
        <f t="shared" si="6"/>
        <v/>
      </c>
      <c r="C1317" s="23"/>
      <c r="D1317" s="44"/>
      <c r="E1317" s="23"/>
      <c r="F1317" s="45"/>
      <c r="G1317" s="23"/>
      <c r="H1317" s="23"/>
      <c r="I1317" s="23"/>
      <c r="J1317" s="25"/>
      <c r="K1317" s="23"/>
      <c r="L1317" s="23"/>
      <c r="M1317" s="23"/>
      <c r="N1317" s="26"/>
      <c r="O1317" s="26"/>
      <c r="P1317" s="26"/>
      <c r="Q1317" s="26"/>
      <c r="R1317" s="26"/>
      <c r="S1317" s="26"/>
      <c r="T1317" s="26"/>
      <c r="U1317" s="26"/>
      <c r="V1317" s="26"/>
      <c r="W1317" s="27"/>
    </row>
    <row r="1318" spans="1:23" ht="15.75" customHeight="1" x14ac:dyDescent="0.25">
      <c r="A1318" s="23"/>
      <c r="B1318" s="23" t="str">
        <f t="shared" si="6"/>
        <v/>
      </c>
      <c r="C1318" s="23"/>
      <c r="D1318" s="44"/>
      <c r="E1318" s="23"/>
      <c r="F1318" s="45"/>
      <c r="G1318" s="23"/>
      <c r="H1318" s="23"/>
      <c r="I1318" s="23"/>
      <c r="J1318" s="25"/>
      <c r="K1318" s="23"/>
      <c r="L1318" s="23"/>
      <c r="M1318" s="23"/>
      <c r="N1318" s="26"/>
      <c r="O1318" s="26"/>
      <c r="P1318" s="26"/>
      <c r="Q1318" s="26"/>
      <c r="R1318" s="26"/>
      <c r="S1318" s="26"/>
      <c r="T1318" s="26"/>
      <c r="U1318" s="26"/>
      <c r="V1318" s="26"/>
      <c r="W1318" s="27"/>
    </row>
    <row r="1319" spans="1:23" ht="15.75" customHeight="1" x14ac:dyDescent="0.25">
      <c r="A1319" s="23"/>
      <c r="B1319" s="23" t="str">
        <f t="shared" si="6"/>
        <v/>
      </c>
      <c r="C1319" s="23"/>
      <c r="D1319" s="44"/>
      <c r="E1319" s="23"/>
      <c r="F1319" s="45"/>
      <c r="G1319" s="23"/>
      <c r="H1319" s="23"/>
      <c r="I1319" s="23"/>
      <c r="J1319" s="25"/>
      <c r="K1319" s="23"/>
      <c r="L1319" s="23"/>
      <c r="M1319" s="23"/>
      <c r="N1319" s="26"/>
      <c r="O1319" s="26"/>
      <c r="P1319" s="26"/>
      <c r="Q1319" s="26"/>
      <c r="R1319" s="26"/>
      <c r="S1319" s="26"/>
      <c r="T1319" s="26"/>
      <c r="U1319" s="26"/>
      <c r="V1319" s="26"/>
      <c r="W1319" s="27"/>
    </row>
    <row r="1320" spans="1:23" ht="15.75" customHeight="1" x14ac:dyDescent="0.25">
      <c r="A1320" s="23"/>
      <c r="B1320" s="23" t="str">
        <f t="shared" si="6"/>
        <v/>
      </c>
      <c r="C1320" s="23"/>
      <c r="D1320" s="44"/>
      <c r="E1320" s="23"/>
      <c r="F1320" s="45"/>
      <c r="G1320" s="23"/>
      <c r="H1320" s="23"/>
      <c r="I1320" s="23"/>
      <c r="J1320" s="25"/>
      <c r="K1320" s="23"/>
      <c r="L1320" s="23"/>
      <c r="M1320" s="23"/>
      <c r="N1320" s="26"/>
      <c r="O1320" s="26"/>
      <c r="P1320" s="26"/>
      <c r="Q1320" s="26"/>
      <c r="R1320" s="26"/>
      <c r="S1320" s="26"/>
      <c r="T1320" s="26"/>
      <c r="U1320" s="26"/>
      <c r="V1320" s="26"/>
      <c r="W1320" s="27"/>
    </row>
    <row r="1321" spans="1:23" ht="15.75" customHeight="1" x14ac:dyDescent="0.25">
      <c r="A1321" s="23"/>
      <c r="B1321" s="23" t="str">
        <f t="shared" si="6"/>
        <v/>
      </c>
      <c r="C1321" s="23"/>
      <c r="D1321" s="44"/>
      <c r="E1321" s="23"/>
      <c r="F1321" s="45"/>
      <c r="G1321" s="23"/>
      <c r="H1321" s="23"/>
      <c r="I1321" s="23"/>
      <c r="J1321" s="25"/>
      <c r="K1321" s="23"/>
      <c r="L1321" s="23"/>
      <c r="M1321" s="23"/>
      <c r="N1321" s="26"/>
      <c r="O1321" s="26"/>
      <c r="P1321" s="26"/>
      <c r="Q1321" s="26"/>
      <c r="R1321" s="26"/>
      <c r="S1321" s="26"/>
      <c r="T1321" s="26"/>
      <c r="U1321" s="26"/>
      <c r="V1321" s="26"/>
      <c r="W1321" s="27"/>
    </row>
    <row r="1322" spans="1:23" ht="15.75" customHeight="1" x14ac:dyDescent="0.25">
      <c r="A1322" s="23"/>
      <c r="B1322" s="23" t="str">
        <f t="shared" si="6"/>
        <v/>
      </c>
      <c r="C1322" s="23"/>
      <c r="D1322" s="44"/>
      <c r="E1322" s="23"/>
      <c r="F1322" s="45"/>
      <c r="G1322" s="23"/>
      <c r="H1322" s="23"/>
      <c r="I1322" s="23"/>
      <c r="J1322" s="25"/>
      <c r="K1322" s="23"/>
      <c r="L1322" s="23"/>
      <c r="M1322" s="23"/>
      <c r="N1322" s="26"/>
      <c r="O1322" s="26"/>
      <c r="P1322" s="26"/>
      <c r="Q1322" s="26"/>
      <c r="R1322" s="26"/>
      <c r="S1322" s="26"/>
      <c r="T1322" s="26"/>
      <c r="U1322" s="26"/>
      <c r="V1322" s="26"/>
      <c r="W1322" s="27"/>
    </row>
    <row r="1323" spans="1:23" ht="15.75" customHeight="1" x14ac:dyDescent="0.25">
      <c r="A1323" s="23"/>
      <c r="B1323" s="23" t="str">
        <f t="shared" si="6"/>
        <v/>
      </c>
      <c r="C1323" s="23"/>
      <c r="D1323" s="44"/>
      <c r="E1323" s="23"/>
      <c r="F1323" s="45"/>
      <c r="G1323" s="23"/>
      <c r="H1323" s="23"/>
      <c r="I1323" s="23"/>
      <c r="J1323" s="25"/>
      <c r="K1323" s="23"/>
      <c r="L1323" s="23"/>
      <c r="M1323" s="23"/>
      <c r="N1323" s="26"/>
      <c r="O1323" s="26"/>
      <c r="P1323" s="26"/>
      <c r="Q1323" s="26"/>
      <c r="R1323" s="26"/>
      <c r="S1323" s="26"/>
      <c r="T1323" s="26"/>
      <c r="U1323" s="26"/>
      <c r="V1323" s="26"/>
      <c r="W1323" s="27"/>
    </row>
    <row r="1324" spans="1:23" ht="15.75" customHeight="1" x14ac:dyDescent="0.25">
      <c r="A1324" s="23"/>
      <c r="B1324" s="23" t="str">
        <f t="shared" si="6"/>
        <v/>
      </c>
      <c r="C1324" s="23"/>
      <c r="D1324" s="44"/>
      <c r="E1324" s="23"/>
      <c r="F1324" s="45"/>
      <c r="G1324" s="23"/>
      <c r="H1324" s="23"/>
      <c r="I1324" s="23"/>
      <c r="J1324" s="25"/>
      <c r="K1324" s="23"/>
      <c r="L1324" s="23"/>
      <c r="M1324" s="23"/>
      <c r="N1324" s="26"/>
      <c r="O1324" s="26"/>
      <c r="P1324" s="26"/>
      <c r="Q1324" s="26"/>
      <c r="R1324" s="26"/>
      <c r="S1324" s="26"/>
      <c r="T1324" s="26"/>
      <c r="U1324" s="26"/>
      <c r="V1324" s="26"/>
      <c r="W1324" s="27"/>
    </row>
    <row r="1325" spans="1:23" ht="15.75" customHeight="1" x14ac:dyDescent="0.25">
      <c r="A1325" s="23"/>
      <c r="B1325" s="23" t="str">
        <f t="shared" si="6"/>
        <v/>
      </c>
      <c r="C1325" s="23"/>
      <c r="D1325" s="44"/>
      <c r="E1325" s="23"/>
      <c r="F1325" s="45"/>
      <c r="G1325" s="23"/>
      <c r="H1325" s="23"/>
      <c r="I1325" s="23"/>
      <c r="J1325" s="25"/>
      <c r="K1325" s="23"/>
      <c r="L1325" s="23"/>
      <c r="M1325" s="23"/>
      <c r="N1325" s="26"/>
      <c r="O1325" s="26"/>
      <c r="P1325" s="26"/>
      <c r="Q1325" s="26"/>
      <c r="R1325" s="26"/>
      <c r="S1325" s="26"/>
      <c r="T1325" s="26"/>
      <c r="U1325" s="26"/>
      <c r="V1325" s="26"/>
      <c r="W1325" s="27"/>
    </row>
    <row r="1326" spans="1:23" ht="15.75" customHeight="1" x14ac:dyDescent="0.25">
      <c r="A1326" s="23"/>
      <c r="B1326" s="23" t="str">
        <f t="shared" si="6"/>
        <v/>
      </c>
      <c r="C1326" s="23"/>
      <c r="D1326" s="44"/>
      <c r="E1326" s="23"/>
      <c r="F1326" s="45"/>
      <c r="G1326" s="23"/>
      <c r="H1326" s="23"/>
      <c r="I1326" s="23"/>
      <c r="J1326" s="25"/>
      <c r="K1326" s="23"/>
      <c r="L1326" s="23"/>
      <c r="M1326" s="23"/>
      <c r="N1326" s="26"/>
      <c r="O1326" s="26"/>
      <c r="P1326" s="26"/>
      <c r="Q1326" s="26"/>
      <c r="R1326" s="26"/>
      <c r="S1326" s="26"/>
      <c r="T1326" s="26"/>
      <c r="U1326" s="26"/>
      <c r="V1326" s="26"/>
      <c r="W1326" s="27"/>
    </row>
    <row r="1327" spans="1:23" ht="15.75" customHeight="1" x14ac:dyDescent="0.25">
      <c r="A1327" s="23"/>
      <c r="B1327" s="23" t="str">
        <f t="shared" si="6"/>
        <v/>
      </c>
      <c r="C1327" s="23"/>
      <c r="D1327" s="44"/>
      <c r="E1327" s="23"/>
      <c r="F1327" s="45"/>
      <c r="G1327" s="23"/>
      <c r="H1327" s="23"/>
      <c r="I1327" s="23"/>
      <c r="J1327" s="25"/>
      <c r="K1327" s="23"/>
      <c r="L1327" s="23"/>
      <c r="M1327" s="23"/>
      <c r="N1327" s="26"/>
      <c r="O1327" s="26"/>
      <c r="P1327" s="26"/>
      <c r="Q1327" s="26"/>
      <c r="R1327" s="26"/>
      <c r="S1327" s="26"/>
      <c r="T1327" s="26"/>
      <c r="U1327" s="26"/>
      <c r="V1327" s="26"/>
      <c r="W1327" s="27"/>
    </row>
    <row r="1328" spans="1:23" ht="15.75" customHeight="1" x14ac:dyDescent="0.25">
      <c r="A1328" s="23"/>
      <c r="B1328" s="23" t="str">
        <f t="shared" si="6"/>
        <v/>
      </c>
      <c r="C1328" s="23"/>
      <c r="D1328" s="44"/>
      <c r="E1328" s="23"/>
      <c r="F1328" s="45"/>
      <c r="G1328" s="23"/>
      <c r="H1328" s="23"/>
      <c r="I1328" s="23"/>
      <c r="J1328" s="25"/>
      <c r="K1328" s="23"/>
      <c r="L1328" s="23"/>
      <c r="M1328" s="23"/>
      <c r="N1328" s="26"/>
      <c r="O1328" s="26"/>
      <c r="P1328" s="26"/>
      <c r="Q1328" s="26"/>
      <c r="R1328" s="26"/>
      <c r="S1328" s="26"/>
      <c r="T1328" s="26"/>
      <c r="U1328" s="26"/>
      <c r="V1328" s="26"/>
      <c r="W1328" s="27"/>
    </row>
    <row r="1329" spans="1:23" ht="15.75" customHeight="1" x14ac:dyDescent="0.25">
      <c r="A1329" s="23"/>
      <c r="B1329" s="23" t="str">
        <f t="shared" si="6"/>
        <v/>
      </c>
      <c r="C1329" s="23"/>
      <c r="D1329" s="44"/>
      <c r="E1329" s="23"/>
      <c r="F1329" s="45"/>
      <c r="G1329" s="23"/>
      <c r="H1329" s="23"/>
      <c r="I1329" s="23"/>
      <c r="J1329" s="25"/>
      <c r="K1329" s="23"/>
      <c r="L1329" s="23"/>
      <c r="M1329" s="23"/>
      <c r="N1329" s="26"/>
      <c r="O1329" s="26"/>
      <c r="P1329" s="26"/>
      <c r="Q1329" s="26"/>
      <c r="R1329" s="26"/>
      <c r="S1329" s="26"/>
      <c r="T1329" s="26"/>
      <c r="U1329" s="26"/>
      <c r="V1329" s="26"/>
      <c r="W1329" s="27"/>
    </row>
    <row r="1330" spans="1:23" ht="15.75" customHeight="1" x14ac:dyDescent="0.25">
      <c r="A1330" s="23"/>
      <c r="B1330" s="23" t="str">
        <f t="shared" si="6"/>
        <v/>
      </c>
      <c r="C1330" s="23"/>
      <c r="D1330" s="44"/>
      <c r="E1330" s="23"/>
      <c r="F1330" s="45"/>
      <c r="G1330" s="23"/>
      <c r="H1330" s="23"/>
      <c r="I1330" s="23"/>
      <c r="J1330" s="25"/>
      <c r="K1330" s="23"/>
      <c r="L1330" s="23"/>
      <c r="M1330" s="23"/>
      <c r="N1330" s="26"/>
      <c r="O1330" s="26"/>
      <c r="P1330" s="26"/>
      <c r="Q1330" s="26"/>
      <c r="R1330" s="26"/>
      <c r="S1330" s="26"/>
      <c r="T1330" s="26"/>
      <c r="U1330" s="26"/>
      <c r="V1330" s="26"/>
      <c r="W1330" s="27"/>
    </row>
    <row r="1331" spans="1:23" ht="15.75" customHeight="1" x14ac:dyDescent="0.25">
      <c r="A1331" s="23"/>
      <c r="B1331" s="23" t="str">
        <f t="shared" si="6"/>
        <v/>
      </c>
      <c r="C1331" s="23"/>
      <c r="D1331" s="44"/>
      <c r="E1331" s="23"/>
      <c r="F1331" s="45"/>
      <c r="G1331" s="23"/>
      <c r="H1331" s="23"/>
      <c r="I1331" s="23"/>
      <c r="J1331" s="25"/>
      <c r="K1331" s="23"/>
      <c r="L1331" s="23"/>
      <c r="M1331" s="23"/>
      <c r="N1331" s="26"/>
      <c r="O1331" s="26"/>
      <c r="P1331" s="26"/>
      <c r="Q1331" s="26"/>
      <c r="R1331" s="26"/>
      <c r="S1331" s="26"/>
      <c r="T1331" s="26"/>
      <c r="U1331" s="26"/>
      <c r="V1331" s="26"/>
      <c r="W1331" s="27"/>
    </row>
    <row r="1332" spans="1:23" ht="15.75" customHeight="1" x14ac:dyDescent="0.25">
      <c r="A1332" s="23"/>
      <c r="B1332" s="23" t="str">
        <f t="shared" si="6"/>
        <v/>
      </c>
      <c r="C1332" s="23"/>
      <c r="D1332" s="44"/>
      <c r="E1332" s="23"/>
      <c r="F1332" s="45"/>
      <c r="G1332" s="23"/>
      <c r="H1332" s="23"/>
      <c r="I1332" s="23"/>
      <c r="J1332" s="25"/>
      <c r="K1332" s="23"/>
      <c r="L1332" s="23"/>
      <c r="M1332" s="23"/>
      <c r="N1332" s="26"/>
      <c r="O1332" s="26"/>
      <c r="P1332" s="26"/>
      <c r="Q1332" s="26"/>
      <c r="R1332" s="26"/>
      <c r="S1332" s="26"/>
      <c r="T1332" s="26"/>
      <c r="U1332" s="26"/>
      <c r="V1332" s="26"/>
      <c r="W1332" s="27"/>
    </row>
    <row r="1333" spans="1:23" ht="15.75" customHeight="1" x14ac:dyDescent="0.25">
      <c r="A1333" s="23"/>
      <c r="B1333" s="23" t="str">
        <f t="shared" si="6"/>
        <v/>
      </c>
      <c r="C1333" s="23"/>
      <c r="D1333" s="44"/>
      <c r="E1333" s="23"/>
      <c r="F1333" s="45"/>
      <c r="G1333" s="23"/>
      <c r="H1333" s="23"/>
      <c r="I1333" s="23"/>
      <c r="J1333" s="25"/>
      <c r="K1333" s="23"/>
      <c r="L1333" s="23"/>
      <c r="M1333" s="23"/>
      <c r="N1333" s="26"/>
      <c r="O1333" s="26"/>
      <c r="P1333" s="26"/>
      <c r="Q1333" s="26"/>
      <c r="R1333" s="26"/>
      <c r="S1333" s="26"/>
      <c r="T1333" s="26"/>
      <c r="U1333" s="26"/>
      <c r="V1333" s="26"/>
      <c r="W1333" s="27"/>
    </row>
    <row r="1334" spans="1:23" ht="15.75" customHeight="1" x14ac:dyDescent="0.25">
      <c r="A1334" s="23"/>
      <c r="B1334" s="23" t="str">
        <f t="shared" si="6"/>
        <v/>
      </c>
      <c r="C1334" s="23"/>
      <c r="D1334" s="44"/>
      <c r="E1334" s="23"/>
      <c r="F1334" s="45"/>
      <c r="G1334" s="23"/>
      <c r="H1334" s="23"/>
      <c r="I1334" s="23"/>
      <c r="J1334" s="25"/>
      <c r="K1334" s="23"/>
      <c r="L1334" s="23"/>
      <c r="M1334" s="23"/>
      <c r="N1334" s="26"/>
      <c r="O1334" s="26"/>
      <c r="P1334" s="26"/>
      <c r="Q1334" s="26"/>
      <c r="R1334" s="26"/>
      <c r="S1334" s="26"/>
      <c r="T1334" s="26"/>
      <c r="U1334" s="26"/>
      <c r="V1334" s="26"/>
      <c r="W1334" s="27"/>
    </row>
    <row r="1335" spans="1:23" ht="15.75" customHeight="1" x14ac:dyDescent="0.25">
      <c r="A1335" s="23"/>
      <c r="B1335" s="23" t="str">
        <f t="shared" si="6"/>
        <v/>
      </c>
      <c r="C1335" s="23"/>
      <c r="D1335" s="44"/>
      <c r="E1335" s="23"/>
      <c r="F1335" s="45"/>
      <c r="G1335" s="23"/>
      <c r="H1335" s="23"/>
      <c r="I1335" s="23"/>
      <c r="J1335" s="25"/>
      <c r="K1335" s="23"/>
      <c r="L1335" s="23"/>
      <c r="M1335" s="23"/>
      <c r="N1335" s="26"/>
      <c r="O1335" s="26"/>
      <c r="P1335" s="26"/>
      <c r="Q1335" s="26"/>
      <c r="R1335" s="26"/>
      <c r="S1335" s="26"/>
      <c r="T1335" s="26"/>
      <c r="U1335" s="26"/>
      <c r="V1335" s="26"/>
      <c r="W1335" s="27"/>
    </row>
    <row r="1336" spans="1:23" ht="15.75" customHeight="1" x14ac:dyDescent="0.25">
      <c r="A1336" s="23"/>
      <c r="B1336" s="23" t="str">
        <f t="shared" si="6"/>
        <v/>
      </c>
      <c r="C1336" s="23"/>
      <c r="D1336" s="44"/>
      <c r="E1336" s="23"/>
      <c r="F1336" s="45"/>
      <c r="G1336" s="23"/>
      <c r="H1336" s="23"/>
      <c r="I1336" s="23"/>
      <c r="J1336" s="25"/>
      <c r="K1336" s="23"/>
      <c r="L1336" s="23"/>
      <c r="M1336" s="23"/>
      <c r="N1336" s="26"/>
      <c r="O1336" s="26"/>
      <c r="P1336" s="26"/>
      <c r="Q1336" s="26"/>
      <c r="R1336" s="26"/>
      <c r="S1336" s="26"/>
      <c r="T1336" s="26"/>
      <c r="U1336" s="26"/>
      <c r="V1336" s="26"/>
      <c r="W1336" s="27"/>
    </row>
    <row r="1337" spans="1:23" ht="15.75" customHeight="1" x14ac:dyDescent="0.25">
      <c r="A1337" s="23"/>
      <c r="B1337" s="23" t="str">
        <f t="shared" si="6"/>
        <v/>
      </c>
      <c r="C1337" s="23"/>
      <c r="D1337" s="44"/>
      <c r="E1337" s="23"/>
      <c r="F1337" s="45"/>
      <c r="G1337" s="23"/>
      <c r="H1337" s="23"/>
      <c r="I1337" s="23"/>
      <c r="J1337" s="25"/>
      <c r="K1337" s="23"/>
      <c r="L1337" s="23"/>
      <c r="M1337" s="23"/>
      <c r="N1337" s="26"/>
      <c r="O1337" s="26"/>
      <c r="P1337" s="26"/>
      <c r="Q1337" s="26"/>
      <c r="R1337" s="26"/>
      <c r="S1337" s="26"/>
      <c r="T1337" s="26"/>
      <c r="U1337" s="26"/>
      <c r="V1337" s="26"/>
      <c r="W1337" s="27"/>
    </row>
    <row r="1338" spans="1:23" ht="15.75" customHeight="1" x14ac:dyDescent="0.25">
      <c r="A1338" s="23"/>
      <c r="B1338" s="23" t="str">
        <f t="shared" si="6"/>
        <v/>
      </c>
      <c r="C1338" s="23"/>
      <c r="D1338" s="44"/>
      <c r="E1338" s="23"/>
      <c r="F1338" s="45"/>
      <c r="G1338" s="23"/>
      <c r="H1338" s="23"/>
      <c r="I1338" s="23"/>
      <c r="J1338" s="25"/>
      <c r="K1338" s="23"/>
      <c r="L1338" s="23"/>
      <c r="M1338" s="23"/>
      <c r="N1338" s="26"/>
      <c r="O1338" s="26"/>
      <c r="P1338" s="26"/>
      <c r="Q1338" s="26"/>
      <c r="R1338" s="26"/>
      <c r="S1338" s="26"/>
      <c r="T1338" s="26"/>
      <c r="U1338" s="26"/>
      <c r="V1338" s="26"/>
      <c r="W1338" s="27"/>
    </row>
    <row r="1339" spans="1:23" ht="15.75" customHeight="1" x14ac:dyDescent="0.25">
      <c r="A1339" s="23"/>
      <c r="B1339" s="23" t="str">
        <f t="shared" si="6"/>
        <v/>
      </c>
      <c r="C1339" s="23"/>
      <c r="D1339" s="44"/>
      <c r="E1339" s="23"/>
      <c r="F1339" s="45"/>
      <c r="G1339" s="23"/>
      <c r="H1339" s="23"/>
      <c r="I1339" s="23"/>
      <c r="J1339" s="25"/>
      <c r="K1339" s="23"/>
      <c r="L1339" s="23"/>
      <c r="M1339" s="23"/>
      <c r="N1339" s="26"/>
      <c r="O1339" s="26"/>
      <c r="P1339" s="26"/>
      <c r="Q1339" s="26"/>
      <c r="R1339" s="26"/>
      <c r="S1339" s="26"/>
      <c r="T1339" s="26"/>
      <c r="U1339" s="26"/>
      <c r="V1339" s="26"/>
      <c r="W1339" s="27"/>
    </row>
    <row r="1340" spans="1:23" ht="15.75" customHeight="1" x14ac:dyDescent="0.25">
      <c r="A1340" s="23"/>
      <c r="B1340" s="23" t="str">
        <f t="shared" si="6"/>
        <v/>
      </c>
      <c r="C1340" s="23"/>
      <c r="D1340" s="44"/>
      <c r="E1340" s="23"/>
      <c r="F1340" s="45"/>
      <c r="G1340" s="23"/>
      <c r="H1340" s="23"/>
      <c r="I1340" s="23"/>
      <c r="J1340" s="25"/>
      <c r="K1340" s="23"/>
      <c r="L1340" s="23"/>
      <c r="M1340" s="23"/>
      <c r="N1340" s="26"/>
      <c r="O1340" s="26"/>
      <c r="P1340" s="26"/>
      <c r="Q1340" s="26"/>
      <c r="R1340" s="26"/>
      <c r="S1340" s="26"/>
      <c r="T1340" s="26"/>
      <c r="U1340" s="26"/>
      <c r="V1340" s="26"/>
      <c r="W1340" s="27"/>
    </row>
    <row r="1341" spans="1:23" ht="15.75" customHeight="1" x14ac:dyDescent="0.25">
      <c r="A1341" s="23"/>
      <c r="B1341" s="23" t="str">
        <f t="shared" si="6"/>
        <v/>
      </c>
      <c r="C1341" s="23"/>
      <c r="D1341" s="44"/>
      <c r="E1341" s="23"/>
      <c r="F1341" s="45"/>
      <c r="G1341" s="23"/>
      <c r="H1341" s="23"/>
      <c r="I1341" s="23"/>
      <c r="J1341" s="25"/>
      <c r="K1341" s="23"/>
      <c r="L1341" s="23"/>
      <c r="M1341" s="23"/>
      <c r="N1341" s="26"/>
      <c r="O1341" s="26"/>
      <c r="P1341" s="26"/>
      <c r="Q1341" s="26"/>
      <c r="R1341" s="26"/>
      <c r="S1341" s="26"/>
      <c r="T1341" s="26"/>
      <c r="U1341" s="26"/>
      <c r="V1341" s="26"/>
      <c r="W1341" s="27"/>
    </row>
    <row r="1342" spans="1:23" ht="15.75" customHeight="1" x14ac:dyDescent="0.25">
      <c r="A1342" s="23"/>
      <c r="B1342" s="23" t="str">
        <f t="shared" si="6"/>
        <v/>
      </c>
      <c r="C1342" s="23"/>
      <c r="D1342" s="44"/>
      <c r="E1342" s="23"/>
      <c r="F1342" s="45"/>
      <c r="G1342" s="23"/>
      <c r="H1342" s="23"/>
      <c r="I1342" s="23"/>
      <c r="J1342" s="25"/>
      <c r="K1342" s="23"/>
      <c r="L1342" s="23"/>
      <c r="M1342" s="23"/>
      <c r="N1342" s="26"/>
      <c r="O1342" s="26"/>
      <c r="P1342" s="26"/>
      <c r="Q1342" s="26"/>
      <c r="R1342" s="26"/>
      <c r="S1342" s="26"/>
      <c r="T1342" s="26"/>
      <c r="U1342" s="26"/>
      <c r="V1342" s="26"/>
      <c r="W1342" s="27"/>
    </row>
    <row r="1343" spans="1:23" ht="15.75" customHeight="1" x14ac:dyDescent="0.25">
      <c r="A1343" s="23"/>
      <c r="B1343" s="23" t="str">
        <f t="shared" si="6"/>
        <v/>
      </c>
      <c r="C1343" s="23"/>
      <c r="D1343" s="44"/>
      <c r="E1343" s="23"/>
      <c r="F1343" s="45"/>
      <c r="G1343" s="23"/>
      <c r="H1343" s="23"/>
      <c r="I1343" s="23"/>
      <c r="J1343" s="25"/>
      <c r="K1343" s="23"/>
      <c r="L1343" s="23"/>
      <c r="M1343" s="23"/>
      <c r="N1343" s="26"/>
      <c r="O1343" s="26"/>
      <c r="P1343" s="26"/>
      <c r="Q1343" s="26"/>
      <c r="R1343" s="26"/>
      <c r="S1343" s="26"/>
      <c r="T1343" s="26"/>
      <c r="U1343" s="26"/>
      <c r="V1343" s="26"/>
      <c r="W1343" s="27"/>
    </row>
    <row r="1344" spans="1:23" ht="15.75" customHeight="1" x14ac:dyDescent="0.25">
      <c r="A1344" s="23"/>
      <c r="B1344" s="23" t="str">
        <f t="shared" si="6"/>
        <v/>
      </c>
      <c r="C1344" s="23"/>
      <c r="D1344" s="44"/>
      <c r="E1344" s="23"/>
      <c r="F1344" s="45"/>
      <c r="G1344" s="23"/>
      <c r="H1344" s="23"/>
      <c r="I1344" s="23"/>
      <c r="J1344" s="25"/>
      <c r="K1344" s="23"/>
      <c r="L1344" s="23"/>
      <c r="M1344" s="23"/>
      <c r="N1344" s="26"/>
      <c r="O1344" s="26"/>
      <c r="P1344" s="26"/>
      <c r="Q1344" s="26"/>
      <c r="R1344" s="26"/>
      <c r="S1344" s="26"/>
      <c r="T1344" s="26"/>
      <c r="U1344" s="26"/>
      <c r="V1344" s="26"/>
      <c r="W1344" s="27"/>
    </row>
    <row r="1345" spans="1:23" ht="15.75" customHeight="1" x14ac:dyDescent="0.25">
      <c r="A1345" s="23"/>
      <c r="B1345" s="23" t="str">
        <f t="shared" si="6"/>
        <v/>
      </c>
      <c r="C1345" s="23"/>
      <c r="D1345" s="44"/>
      <c r="E1345" s="23"/>
      <c r="F1345" s="45"/>
      <c r="G1345" s="23"/>
      <c r="H1345" s="23"/>
      <c r="I1345" s="23"/>
      <c r="J1345" s="25"/>
      <c r="K1345" s="23"/>
      <c r="L1345" s="23"/>
      <c r="M1345" s="23"/>
      <c r="N1345" s="26"/>
      <c r="O1345" s="26"/>
      <c r="P1345" s="26"/>
      <c r="Q1345" s="26"/>
      <c r="R1345" s="26"/>
      <c r="S1345" s="26"/>
      <c r="T1345" s="26"/>
      <c r="U1345" s="26"/>
      <c r="V1345" s="26"/>
      <c r="W1345" s="27"/>
    </row>
    <row r="1346" spans="1:23" ht="15.75" customHeight="1" x14ac:dyDescent="0.25">
      <c r="A1346" s="23"/>
      <c r="B1346" s="23" t="str">
        <f t="shared" si="6"/>
        <v/>
      </c>
      <c r="C1346" s="23"/>
      <c r="D1346" s="44"/>
      <c r="E1346" s="23"/>
      <c r="F1346" s="45"/>
      <c r="G1346" s="23"/>
      <c r="H1346" s="23"/>
      <c r="I1346" s="23"/>
      <c r="J1346" s="25"/>
      <c r="K1346" s="23"/>
      <c r="L1346" s="23"/>
      <c r="M1346" s="23"/>
      <c r="N1346" s="26"/>
      <c r="O1346" s="26"/>
      <c r="P1346" s="26"/>
      <c r="Q1346" s="26"/>
      <c r="R1346" s="26"/>
      <c r="S1346" s="26"/>
      <c r="T1346" s="26"/>
      <c r="U1346" s="26"/>
      <c r="V1346" s="26"/>
      <c r="W1346" s="27"/>
    </row>
    <row r="1347" spans="1:23" ht="15.75" customHeight="1" x14ac:dyDescent="0.25">
      <c r="A1347" s="23"/>
      <c r="B1347" s="23" t="str">
        <f t="shared" si="6"/>
        <v/>
      </c>
      <c r="C1347" s="23"/>
      <c r="D1347" s="44"/>
      <c r="E1347" s="23"/>
      <c r="F1347" s="45"/>
      <c r="G1347" s="23"/>
      <c r="H1347" s="23"/>
      <c r="I1347" s="23"/>
      <c r="J1347" s="25"/>
      <c r="K1347" s="23"/>
      <c r="L1347" s="23"/>
      <c r="M1347" s="23"/>
      <c r="N1347" s="26"/>
      <c r="O1347" s="26"/>
      <c r="P1347" s="26"/>
      <c r="Q1347" s="26"/>
      <c r="R1347" s="26"/>
      <c r="S1347" s="26"/>
      <c r="T1347" s="26"/>
      <c r="U1347" s="26"/>
      <c r="V1347" s="26"/>
      <c r="W1347" s="27"/>
    </row>
    <row r="1348" spans="1:23" ht="15.75" customHeight="1" x14ac:dyDescent="0.25">
      <c r="A1348" s="23"/>
      <c r="B1348" s="23" t="str">
        <f t="shared" si="6"/>
        <v/>
      </c>
      <c r="C1348" s="23"/>
      <c r="D1348" s="44"/>
      <c r="E1348" s="23"/>
      <c r="F1348" s="45"/>
      <c r="G1348" s="23"/>
      <c r="H1348" s="23"/>
      <c r="I1348" s="23"/>
      <c r="J1348" s="25"/>
      <c r="K1348" s="23"/>
      <c r="L1348" s="23"/>
      <c r="M1348" s="23"/>
      <c r="N1348" s="26"/>
      <c r="O1348" s="26"/>
      <c r="P1348" s="26"/>
      <c r="Q1348" s="26"/>
      <c r="R1348" s="26"/>
      <c r="S1348" s="26"/>
      <c r="T1348" s="26"/>
      <c r="U1348" s="26"/>
      <c r="V1348" s="26"/>
      <c r="W1348" s="27"/>
    </row>
    <row r="1349" spans="1:23" ht="15.75" customHeight="1" x14ac:dyDescent="0.25">
      <c r="A1349" s="23"/>
      <c r="B1349" s="23" t="str">
        <f t="shared" si="6"/>
        <v/>
      </c>
      <c r="C1349" s="23"/>
      <c r="D1349" s="44"/>
      <c r="E1349" s="23"/>
      <c r="F1349" s="45"/>
      <c r="G1349" s="23"/>
      <c r="H1349" s="23"/>
      <c r="I1349" s="23"/>
      <c r="J1349" s="25"/>
      <c r="K1349" s="23"/>
      <c r="L1349" s="23"/>
      <c r="M1349" s="23"/>
      <c r="N1349" s="26"/>
      <c r="O1349" s="26"/>
      <c r="P1349" s="26"/>
      <c r="Q1349" s="26"/>
      <c r="R1349" s="26"/>
      <c r="S1349" s="26"/>
      <c r="T1349" s="26"/>
      <c r="U1349" s="26"/>
      <c r="V1349" s="26"/>
      <c r="W1349" s="27"/>
    </row>
    <row r="1350" spans="1:23" ht="15.75" customHeight="1" x14ac:dyDescent="0.25">
      <c r="A1350" s="23"/>
      <c r="B1350" s="23" t="str">
        <f t="shared" si="6"/>
        <v/>
      </c>
      <c r="C1350" s="23"/>
      <c r="D1350" s="44"/>
      <c r="E1350" s="23"/>
      <c r="F1350" s="45"/>
      <c r="G1350" s="23"/>
      <c r="H1350" s="23"/>
      <c r="I1350" s="23"/>
      <c r="J1350" s="25"/>
      <c r="K1350" s="23"/>
      <c r="L1350" s="23"/>
      <c r="M1350" s="23"/>
      <c r="N1350" s="26"/>
      <c r="O1350" s="26"/>
      <c r="P1350" s="26"/>
      <c r="Q1350" s="26"/>
      <c r="R1350" s="26"/>
      <c r="S1350" s="26"/>
      <c r="T1350" s="26"/>
      <c r="U1350" s="26"/>
      <c r="V1350" s="26"/>
      <c r="W1350" s="27"/>
    </row>
    <row r="1351" spans="1:23" ht="15.75" customHeight="1" x14ac:dyDescent="0.25">
      <c r="A1351" s="23"/>
      <c r="B1351" s="23" t="str">
        <f t="shared" si="6"/>
        <v/>
      </c>
      <c r="C1351" s="23"/>
      <c r="D1351" s="44"/>
      <c r="E1351" s="23"/>
      <c r="F1351" s="45"/>
      <c r="G1351" s="23"/>
      <c r="H1351" s="23"/>
      <c r="I1351" s="23"/>
      <c r="J1351" s="25"/>
      <c r="K1351" s="23"/>
      <c r="L1351" s="23"/>
      <c r="M1351" s="23"/>
      <c r="N1351" s="26"/>
      <c r="O1351" s="26"/>
      <c r="P1351" s="26"/>
      <c r="Q1351" s="26"/>
      <c r="R1351" s="26"/>
      <c r="S1351" s="26"/>
      <c r="T1351" s="26"/>
      <c r="U1351" s="26"/>
      <c r="V1351" s="26"/>
      <c r="W1351" s="27"/>
    </row>
    <row r="1352" spans="1:23" ht="15.75" customHeight="1" x14ac:dyDescent="0.25">
      <c r="A1352" s="23"/>
      <c r="B1352" s="23" t="str">
        <f t="shared" si="6"/>
        <v/>
      </c>
      <c r="C1352" s="23"/>
      <c r="D1352" s="44"/>
      <c r="E1352" s="23"/>
      <c r="F1352" s="45"/>
      <c r="G1352" s="23"/>
      <c r="H1352" s="23"/>
      <c r="I1352" s="23"/>
      <c r="J1352" s="25"/>
      <c r="K1352" s="23"/>
      <c r="L1352" s="23"/>
      <c r="M1352" s="23"/>
      <c r="N1352" s="26"/>
      <c r="O1352" s="26"/>
      <c r="P1352" s="26"/>
      <c r="Q1352" s="26"/>
      <c r="R1352" s="26"/>
      <c r="S1352" s="26"/>
      <c r="T1352" s="26"/>
      <c r="U1352" s="26"/>
      <c r="V1352" s="26"/>
      <c r="W1352" s="27"/>
    </row>
    <row r="1353" spans="1:23" ht="15.75" customHeight="1" x14ac:dyDescent="0.25">
      <c r="A1353" s="23"/>
      <c r="B1353" s="23" t="str">
        <f t="shared" si="6"/>
        <v/>
      </c>
      <c r="C1353" s="23"/>
      <c r="D1353" s="44"/>
      <c r="E1353" s="23"/>
      <c r="F1353" s="45"/>
      <c r="G1353" s="23"/>
      <c r="H1353" s="23"/>
      <c r="I1353" s="23"/>
      <c r="J1353" s="25"/>
      <c r="K1353" s="23"/>
      <c r="L1353" s="23"/>
      <c r="M1353" s="23"/>
      <c r="N1353" s="26"/>
      <c r="O1353" s="26"/>
      <c r="P1353" s="26"/>
      <c r="Q1353" s="26"/>
      <c r="R1353" s="26"/>
      <c r="S1353" s="26"/>
      <c r="T1353" s="26"/>
      <c r="U1353" s="26"/>
      <c r="V1353" s="26"/>
      <c r="W1353" s="27"/>
    </row>
    <row r="1354" spans="1:23" ht="15.75" customHeight="1" x14ac:dyDescent="0.25">
      <c r="A1354" s="23"/>
      <c r="B1354" s="23" t="str">
        <f t="shared" si="6"/>
        <v/>
      </c>
      <c r="C1354" s="23"/>
      <c r="D1354" s="44"/>
      <c r="E1354" s="23"/>
      <c r="F1354" s="45"/>
      <c r="G1354" s="23"/>
      <c r="H1354" s="23"/>
      <c r="I1354" s="23"/>
      <c r="J1354" s="25"/>
      <c r="K1354" s="23"/>
      <c r="L1354" s="23"/>
      <c r="M1354" s="23"/>
      <c r="N1354" s="26"/>
      <c r="O1354" s="26"/>
      <c r="P1354" s="26"/>
      <c r="Q1354" s="26"/>
      <c r="R1354" s="26"/>
      <c r="S1354" s="26"/>
      <c r="T1354" s="26"/>
      <c r="U1354" s="26"/>
      <c r="V1354" s="26"/>
      <c r="W1354" s="27"/>
    </row>
    <row r="1355" spans="1:23" ht="15.75" customHeight="1" x14ac:dyDescent="0.25">
      <c r="A1355" s="23"/>
      <c r="B1355" s="23" t="str">
        <f t="shared" si="6"/>
        <v/>
      </c>
      <c r="C1355" s="23"/>
      <c r="D1355" s="44"/>
      <c r="E1355" s="23"/>
      <c r="F1355" s="45"/>
      <c r="G1355" s="23"/>
      <c r="H1355" s="23"/>
      <c r="I1355" s="23"/>
      <c r="J1355" s="25"/>
      <c r="K1355" s="23"/>
      <c r="L1355" s="23"/>
      <c r="M1355" s="23"/>
      <c r="N1355" s="26"/>
      <c r="O1355" s="26"/>
      <c r="P1355" s="26"/>
      <c r="Q1355" s="26"/>
      <c r="R1355" s="26"/>
      <c r="S1355" s="26"/>
      <c r="T1355" s="26"/>
      <c r="U1355" s="26"/>
      <c r="V1355" s="26"/>
      <c r="W1355" s="27"/>
    </row>
    <row r="1356" spans="1:23" ht="15.75" customHeight="1" x14ac:dyDescent="0.25">
      <c r="A1356" s="23"/>
      <c r="B1356" s="23" t="str">
        <f t="shared" si="6"/>
        <v/>
      </c>
      <c r="C1356" s="23"/>
      <c r="D1356" s="44"/>
      <c r="E1356" s="23"/>
      <c r="F1356" s="45"/>
      <c r="G1356" s="23"/>
      <c r="H1356" s="23"/>
      <c r="I1356" s="23"/>
      <c r="J1356" s="25"/>
      <c r="K1356" s="23"/>
      <c r="L1356" s="23"/>
      <c r="M1356" s="23"/>
      <c r="N1356" s="26"/>
      <c r="O1356" s="26"/>
      <c r="P1356" s="26"/>
      <c r="Q1356" s="26"/>
      <c r="R1356" s="26"/>
      <c r="S1356" s="26"/>
      <c r="T1356" s="26"/>
      <c r="U1356" s="26"/>
      <c r="V1356" s="26"/>
      <c r="W1356" s="27"/>
    </row>
    <row r="1357" spans="1:23" ht="15.75" customHeight="1" x14ac:dyDescent="0.25">
      <c r="A1357" s="23"/>
      <c r="B1357" s="23" t="str">
        <f t="shared" si="6"/>
        <v/>
      </c>
      <c r="C1357" s="23"/>
      <c r="D1357" s="44"/>
      <c r="E1357" s="23"/>
      <c r="F1357" s="45"/>
      <c r="G1357" s="23"/>
      <c r="H1357" s="23"/>
      <c r="I1357" s="23"/>
      <c r="J1357" s="25"/>
      <c r="K1357" s="23"/>
      <c r="L1357" s="23"/>
      <c r="M1357" s="23"/>
      <c r="N1357" s="26"/>
      <c r="O1357" s="26"/>
      <c r="P1357" s="26"/>
      <c r="Q1357" s="26"/>
      <c r="R1357" s="26"/>
      <c r="S1357" s="26"/>
      <c r="T1357" s="26"/>
      <c r="U1357" s="26"/>
      <c r="V1357" s="26"/>
      <c r="W1357" s="27"/>
    </row>
    <row r="1358" spans="1:23" ht="15.75" customHeight="1" x14ac:dyDescent="0.25">
      <c r="A1358" s="23"/>
      <c r="B1358" s="23" t="str">
        <f t="shared" si="6"/>
        <v/>
      </c>
      <c r="C1358" s="23"/>
      <c r="D1358" s="44"/>
      <c r="E1358" s="23"/>
      <c r="F1358" s="45"/>
      <c r="G1358" s="23"/>
      <c r="H1358" s="23"/>
      <c r="I1358" s="23"/>
      <c r="J1358" s="25"/>
      <c r="K1358" s="23"/>
      <c r="L1358" s="23"/>
      <c r="M1358" s="23"/>
      <c r="N1358" s="26"/>
      <c r="O1358" s="26"/>
      <c r="P1358" s="26"/>
      <c r="Q1358" s="26"/>
      <c r="R1358" s="26"/>
      <c r="S1358" s="26"/>
      <c r="T1358" s="26"/>
      <c r="U1358" s="26"/>
      <c r="V1358" s="26"/>
      <c r="W1358" s="27"/>
    </row>
    <row r="1359" spans="1:23" ht="15.75" customHeight="1" x14ac:dyDescent="0.25">
      <c r="A1359" s="23"/>
      <c r="B1359" s="23" t="str">
        <f t="shared" si="6"/>
        <v/>
      </c>
      <c r="C1359" s="23"/>
      <c r="D1359" s="44"/>
      <c r="E1359" s="23"/>
      <c r="F1359" s="45"/>
      <c r="G1359" s="23"/>
      <c r="H1359" s="23"/>
      <c r="I1359" s="23"/>
      <c r="J1359" s="25"/>
      <c r="K1359" s="23"/>
      <c r="L1359" s="23"/>
      <c r="M1359" s="23"/>
      <c r="N1359" s="26"/>
      <c r="O1359" s="26"/>
      <c r="P1359" s="26"/>
      <c r="Q1359" s="26"/>
      <c r="R1359" s="26"/>
      <c r="S1359" s="26"/>
      <c r="T1359" s="26"/>
      <c r="U1359" s="26"/>
      <c r="V1359" s="26"/>
      <c r="W1359" s="27"/>
    </row>
    <row r="1360" spans="1:23" ht="15.75" customHeight="1" x14ac:dyDescent="0.25">
      <c r="A1360" s="23"/>
      <c r="B1360" s="23" t="str">
        <f t="shared" si="6"/>
        <v/>
      </c>
      <c r="C1360" s="23"/>
      <c r="D1360" s="44"/>
      <c r="E1360" s="23"/>
      <c r="F1360" s="45"/>
      <c r="G1360" s="23"/>
      <c r="H1360" s="23"/>
      <c r="I1360" s="23"/>
      <c r="J1360" s="25"/>
      <c r="K1360" s="23"/>
      <c r="L1360" s="23"/>
      <c r="M1360" s="23"/>
      <c r="N1360" s="26"/>
      <c r="O1360" s="26"/>
      <c r="P1360" s="26"/>
      <c r="Q1360" s="26"/>
      <c r="R1360" s="26"/>
      <c r="S1360" s="26"/>
      <c r="T1360" s="26"/>
      <c r="U1360" s="26"/>
      <c r="V1360" s="26"/>
      <c r="W1360" s="27"/>
    </row>
    <row r="1361" spans="1:23" ht="15.75" customHeight="1" x14ac:dyDescent="0.25">
      <c r="A1361" s="23"/>
      <c r="B1361" s="23" t="str">
        <f t="shared" si="6"/>
        <v/>
      </c>
      <c r="C1361" s="23"/>
      <c r="D1361" s="44"/>
      <c r="E1361" s="23"/>
      <c r="F1361" s="45"/>
      <c r="G1361" s="23"/>
      <c r="H1361" s="23"/>
      <c r="I1361" s="23"/>
      <c r="J1361" s="25"/>
      <c r="K1361" s="23"/>
      <c r="L1361" s="23"/>
      <c r="M1361" s="23"/>
      <c r="N1361" s="26"/>
      <c r="O1361" s="26"/>
      <c r="P1361" s="26"/>
      <c r="Q1361" s="26"/>
      <c r="R1361" s="26"/>
      <c r="S1361" s="26"/>
      <c r="T1361" s="26"/>
      <c r="U1361" s="26"/>
      <c r="V1361" s="26"/>
      <c r="W1361" s="27"/>
    </row>
    <row r="1362" spans="1:23" ht="15.75" customHeight="1" x14ac:dyDescent="0.25">
      <c r="A1362" s="23"/>
      <c r="B1362" s="23" t="str">
        <f t="shared" si="6"/>
        <v/>
      </c>
      <c r="C1362" s="23"/>
      <c r="D1362" s="44"/>
      <c r="E1362" s="23"/>
      <c r="F1362" s="45"/>
      <c r="G1362" s="23"/>
      <c r="H1362" s="23"/>
      <c r="I1362" s="23"/>
      <c r="J1362" s="25"/>
      <c r="K1362" s="23"/>
      <c r="L1362" s="23"/>
      <c r="M1362" s="23"/>
      <c r="N1362" s="26"/>
      <c r="O1362" s="26"/>
      <c r="P1362" s="26"/>
      <c r="Q1362" s="26"/>
      <c r="R1362" s="26"/>
      <c r="S1362" s="26"/>
      <c r="T1362" s="26"/>
      <c r="U1362" s="26"/>
      <c r="V1362" s="26"/>
      <c r="W1362" s="27"/>
    </row>
    <row r="1363" spans="1:23" ht="15.75" customHeight="1" x14ac:dyDescent="0.25">
      <c r="A1363" s="23"/>
      <c r="B1363" s="23" t="str">
        <f t="shared" si="6"/>
        <v/>
      </c>
      <c r="C1363" s="23"/>
      <c r="D1363" s="44"/>
      <c r="E1363" s="23"/>
      <c r="F1363" s="45"/>
      <c r="G1363" s="23"/>
      <c r="H1363" s="23"/>
      <c r="I1363" s="23"/>
      <c r="J1363" s="25"/>
      <c r="K1363" s="23"/>
      <c r="L1363" s="23"/>
      <c r="M1363" s="23"/>
      <c r="N1363" s="26"/>
      <c r="O1363" s="26"/>
      <c r="P1363" s="26"/>
      <c r="Q1363" s="26"/>
      <c r="R1363" s="26"/>
      <c r="S1363" s="26"/>
      <c r="T1363" s="26"/>
      <c r="U1363" s="26"/>
      <c r="V1363" s="26"/>
      <c r="W1363" s="27"/>
    </row>
    <row r="1364" spans="1:23" ht="15.75" customHeight="1" x14ac:dyDescent="0.25">
      <c r="A1364" s="23"/>
      <c r="B1364" s="23" t="str">
        <f t="shared" si="6"/>
        <v/>
      </c>
      <c r="C1364" s="23"/>
      <c r="D1364" s="44"/>
      <c r="E1364" s="23"/>
      <c r="F1364" s="45"/>
      <c r="G1364" s="23"/>
      <c r="H1364" s="23"/>
      <c r="I1364" s="23"/>
      <c r="J1364" s="25"/>
      <c r="K1364" s="23"/>
      <c r="L1364" s="23"/>
      <c r="M1364" s="23"/>
      <c r="N1364" s="26"/>
      <c r="O1364" s="26"/>
      <c r="P1364" s="26"/>
      <c r="Q1364" s="26"/>
      <c r="R1364" s="26"/>
      <c r="S1364" s="26"/>
      <c r="T1364" s="26"/>
      <c r="U1364" s="26"/>
      <c r="V1364" s="26"/>
      <c r="W1364" s="27"/>
    </row>
    <row r="1365" spans="1:23" ht="15.75" customHeight="1" x14ac:dyDescent="0.25">
      <c r="A1365" s="23"/>
      <c r="B1365" s="23" t="str">
        <f t="shared" si="6"/>
        <v/>
      </c>
      <c r="C1365" s="23"/>
      <c r="D1365" s="44"/>
      <c r="E1365" s="23"/>
      <c r="F1365" s="45"/>
      <c r="G1365" s="23"/>
      <c r="H1365" s="23"/>
      <c r="I1365" s="23"/>
      <c r="J1365" s="25"/>
      <c r="K1365" s="23"/>
      <c r="L1365" s="23"/>
      <c r="M1365" s="23"/>
      <c r="N1365" s="26"/>
      <c r="O1365" s="26"/>
      <c r="P1365" s="26"/>
      <c r="Q1365" s="26"/>
      <c r="R1365" s="26"/>
      <c r="S1365" s="26"/>
      <c r="T1365" s="26"/>
      <c r="U1365" s="26"/>
      <c r="V1365" s="26"/>
      <c r="W1365" s="27"/>
    </row>
    <row r="1366" spans="1:23" ht="15.75" customHeight="1" x14ac:dyDescent="0.25">
      <c r="A1366" s="23"/>
      <c r="B1366" s="23" t="str">
        <f t="shared" si="6"/>
        <v/>
      </c>
      <c r="C1366" s="23"/>
      <c r="D1366" s="44"/>
      <c r="E1366" s="23"/>
      <c r="F1366" s="45"/>
      <c r="G1366" s="23"/>
      <c r="H1366" s="23"/>
      <c r="I1366" s="23"/>
      <c r="J1366" s="25"/>
      <c r="K1366" s="23"/>
      <c r="L1366" s="23"/>
      <c r="M1366" s="23"/>
      <c r="N1366" s="26"/>
      <c r="O1366" s="26"/>
      <c r="P1366" s="26"/>
      <c r="Q1366" s="26"/>
      <c r="R1366" s="26"/>
      <c r="S1366" s="26"/>
      <c r="T1366" s="26"/>
      <c r="U1366" s="26"/>
      <c r="V1366" s="26"/>
      <c r="W1366" s="27"/>
    </row>
    <row r="1367" spans="1:23" ht="15.75" customHeight="1" x14ac:dyDescent="0.25">
      <c r="A1367" s="23"/>
      <c r="B1367" s="23" t="str">
        <f t="shared" si="6"/>
        <v/>
      </c>
      <c r="C1367" s="23"/>
      <c r="D1367" s="44"/>
      <c r="E1367" s="23"/>
      <c r="F1367" s="45"/>
      <c r="G1367" s="23"/>
      <c r="H1367" s="23"/>
      <c r="I1367" s="23"/>
      <c r="J1367" s="25"/>
      <c r="K1367" s="23"/>
      <c r="L1367" s="23"/>
      <c r="M1367" s="23"/>
      <c r="N1367" s="26"/>
      <c r="O1367" s="26"/>
      <c r="P1367" s="26"/>
      <c r="Q1367" s="26"/>
      <c r="R1367" s="26"/>
      <c r="S1367" s="26"/>
      <c r="T1367" s="26"/>
      <c r="U1367" s="26"/>
      <c r="V1367" s="26"/>
      <c r="W1367" s="27"/>
    </row>
    <row r="1368" spans="1:23" ht="15.75" customHeight="1" x14ac:dyDescent="0.25">
      <c r="A1368" s="23"/>
      <c r="B1368" s="23" t="str">
        <f t="shared" si="6"/>
        <v/>
      </c>
      <c r="C1368" s="23"/>
      <c r="D1368" s="44"/>
      <c r="E1368" s="23"/>
      <c r="F1368" s="45"/>
      <c r="G1368" s="23"/>
      <c r="H1368" s="23"/>
      <c r="I1368" s="23"/>
      <c r="J1368" s="25"/>
      <c r="K1368" s="23"/>
      <c r="L1368" s="23"/>
      <c r="M1368" s="23"/>
      <c r="N1368" s="26"/>
      <c r="O1368" s="26"/>
      <c r="P1368" s="26"/>
      <c r="Q1368" s="26"/>
      <c r="R1368" s="26"/>
      <c r="S1368" s="26"/>
      <c r="T1368" s="26"/>
      <c r="U1368" s="26"/>
      <c r="V1368" s="26"/>
      <c r="W1368" s="27"/>
    </row>
    <row r="1369" spans="1:23" ht="15.75" customHeight="1" x14ac:dyDescent="0.25">
      <c r="A1369" s="23"/>
      <c r="B1369" s="23" t="str">
        <f t="shared" si="6"/>
        <v/>
      </c>
      <c r="C1369" s="23"/>
      <c r="D1369" s="44"/>
      <c r="E1369" s="23"/>
      <c r="F1369" s="45"/>
      <c r="G1369" s="23"/>
      <c r="H1369" s="23"/>
      <c r="I1369" s="23"/>
      <c r="J1369" s="25"/>
      <c r="K1369" s="23"/>
      <c r="L1369" s="23"/>
      <c r="M1369" s="23"/>
      <c r="N1369" s="26"/>
      <c r="O1369" s="26"/>
      <c r="P1369" s="26"/>
      <c r="Q1369" s="26"/>
      <c r="R1369" s="26"/>
      <c r="S1369" s="26"/>
      <c r="T1369" s="26"/>
      <c r="U1369" s="26"/>
      <c r="V1369" s="26"/>
      <c r="W1369" s="27"/>
    </row>
    <row r="1370" spans="1:23" ht="15.75" customHeight="1" x14ac:dyDescent="0.25">
      <c r="A1370" s="23"/>
      <c r="B1370" s="23" t="str">
        <f t="shared" si="6"/>
        <v/>
      </c>
      <c r="C1370" s="23"/>
      <c r="D1370" s="44"/>
      <c r="E1370" s="23"/>
      <c r="F1370" s="45"/>
      <c r="G1370" s="23"/>
      <c r="H1370" s="23"/>
      <c r="I1370" s="23"/>
      <c r="J1370" s="25"/>
      <c r="K1370" s="23"/>
      <c r="L1370" s="23"/>
      <c r="M1370" s="23"/>
      <c r="N1370" s="26"/>
      <c r="O1370" s="26"/>
      <c r="P1370" s="26"/>
      <c r="Q1370" s="26"/>
      <c r="R1370" s="26"/>
      <c r="S1370" s="26"/>
      <c r="T1370" s="26"/>
      <c r="U1370" s="26"/>
      <c r="V1370" s="26"/>
      <c r="W1370" s="27"/>
    </row>
    <row r="1371" spans="1:23" ht="15.75" customHeight="1" x14ac:dyDescent="0.25">
      <c r="A1371" s="23"/>
      <c r="B1371" s="23" t="str">
        <f t="shared" si="6"/>
        <v/>
      </c>
      <c r="C1371" s="23"/>
      <c r="D1371" s="44"/>
      <c r="E1371" s="23"/>
      <c r="F1371" s="45"/>
      <c r="G1371" s="23"/>
      <c r="H1371" s="23"/>
      <c r="I1371" s="23"/>
      <c r="J1371" s="25"/>
      <c r="K1371" s="23"/>
      <c r="L1371" s="23"/>
      <c r="M1371" s="23"/>
      <c r="N1371" s="26"/>
      <c r="O1371" s="26"/>
      <c r="P1371" s="26"/>
      <c r="Q1371" s="26"/>
      <c r="R1371" s="26"/>
      <c r="S1371" s="26"/>
      <c r="T1371" s="26"/>
      <c r="U1371" s="26"/>
      <c r="V1371" s="26"/>
      <c r="W1371" s="27"/>
    </row>
    <row r="1372" spans="1:23" ht="15.75" customHeight="1" x14ac:dyDescent="0.25">
      <c r="A1372" s="23"/>
      <c r="B1372" s="23" t="str">
        <f t="shared" si="6"/>
        <v/>
      </c>
      <c r="C1372" s="23"/>
      <c r="D1372" s="44"/>
      <c r="E1372" s="23"/>
      <c r="F1372" s="45"/>
      <c r="G1372" s="23"/>
      <c r="H1372" s="23"/>
      <c r="I1372" s="23"/>
      <c r="J1372" s="25"/>
      <c r="K1372" s="23"/>
      <c r="L1372" s="23"/>
      <c r="M1372" s="23"/>
      <c r="N1372" s="26"/>
      <c r="O1372" s="26"/>
      <c r="P1372" s="26"/>
      <c r="Q1372" s="26"/>
      <c r="R1372" s="26"/>
      <c r="S1372" s="26"/>
      <c r="T1372" s="26"/>
      <c r="U1372" s="26"/>
      <c r="V1372" s="26"/>
      <c r="W1372" s="27"/>
    </row>
    <row r="1373" spans="1:23" ht="15.75" customHeight="1" x14ac:dyDescent="0.25">
      <c r="A1373" s="23"/>
      <c r="B1373" s="23" t="str">
        <f t="shared" si="6"/>
        <v/>
      </c>
      <c r="C1373" s="23"/>
      <c r="D1373" s="44"/>
      <c r="E1373" s="23"/>
      <c r="F1373" s="45"/>
      <c r="G1373" s="23"/>
      <c r="H1373" s="23"/>
      <c r="I1373" s="23"/>
      <c r="J1373" s="25"/>
      <c r="K1373" s="23"/>
      <c r="L1373" s="23"/>
      <c r="M1373" s="23"/>
      <c r="N1373" s="26"/>
      <c r="O1373" s="26"/>
      <c r="P1373" s="26"/>
      <c r="Q1373" s="26"/>
      <c r="R1373" s="26"/>
      <c r="S1373" s="26"/>
      <c r="T1373" s="26"/>
      <c r="U1373" s="26"/>
      <c r="V1373" s="26"/>
      <c r="W1373" s="27"/>
    </row>
    <row r="1374" spans="1:23" ht="15.75" customHeight="1" x14ac:dyDescent="0.25">
      <c r="A1374" s="23"/>
      <c r="B1374" s="23" t="str">
        <f t="shared" si="6"/>
        <v/>
      </c>
      <c r="C1374" s="23"/>
      <c r="D1374" s="44"/>
      <c r="E1374" s="23"/>
      <c r="F1374" s="45"/>
      <c r="G1374" s="23"/>
      <c r="H1374" s="23"/>
      <c r="I1374" s="23"/>
      <c r="J1374" s="25"/>
      <c r="K1374" s="23"/>
      <c r="L1374" s="23"/>
      <c r="M1374" s="23"/>
      <c r="N1374" s="26"/>
      <c r="O1374" s="26"/>
      <c r="P1374" s="26"/>
      <c r="Q1374" s="26"/>
      <c r="R1374" s="26"/>
      <c r="S1374" s="26"/>
      <c r="T1374" s="26"/>
      <c r="U1374" s="26"/>
      <c r="V1374" s="26"/>
      <c r="W1374" s="27"/>
    </row>
    <row r="1375" spans="1:23" ht="15.75" customHeight="1" x14ac:dyDescent="0.25">
      <c r="A1375" s="23"/>
      <c r="B1375" s="23" t="str">
        <f t="shared" si="6"/>
        <v/>
      </c>
      <c r="C1375" s="23"/>
      <c r="D1375" s="44"/>
      <c r="E1375" s="23"/>
      <c r="F1375" s="45"/>
      <c r="G1375" s="23"/>
      <c r="H1375" s="23"/>
      <c r="I1375" s="23"/>
      <c r="J1375" s="25"/>
      <c r="K1375" s="23"/>
      <c r="L1375" s="23"/>
      <c r="M1375" s="23"/>
      <c r="N1375" s="26"/>
      <c r="O1375" s="26"/>
      <c r="P1375" s="26"/>
      <c r="Q1375" s="26"/>
      <c r="R1375" s="26"/>
      <c r="S1375" s="26"/>
      <c r="T1375" s="26"/>
      <c r="U1375" s="26"/>
      <c r="V1375" s="26"/>
      <c r="W1375" s="27"/>
    </row>
    <row r="1376" spans="1:23" ht="15.75" customHeight="1" x14ac:dyDescent="0.25">
      <c r="A1376" s="23"/>
      <c r="B1376" s="23" t="str">
        <f t="shared" si="6"/>
        <v/>
      </c>
      <c r="C1376" s="23"/>
      <c r="D1376" s="44"/>
      <c r="E1376" s="23"/>
      <c r="F1376" s="45"/>
      <c r="G1376" s="23"/>
      <c r="H1376" s="23"/>
      <c r="I1376" s="23"/>
      <c r="J1376" s="25"/>
      <c r="K1376" s="23"/>
      <c r="L1376" s="23"/>
      <c r="M1376" s="23"/>
      <c r="N1376" s="26"/>
      <c r="O1376" s="26"/>
      <c r="P1376" s="26"/>
      <c r="Q1376" s="26"/>
      <c r="R1376" s="26"/>
      <c r="S1376" s="26"/>
      <c r="T1376" s="26"/>
      <c r="U1376" s="26"/>
      <c r="V1376" s="26"/>
      <c r="W1376" s="27"/>
    </row>
    <row r="1377" spans="1:23" ht="15.75" customHeight="1" x14ac:dyDescent="0.25">
      <c r="A1377" s="23"/>
      <c r="B1377" s="23" t="str">
        <f t="shared" si="6"/>
        <v/>
      </c>
      <c r="C1377" s="23"/>
      <c r="D1377" s="44"/>
      <c r="E1377" s="23"/>
      <c r="F1377" s="45"/>
      <c r="G1377" s="23"/>
      <c r="H1377" s="23"/>
      <c r="I1377" s="23"/>
      <c r="J1377" s="25"/>
      <c r="K1377" s="23"/>
      <c r="L1377" s="23"/>
      <c r="M1377" s="23"/>
      <c r="N1377" s="26"/>
      <c r="O1377" s="26"/>
      <c r="P1377" s="26"/>
      <c r="Q1377" s="26"/>
      <c r="R1377" s="26"/>
      <c r="S1377" s="26"/>
      <c r="T1377" s="26"/>
      <c r="U1377" s="26"/>
      <c r="V1377" s="26"/>
      <c r="W1377" s="27"/>
    </row>
    <row r="1378" spans="1:23" ht="15.75" customHeight="1" x14ac:dyDescent="0.25">
      <c r="A1378" s="23"/>
      <c r="B1378" s="23" t="str">
        <f t="shared" si="6"/>
        <v/>
      </c>
      <c r="C1378" s="23"/>
      <c r="D1378" s="44"/>
      <c r="E1378" s="23"/>
      <c r="F1378" s="45"/>
      <c r="G1378" s="23"/>
      <c r="H1378" s="23"/>
      <c r="I1378" s="23"/>
      <c r="J1378" s="25"/>
      <c r="K1378" s="23"/>
      <c r="L1378" s="23"/>
      <c r="M1378" s="23"/>
      <c r="N1378" s="26"/>
      <c r="O1378" s="26"/>
      <c r="P1378" s="26"/>
      <c r="Q1378" s="26"/>
      <c r="R1378" s="26"/>
      <c r="S1378" s="26"/>
      <c r="T1378" s="26"/>
      <c r="U1378" s="26"/>
      <c r="V1378" s="26"/>
      <c r="W1378" s="27"/>
    </row>
    <row r="1379" spans="1:23" ht="15.75" customHeight="1" x14ac:dyDescent="0.25">
      <c r="A1379" s="23"/>
      <c r="B1379" s="23" t="str">
        <f t="shared" si="6"/>
        <v/>
      </c>
      <c r="C1379" s="23"/>
      <c r="D1379" s="44"/>
      <c r="E1379" s="23"/>
      <c r="F1379" s="45"/>
      <c r="G1379" s="23"/>
      <c r="H1379" s="23"/>
      <c r="I1379" s="23"/>
      <c r="J1379" s="25"/>
      <c r="K1379" s="23"/>
      <c r="L1379" s="23"/>
      <c r="M1379" s="23"/>
      <c r="N1379" s="26"/>
      <c r="O1379" s="26"/>
      <c r="P1379" s="26"/>
      <c r="Q1379" s="26"/>
      <c r="R1379" s="26"/>
      <c r="S1379" s="26"/>
      <c r="T1379" s="26"/>
      <c r="U1379" s="26"/>
      <c r="V1379" s="26"/>
      <c r="W1379" s="27"/>
    </row>
    <row r="1380" spans="1:23" ht="15.75" customHeight="1" x14ac:dyDescent="0.25">
      <c r="A1380" s="23"/>
      <c r="B1380" s="23" t="str">
        <f t="shared" si="6"/>
        <v/>
      </c>
      <c r="C1380" s="23"/>
      <c r="D1380" s="44"/>
      <c r="E1380" s="23"/>
      <c r="F1380" s="45"/>
      <c r="G1380" s="23"/>
      <c r="H1380" s="23"/>
      <c r="I1380" s="23"/>
      <c r="J1380" s="25"/>
      <c r="K1380" s="23"/>
      <c r="L1380" s="23"/>
      <c r="M1380" s="23"/>
      <c r="N1380" s="26"/>
      <c r="O1380" s="26"/>
      <c r="P1380" s="26"/>
      <c r="Q1380" s="26"/>
      <c r="R1380" s="26"/>
      <c r="S1380" s="26"/>
      <c r="T1380" s="26"/>
      <c r="U1380" s="26"/>
      <c r="V1380" s="26"/>
      <c r="W1380" s="27"/>
    </row>
    <row r="1381" spans="1:23" ht="15.75" customHeight="1" x14ac:dyDescent="0.25">
      <c r="A1381" s="23"/>
      <c r="B1381" s="23" t="str">
        <f t="shared" si="6"/>
        <v/>
      </c>
      <c r="C1381" s="23"/>
      <c r="D1381" s="44"/>
      <c r="E1381" s="23"/>
      <c r="F1381" s="45"/>
      <c r="G1381" s="23"/>
      <c r="H1381" s="23"/>
      <c r="I1381" s="23"/>
      <c r="J1381" s="25"/>
      <c r="K1381" s="23"/>
      <c r="L1381" s="23"/>
      <c r="M1381" s="23"/>
      <c r="N1381" s="26"/>
      <c r="O1381" s="26"/>
      <c r="P1381" s="26"/>
      <c r="Q1381" s="26"/>
      <c r="R1381" s="26"/>
      <c r="S1381" s="26"/>
      <c r="T1381" s="26"/>
      <c r="U1381" s="26"/>
      <c r="V1381" s="26"/>
      <c r="W1381" s="27"/>
    </row>
    <row r="1382" spans="1:23" ht="15.75" customHeight="1" x14ac:dyDescent="0.25">
      <c r="A1382" s="23"/>
      <c r="B1382" s="23" t="str">
        <f t="shared" si="6"/>
        <v/>
      </c>
      <c r="C1382" s="23"/>
      <c r="D1382" s="44"/>
      <c r="E1382" s="23"/>
      <c r="F1382" s="45"/>
      <c r="G1382" s="23"/>
      <c r="H1382" s="23"/>
      <c r="I1382" s="23"/>
      <c r="J1382" s="25"/>
      <c r="K1382" s="23"/>
      <c r="L1382" s="23"/>
      <c r="M1382" s="23"/>
      <c r="N1382" s="26"/>
      <c r="O1382" s="26"/>
      <c r="P1382" s="26"/>
      <c r="Q1382" s="26"/>
      <c r="R1382" s="26"/>
      <c r="S1382" s="26"/>
      <c r="T1382" s="26"/>
      <c r="U1382" s="26"/>
      <c r="V1382" s="26"/>
      <c r="W1382" s="27"/>
    </row>
    <row r="1383" spans="1:23" ht="15.75" customHeight="1" x14ac:dyDescent="0.25">
      <c r="A1383" s="23"/>
      <c r="B1383" s="23" t="str">
        <f t="shared" si="6"/>
        <v/>
      </c>
      <c r="C1383" s="23"/>
      <c r="D1383" s="44"/>
      <c r="E1383" s="23"/>
      <c r="F1383" s="45"/>
      <c r="G1383" s="23"/>
      <c r="H1383" s="23"/>
      <c r="I1383" s="23"/>
      <c r="J1383" s="25"/>
      <c r="K1383" s="23"/>
      <c r="L1383" s="23"/>
      <c r="M1383" s="23"/>
      <c r="N1383" s="26"/>
      <c r="O1383" s="26"/>
      <c r="P1383" s="26"/>
      <c r="Q1383" s="26"/>
      <c r="R1383" s="26"/>
      <c r="S1383" s="26"/>
      <c r="T1383" s="26"/>
      <c r="U1383" s="26"/>
      <c r="V1383" s="26"/>
      <c r="W1383" s="27"/>
    </row>
    <row r="1384" spans="1:23" ht="15.75" customHeight="1" x14ac:dyDescent="0.25">
      <c r="A1384" s="23"/>
      <c r="B1384" s="23" t="str">
        <f t="shared" si="6"/>
        <v/>
      </c>
      <c r="C1384" s="23"/>
      <c r="D1384" s="44"/>
      <c r="E1384" s="23"/>
      <c r="F1384" s="45"/>
      <c r="G1384" s="23"/>
      <c r="H1384" s="23"/>
      <c r="I1384" s="23"/>
      <c r="J1384" s="25"/>
      <c r="K1384" s="23"/>
      <c r="L1384" s="23"/>
      <c r="M1384" s="23"/>
      <c r="N1384" s="26"/>
      <c r="O1384" s="26"/>
      <c r="P1384" s="26"/>
      <c r="Q1384" s="26"/>
      <c r="R1384" s="26"/>
      <c r="S1384" s="26"/>
      <c r="T1384" s="26"/>
      <c r="U1384" s="26"/>
      <c r="V1384" s="26"/>
      <c r="W1384" s="27"/>
    </row>
    <row r="1385" spans="1:23" ht="15.75" customHeight="1" x14ac:dyDescent="0.25">
      <c r="A1385" s="23"/>
      <c r="B1385" s="23" t="str">
        <f t="shared" si="6"/>
        <v/>
      </c>
      <c r="C1385" s="23"/>
      <c r="D1385" s="44"/>
      <c r="E1385" s="23"/>
      <c r="F1385" s="45"/>
      <c r="G1385" s="23"/>
      <c r="H1385" s="23"/>
      <c r="I1385" s="23"/>
      <c r="J1385" s="25"/>
      <c r="K1385" s="23"/>
      <c r="L1385" s="23"/>
      <c r="M1385" s="23"/>
      <c r="N1385" s="26"/>
      <c r="O1385" s="26"/>
      <c r="P1385" s="26"/>
      <c r="Q1385" s="26"/>
      <c r="R1385" s="26"/>
      <c r="S1385" s="26"/>
      <c r="T1385" s="26"/>
      <c r="U1385" s="26"/>
      <c r="V1385" s="26"/>
      <c r="W1385" s="27"/>
    </row>
    <row r="1386" spans="1:23" ht="15.75" customHeight="1" x14ac:dyDescent="0.25">
      <c r="A1386" s="23"/>
      <c r="B1386" s="23" t="str">
        <f t="shared" si="6"/>
        <v/>
      </c>
      <c r="C1386" s="23"/>
      <c r="D1386" s="44"/>
      <c r="E1386" s="23"/>
      <c r="F1386" s="45"/>
      <c r="G1386" s="23"/>
      <c r="H1386" s="23"/>
      <c r="I1386" s="23"/>
      <c r="J1386" s="25"/>
      <c r="K1386" s="23"/>
      <c r="L1386" s="23"/>
      <c r="M1386" s="23"/>
      <c r="N1386" s="26"/>
      <c r="O1386" s="26"/>
      <c r="P1386" s="26"/>
      <c r="Q1386" s="26"/>
      <c r="R1386" s="26"/>
      <c r="S1386" s="26"/>
      <c r="T1386" s="26"/>
      <c r="U1386" s="26"/>
      <c r="V1386" s="26"/>
      <c r="W1386" s="27"/>
    </row>
    <row r="1387" spans="1:23" ht="15.75" customHeight="1" x14ac:dyDescent="0.25">
      <c r="A1387" s="23"/>
      <c r="B1387" s="23" t="str">
        <f t="shared" si="6"/>
        <v/>
      </c>
      <c r="C1387" s="23"/>
      <c r="D1387" s="44"/>
      <c r="E1387" s="23"/>
      <c r="F1387" s="45"/>
      <c r="G1387" s="23"/>
      <c r="H1387" s="23"/>
      <c r="I1387" s="23"/>
      <c r="J1387" s="25"/>
      <c r="K1387" s="23"/>
      <c r="L1387" s="23"/>
      <c r="M1387" s="23"/>
      <c r="N1387" s="26"/>
      <c r="O1387" s="26"/>
      <c r="P1387" s="26"/>
      <c r="Q1387" s="26"/>
      <c r="R1387" s="26"/>
      <c r="S1387" s="26"/>
      <c r="T1387" s="26"/>
      <c r="U1387" s="26"/>
      <c r="V1387" s="26"/>
      <c r="W1387" s="27"/>
    </row>
    <row r="1388" spans="1:23" ht="15.75" customHeight="1" x14ac:dyDescent="0.25">
      <c r="A1388" s="23"/>
      <c r="B1388" s="23" t="str">
        <f t="shared" si="6"/>
        <v/>
      </c>
      <c r="C1388" s="23"/>
      <c r="D1388" s="44"/>
      <c r="E1388" s="23"/>
      <c r="F1388" s="45"/>
      <c r="G1388" s="23"/>
      <c r="H1388" s="23"/>
      <c r="I1388" s="23"/>
      <c r="J1388" s="25"/>
      <c r="K1388" s="23"/>
      <c r="L1388" s="23"/>
      <c r="M1388" s="23"/>
      <c r="N1388" s="26"/>
      <c r="O1388" s="26"/>
      <c r="P1388" s="26"/>
      <c r="Q1388" s="26"/>
      <c r="R1388" s="26"/>
      <c r="S1388" s="26"/>
      <c r="T1388" s="26"/>
      <c r="U1388" s="26"/>
      <c r="V1388" s="26"/>
      <c r="W1388" s="27"/>
    </row>
    <row r="1389" spans="1:23" ht="15.75" customHeight="1" x14ac:dyDescent="0.25">
      <c r="A1389" s="23"/>
      <c r="B1389" s="23" t="str">
        <f t="shared" si="6"/>
        <v/>
      </c>
      <c r="C1389" s="23"/>
      <c r="D1389" s="44"/>
      <c r="E1389" s="23"/>
      <c r="F1389" s="45"/>
      <c r="G1389" s="23"/>
      <c r="H1389" s="23"/>
      <c r="I1389" s="23"/>
      <c r="J1389" s="25"/>
      <c r="K1389" s="23"/>
      <c r="L1389" s="23"/>
      <c r="M1389" s="23"/>
      <c r="N1389" s="26"/>
      <c r="O1389" s="26"/>
      <c r="P1389" s="26"/>
      <c r="Q1389" s="26"/>
      <c r="R1389" s="26"/>
      <c r="S1389" s="26"/>
      <c r="T1389" s="26"/>
      <c r="U1389" s="26"/>
      <c r="V1389" s="26"/>
      <c r="W1389" s="27"/>
    </row>
    <row r="1390" spans="1:23" ht="15.75" customHeight="1" x14ac:dyDescent="0.25">
      <c r="A1390" s="23"/>
      <c r="B1390" s="23" t="str">
        <f t="shared" si="6"/>
        <v/>
      </c>
      <c r="C1390" s="23"/>
      <c r="D1390" s="44"/>
      <c r="E1390" s="23"/>
      <c r="F1390" s="45"/>
      <c r="G1390" s="23"/>
      <c r="H1390" s="23"/>
      <c r="I1390" s="23"/>
      <c r="J1390" s="25"/>
      <c r="K1390" s="23"/>
      <c r="L1390" s="23"/>
      <c r="M1390" s="23"/>
      <c r="N1390" s="26"/>
      <c r="O1390" s="26"/>
      <c r="P1390" s="26"/>
      <c r="Q1390" s="26"/>
      <c r="R1390" s="26"/>
      <c r="S1390" s="26"/>
      <c r="T1390" s="26"/>
      <c r="U1390" s="26"/>
      <c r="V1390" s="26"/>
      <c r="W1390" s="27"/>
    </row>
    <row r="1391" spans="1:23" ht="15.75" customHeight="1" x14ac:dyDescent="0.25">
      <c r="A1391" s="23"/>
      <c r="B1391" s="23" t="str">
        <f t="shared" si="6"/>
        <v/>
      </c>
      <c r="C1391" s="23"/>
      <c r="D1391" s="44"/>
      <c r="E1391" s="23"/>
      <c r="F1391" s="45"/>
      <c r="G1391" s="23"/>
      <c r="H1391" s="23"/>
      <c r="I1391" s="23"/>
      <c r="J1391" s="25"/>
      <c r="K1391" s="23"/>
      <c r="L1391" s="23"/>
      <c r="M1391" s="23"/>
      <c r="N1391" s="26"/>
      <c r="O1391" s="26"/>
      <c r="P1391" s="26"/>
      <c r="Q1391" s="26"/>
      <c r="R1391" s="26"/>
      <c r="S1391" s="26"/>
      <c r="T1391" s="26"/>
      <c r="U1391" s="26"/>
      <c r="V1391" s="26"/>
      <c r="W1391" s="27"/>
    </row>
    <row r="1392" spans="1:23" ht="15.75" customHeight="1" x14ac:dyDescent="0.25">
      <c r="A1392" s="23"/>
      <c r="B1392" s="23" t="str">
        <f t="shared" si="6"/>
        <v/>
      </c>
      <c r="C1392" s="23"/>
      <c r="D1392" s="44"/>
      <c r="E1392" s="23"/>
      <c r="F1392" s="45"/>
      <c r="G1392" s="23"/>
      <c r="H1392" s="23"/>
      <c r="I1392" s="23"/>
      <c r="J1392" s="25"/>
      <c r="K1392" s="23"/>
      <c r="L1392" s="23"/>
      <c r="M1392" s="23"/>
      <c r="N1392" s="26"/>
      <c r="O1392" s="26"/>
      <c r="P1392" s="26"/>
      <c r="Q1392" s="26"/>
      <c r="R1392" s="26"/>
      <c r="S1392" s="26"/>
      <c r="T1392" s="26"/>
      <c r="U1392" s="26"/>
      <c r="V1392" s="26"/>
      <c r="W1392" s="27"/>
    </row>
    <row r="1393" spans="1:23" ht="15.75" customHeight="1" x14ac:dyDescent="0.25">
      <c r="A1393" s="23"/>
      <c r="B1393" s="23" t="str">
        <f t="shared" si="6"/>
        <v/>
      </c>
      <c r="C1393" s="23"/>
      <c r="D1393" s="44"/>
      <c r="E1393" s="23"/>
      <c r="F1393" s="45"/>
      <c r="G1393" s="23"/>
      <c r="H1393" s="23"/>
      <c r="I1393" s="23"/>
      <c r="J1393" s="25"/>
      <c r="K1393" s="23"/>
      <c r="L1393" s="23"/>
      <c r="M1393" s="23"/>
      <c r="N1393" s="26"/>
      <c r="O1393" s="26"/>
      <c r="P1393" s="26"/>
      <c r="Q1393" s="26"/>
      <c r="R1393" s="26"/>
      <c r="S1393" s="26"/>
      <c r="T1393" s="26"/>
      <c r="U1393" s="26"/>
      <c r="V1393" s="26"/>
      <c r="W1393" s="27"/>
    </row>
    <row r="1394" spans="1:23" ht="15.75" customHeight="1" x14ac:dyDescent="0.25">
      <c r="A1394" s="23"/>
      <c r="B1394" s="23" t="str">
        <f t="shared" si="6"/>
        <v/>
      </c>
      <c r="C1394" s="23"/>
      <c r="D1394" s="44"/>
      <c r="E1394" s="23"/>
      <c r="F1394" s="45"/>
      <c r="G1394" s="23"/>
      <c r="H1394" s="23"/>
      <c r="I1394" s="23"/>
      <c r="J1394" s="25"/>
      <c r="K1394" s="23"/>
      <c r="L1394" s="23"/>
      <c r="M1394" s="23"/>
      <c r="N1394" s="26"/>
      <c r="O1394" s="26"/>
      <c r="P1394" s="26"/>
      <c r="Q1394" s="26"/>
      <c r="R1394" s="26"/>
      <c r="S1394" s="26"/>
      <c r="T1394" s="26"/>
      <c r="U1394" s="26"/>
      <c r="V1394" s="26"/>
      <c r="W1394" s="27"/>
    </row>
    <row r="1395" spans="1:23" ht="15.75" customHeight="1" x14ac:dyDescent="0.25">
      <c r="A1395" s="23"/>
      <c r="B1395" s="23" t="str">
        <f t="shared" si="6"/>
        <v/>
      </c>
      <c r="C1395" s="23"/>
      <c r="D1395" s="44"/>
      <c r="E1395" s="23"/>
      <c r="F1395" s="45"/>
      <c r="G1395" s="23"/>
      <c r="H1395" s="23"/>
      <c r="I1395" s="23"/>
      <c r="J1395" s="25"/>
      <c r="K1395" s="23"/>
      <c r="L1395" s="23"/>
      <c r="M1395" s="23"/>
      <c r="N1395" s="26"/>
      <c r="O1395" s="26"/>
      <c r="P1395" s="26"/>
      <c r="Q1395" s="26"/>
      <c r="R1395" s="26"/>
      <c r="S1395" s="26"/>
      <c r="T1395" s="26"/>
      <c r="U1395" s="26"/>
      <c r="V1395" s="26"/>
      <c r="W1395" s="27"/>
    </row>
    <row r="1396" spans="1:23" ht="15.75" customHeight="1" x14ac:dyDescent="0.25">
      <c r="A1396" s="23"/>
      <c r="B1396" s="23" t="str">
        <f t="shared" si="6"/>
        <v/>
      </c>
      <c r="C1396" s="23"/>
      <c r="D1396" s="44"/>
      <c r="E1396" s="23"/>
      <c r="F1396" s="45"/>
      <c r="G1396" s="23"/>
      <c r="H1396" s="23"/>
      <c r="I1396" s="23"/>
      <c r="J1396" s="25"/>
      <c r="K1396" s="23"/>
      <c r="L1396" s="23"/>
      <c r="M1396" s="23"/>
      <c r="N1396" s="26"/>
      <c r="O1396" s="26"/>
      <c r="P1396" s="26"/>
      <c r="Q1396" s="26"/>
      <c r="R1396" s="26"/>
      <c r="S1396" s="26"/>
      <c r="T1396" s="26"/>
      <c r="U1396" s="26"/>
      <c r="V1396" s="26"/>
      <c r="W1396" s="27"/>
    </row>
    <row r="1397" spans="1:23" ht="15.75" customHeight="1" x14ac:dyDescent="0.25">
      <c r="A1397" s="23"/>
      <c r="B1397" s="23" t="str">
        <f t="shared" si="6"/>
        <v/>
      </c>
      <c r="C1397" s="23"/>
      <c r="D1397" s="44"/>
      <c r="E1397" s="23"/>
      <c r="F1397" s="45"/>
      <c r="G1397" s="23"/>
      <c r="H1397" s="23"/>
      <c r="I1397" s="23"/>
      <c r="J1397" s="25"/>
      <c r="K1397" s="23"/>
      <c r="L1397" s="23"/>
      <c r="M1397" s="23"/>
      <c r="N1397" s="26"/>
      <c r="O1397" s="26"/>
      <c r="P1397" s="26"/>
      <c r="Q1397" s="26"/>
      <c r="R1397" s="26"/>
      <c r="S1397" s="26"/>
      <c r="T1397" s="26"/>
      <c r="U1397" s="26"/>
      <c r="V1397" s="26"/>
      <c r="W1397" s="27"/>
    </row>
    <row r="1398" spans="1:23" ht="15.75" customHeight="1" x14ac:dyDescent="0.25">
      <c r="A1398" s="23"/>
      <c r="B1398" s="23" t="str">
        <f t="shared" si="6"/>
        <v/>
      </c>
      <c r="C1398" s="23"/>
      <c r="D1398" s="44"/>
      <c r="E1398" s="23"/>
      <c r="F1398" s="45"/>
      <c r="G1398" s="23"/>
      <c r="H1398" s="23"/>
      <c r="I1398" s="23"/>
      <c r="J1398" s="25"/>
      <c r="K1398" s="23"/>
      <c r="L1398" s="23"/>
      <c r="M1398" s="23"/>
      <c r="N1398" s="26"/>
      <c r="O1398" s="26"/>
      <c r="P1398" s="26"/>
      <c r="Q1398" s="26"/>
      <c r="R1398" s="26"/>
      <c r="S1398" s="26"/>
      <c r="T1398" s="26"/>
      <c r="U1398" s="26"/>
      <c r="V1398" s="26"/>
      <c r="W1398" s="27"/>
    </row>
    <row r="1399" spans="1:23" ht="15.75" customHeight="1" x14ac:dyDescent="0.25">
      <c r="A1399" s="23"/>
      <c r="B1399" s="23" t="str">
        <f t="shared" si="6"/>
        <v/>
      </c>
      <c r="C1399" s="23"/>
      <c r="D1399" s="44"/>
      <c r="E1399" s="23"/>
      <c r="F1399" s="45"/>
      <c r="G1399" s="23"/>
      <c r="H1399" s="23"/>
      <c r="I1399" s="23"/>
      <c r="J1399" s="25"/>
      <c r="K1399" s="23"/>
      <c r="L1399" s="23"/>
      <c r="M1399" s="23"/>
      <c r="N1399" s="26"/>
      <c r="O1399" s="26"/>
      <c r="P1399" s="26"/>
      <c r="Q1399" s="26"/>
      <c r="R1399" s="26"/>
      <c r="S1399" s="26"/>
      <c r="T1399" s="26"/>
      <c r="U1399" s="26"/>
      <c r="V1399" s="26"/>
      <c r="W1399" s="27"/>
    </row>
    <row r="1400" spans="1:23" ht="15.75" customHeight="1" x14ac:dyDescent="0.25">
      <c r="A1400" s="23"/>
      <c r="B1400" s="23" t="str">
        <f t="shared" si="6"/>
        <v/>
      </c>
      <c r="C1400" s="23"/>
      <c r="D1400" s="44"/>
      <c r="E1400" s="23"/>
      <c r="F1400" s="45"/>
      <c r="G1400" s="23"/>
      <c r="H1400" s="23"/>
      <c r="I1400" s="23"/>
      <c r="J1400" s="25"/>
      <c r="K1400" s="23"/>
      <c r="L1400" s="23"/>
      <c r="M1400" s="23"/>
      <c r="N1400" s="26"/>
      <c r="O1400" s="26"/>
      <c r="P1400" s="26"/>
      <c r="Q1400" s="26"/>
      <c r="R1400" s="26"/>
      <c r="S1400" s="26"/>
      <c r="T1400" s="26"/>
      <c r="U1400" s="26"/>
      <c r="V1400" s="26"/>
      <c r="W1400" s="27"/>
    </row>
    <row r="1401" spans="1:23" ht="15.75" customHeight="1" x14ac:dyDescent="0.25">
      <c r="A1401" s="23"/>
      <c r="B1401" s="23" t="str">
        <f t="shared" si="6"/>
        <v/>
      </c>
      <c r="C1401" s="23"/>
      <c r="D1401" s="44"/>
      <c r="E1401" s="23"/>
      <c r="F1401" s="45"/>
      <c r="G1401" s="23"/>
      <c r="H1401" s="23"/>
      <c r="I1401" s="23"/>
      <c r="J1401" s="25"/>
      <c r="K1401" s="23"/>
      <c r="L1401" s="23"/>
      <c r="M1401" s="23"/>
      <c r="N1401" s="26"/>
      <c r="O1401" s="26"/>
      <c r="P1401" s="26"/>
      <c r="Q1401" s="26"/>
      <c r="R1401" s="26"/>
      <c r="S1401" s="26"/>
      <c r="T1401" s="26"/>
      <c r="U1401" s="26"/>
      <c r="V1401" s="26"/>
      <c r="W1401" s="27"/>
    </row>
    <row r="1402" spans="1:23" ht="15.75" customHeight="1" x14ac:dyDescent="0.25">
      <c r="A1402" s="23"/>
      <c r="B1402" s="23" t="str">
        <f t="shared" si="6"/>
        <v/>
      </c>
      <c r="C1402" s="23"/>
      <c r="D1402" s="44"/>
      <c r="E1402" s="23"/>
      <c r="F1402" s="45"/>
      <c r="G1402" s="23"/>
      <c r="H1402" s="23"/>
      <c r="I1402" s="23"/>
      <c r="J1402" s="25"/>
      <c r="K1402" s="23"/>
      <c r="L1402" s="23"/>
      <c r="M1402" s="23"/>
      <c r="N1402" s="26"/>
      <c r="O1402" s="26"/>
      <c r="P1402" s="26"/>
      <c r="Q1402" s="26"/>
      <c r="R1402" s="26"/>
      <c r="S1402" s="26"/>
      <c r="T1402" s="26"/>
      <c r="U1402" s="26"/>
      <c r="V1402" s="26"/>
      <c r="W1402" s="27"/>
    </row>
    <row r="1403" spans="1:23" ht="15.75" customHeight="1" x14ac:dyDescent="0.25">
      <c r="A1403" s="23"/>
      <c r="B1403" s="23" t="str">
        <f t="shared" si="6"/>
        <v/>
      </c>
      <c r="C1403" s="23"/>
      <c r="D1403" s="44"/>
      <c r="E1403" s="23"/>
      <c r="F1403" s="45"/>
      <c r="G1403" s="23"/>
      <c r="H1403" s="23"/>
      <c r="I1403" s="23"/>
      <c r="J1403" s="25"/>
      <c r="K1403" s="23"/>
      <c r="L1403" s="23"/>
      <c r="M1403" s="23"/>
      <c r="N1403" s="26"/>
      <c r="O1403" s="26"/>
      <c r="P1403" s="26"/>
      <c r="Q1403" s="26"/>
      <c r="R1403" s="26"/>
      <c r="S1403" s="26"/>
      <c r="T1403" s="26"/>
      <c r="U1403" s="26"/>
      <c r="V1403" s="26"/>
      <c r="W1403" s="27"/>
    </row>
    <row r="1404" spans="1:23" ht="15.75" customHeight="1" x14ac:dyDescent="0.25">
      <c r="A1404" s="23"/>
      <c r="B1404" s="23" t="str">
        <f t="shared" si="6"/>
        <v/>
      </c>
      <c r="C1404" s="23"/>
      <c r="D1404" s="44"/>
      <c r="E1404" s="23"/>
      <c r="F1404" s="45"/>
      <c r="G1404" s="23"/>
      <c r="H1404" s="23"/>
      <c r="I1404" s="23"/>
      <c r="J1404" s="25"/>
      <c r="K1404" s="23"/>
      <c r="L1404" s="23"/>
      <c r="M1404" s="23"/>
      <c r="N1404" s="26"/>
      <c r="O1404" s="26"/>
      <c r="P1404" s="26"/>
      <c r="Q1404" s="26"/>
      <c r="R1404" s="26"/>
      <c r="S1404" s="26"/>
      <c r="T1404" s="26"/>
      <c r="U1404" s="26"/>
      <c r="V1404" s="26"/>
      <c r="W1404" s="27"/>
    </row>
    <row r="1405" spans="1:23" ht="15.75" customHeight="1" x14ac:dyDescent="0.25">
      <c r="A1405" s="23"/>
      <c r="B1405" s="23" t="str">
        <f t="shared" si="6"/>
        <v/>
      </c>
      <c r="C1405" s="23"/>
      <c r="D1405" s="44"/>
      <c r="E1405" s="23"/>
      <c r="F1405" s="45"/>
      <c r="G1405" s="23"/>
      <c r="H1405" s="23"/>
      <c r="I1405" s="23"/>
      <c r="J1405" s="25"/>
      <c r="K1405" s="23"/>
      <c r="L1405" s="23"/>
      <c r="M1405" s="23"/>
      <c r="N1405" s="26"/>
      <c r="O1405" s="26"/>
      <c r="P1405" s="26"/>
      <c r="Q1405" s="26"/>
      <c r="R1405" s="26"/>
      <c r="S1405" s="26"/>
      <c r="T1405" s="26"/>
      <c r="U1405" s="26"/>
      <c r="V1405" s="26"/>
      <c r="W1405" s="27"/>
    </row>
    <row r="1406" spans="1:23" ht="15.75" customHeight="1" x14ac:dyDescent="0.25">
      <c r="A1406" s="23"/>
      <c r="B1406" s="23" t="str">
        <f t="shared" si="6"/>
        <v/>
      </c>
      <c r="C1406" s="23"/>
      <c r="D1406" s="44"/>
      <c r="E1406" s="23"/>
      <c r="F1406" s="45"/>
      <c r="G1406" s="23"/>
      <c r="H1406" s="23"/>
      <c r="I1406" s="23"/>
      <c r="J1406" s="25"/>
      <c r="K1406" s="23"/>
      <c r="L1406" s="23"/>
      <c r="M1406" s="23"/>
      <c r="N1406" s="26"/>
      <c r="O1406" s="26"/>
      <c r="P1406" s="26"/>
      <c r="Q1406" s="26"/>
      <c r="R1406" s="26"/>
      <c r="S1406" s="26"/>
      <c r="T1406" s="26"/>
      <c r="U1406" s="26"/>
      <c r="V1406" s="26"/>
      <c r="W1406" s="27"/>
    </row>
    <row r="1407" spans="1:23" ht="15.75" customHeight="1" x14ac:dyDescent="0.25">
      <c r="A1407" s="23"/>
      <c r="B1407" s="23" t="str">
        <f t="shared" si="6"/>
        <v/>
      </c>
      <c r="C1407" s="23"/>
      <c r="D1407" s="44"/>
      <c r="E1407" s="23"/>
      <c r="F1407" s="45"/>
      <c r="G1407" s="23"/>
      <c r="H1407" s="23"/>
      <c r="I1407" s="23"/>
      <c r="J1407" s="25"/>
      <c r="K1407" s="23"/>
      <c r="L1407" s="23"/>
      <c r="M1407" s="23"/>
      <c r="N1407" s="26"/>
      <c r="O1407" s="26"/>
      <c r="P1407" s="26"/>
      <c r="Q1407" s="26"/>
      <c r="R1407" s="26"/>
      <c r="S1407" s="26"/>
      <c r="T1407" s="26"/>
      <c r="U1407" s="26"/>
      <c r="V1407" s="26"/>
      <c r="W1407" s="27"/>
    </row>
    <row r="1408" spans="1:23" ht="15.75" customHeight="1" x14ac:dyDescent="0.25">
      <c r="A1408" s="23"/>
      <c r="B1408" s="23" t="str">
        <f t="shared" si="6"/>
        <v/>
      </c>
      <c r="C1408" s="23"/>
      <c r="D1408" s="44"/>
      <c r="E1408" s="23"/>
      <c r="F1408" s="45"/>
      <c r="G1408" s="23"/>
      <c r="H1408" s="23"/>
      <c r="I1408" s="23"/>
      <c r="J1408" s="25"/>
      <c r="K1408" s="23"/>
      <c r="L1408" s="23"/>
      <c r="M1408" s="23"/>
      <c r="N1408" s="26"/>
      <c r="O1408" s="26"/>
      <c r="P1408" s="26"/>
      <c r="Q1408" s="26"/>
      <c r="R1408" s="26"/>
      <c r="S1408" s="26"/>
      <c r="T1408" s="26"/>
      <c r="U1408" s="26"/>
      <c r="V1408" s="26"/>
      <c r="W1408" s="27"/>
    </row>
    <row r="1409" spans="1:23" ht="15.75" customHeight="1" x14ac:dyDescent="0.25">
      <c r="A1409" s="23"/>
      <c r="B1409" s="23" t="str">
        <f t="shared" si="6"/>
        <v/>
      </c>
      <c r="C1409" s="23"/>
      <c r="D1409" s="44"/>
      <c r="E1409" s="23"/>
      <c r="F1409" s="45"/>
      <c r="G1409" s="23"/>
      <c r="H1409" s="23"/>
      <c r="I1409" s="23"/>
      <c r="J1409" s="25"/>
      <c r="K1409" s="23"/>
      <c r="L1409" s="23"/>
      <c r="M1409" s="23"/>
      <c r="N1409" s="26"/>
      <c r="O1409" s="26"/>
      <c r="P1409" s="26"/>
      <c r="Q1409" s="26"/>
      <c r="R1409" s="26"/>
      <c r="S1409" s="26"/>
      <c r="T1409" s="26"/>
      <c r="U1409" s="26"/>
      <c r="V1409" s="26"/>
      <c r="W1409" s="27"/>
    </row>
    <row r="1410" spans="1:23" ht="15.75" customHeight="1" x14ac:dyDescent="0.25">
      <c r="A1410" s="23"/>
      <c r="B1410" s="23" t="str">
        <f t="shared" si="6"/>
        <v/>
      </c>
      <c r="C1410" s="23"/>
      <c r="D1410" s="44"/>
      <c r="E1410" s="23"/>
      <c r="F1410" s="45"/>
      <c r="G1410" s="23"/>
      <c r="H1410" s="23"/>
      <c r="I1410" s="23"/>
      <c r="J1410" s="25"/>
      <c r="K1410" s="23"/>
      <c r="L1410" s="23"/>
      <c r="M1410" s="23"/>
      <c r="N1410" s="26"/>
      <c r="O1410" s="26"/>
      <c r="P1410" s="26"/>
      <c r="Q1410" s="26"/>
      <c r="R1410" s="26"/>
      <c r="S1410" s="26"/>
      <c r="T1410" s="26"/>
      <c r="U1410" s="26"/>
      <c r="V1410" s="26"/>
      <c r="W1410" s="27"/>
    </row>
    <row r="1411" spans="1:23" ht="15.75" customHeight="1" x14ac:dyDescent="0.25">
      <c r="A1411" s="23"/>
      <c r="B1411" s="23" t="str">
        <f t="shared" si="6"/>
        <v/>
      </c>
      <c r="C1411" s="23"/>
      <c r="D1411" s="44"/>
      <c r="E1411" s="23"/>
      <c r="F1411" s="45"/>
      <c r="G1411" s="23"/>
      <c r="H1411" s="23"/>
      <c r="I1411" s="23"/>
      <c r="J1411" s="25"/>
      <c r="K1411" s="23"/>
      <c r="L1411" s="23"/>
      <c r="M1411" s="23"/>
      <c r="N1411" s="26"/>
      <c r="O1411" s="26"/>
      <c r="P1411" s="26"/>
      <c r="Q1411" s="26"/>
      <c r="R1411" s="26"/>
      <c r="S1411" s="26"/>
      <c r="T1411" s="26"/>
      <c r="U1411" s="26"/>
      <c r="V1411" s="26"/>
      <c r="W1411" s="27"/>
    </row>
    <row r="1412" spans="1:23" ht="15.75" customHeight="1" x14ac:dyDescent="0.25">
      <c r="A1412" s="23"/>
      <c r="B1412" s="23" t="str">
        <f t="shared" si="6"/>
        <v/>
      </c>
      <c r="C1412" s="23"/>
      <c r="D1412" s="44"/>
      <c r="E1412" s="23"/>
      <c r="F1412" s="45"/>
      <c r="G1412" s="23"/>
      <c r="H1412" s="23"/>
      <c r="I1412" s="23"/>
      <c r="J1412" s="25"/>
      <c r="K1412" s="23"/>
      <c r="L1412" s="23"/>
      <c r="M1412" s="23"/>
      <c r="N1412" s="26"/>
      <c r="O1412" s="26"/>
      <c r="P1412" s="26"/>
      <c r="Q1412" s="26"/>
      <c r="R1412" s="26"/>
      <c r="S1412" s="26"/>
      <c r="T1412" s="26"/>
      <c r="U1412" s="26"/>
      <c r="V1412" s="26"/>
      <c r="W1412" s="27"/>
    </row>
    <row r="1413" spans="1:23" ht="15.75" customHeight="1" x14ac:dyDescent="0.25">
      <c r="A1413" s="23"/>
      <c r="B1413" s="23" t="str">
        <f t="shared" si="6"/>
        <v/>
      </c>
      <c r="C1413" s="23"/>
      <c r="D1413" s="44"/>
      <c r="E1413" s="23"/>
      <c r="F1413" s="45"/>
      <c r="G1413" s="23"/>
      <c r="H1413" s="23"/>
      <c r="I1413" s="23"/>
      <c r="J1413" s="25"/>
      <c r="K1413" s="23"/>
      <c r="L1413" s="23"/>
      <c r="M1413" s="23"/>
      <c r="N1413" s="26"/>
      <c r="O1413" s="26"/>
      <c r="P1413" s="26"/>
      <c r="Q1413" s="26"/>
      <c r="R1413" s="26"/>
      <c r="S1413" s="26"/>
      <c r="T1413" s="26"/>
      <c r="U1413" s="26"/>
      <c r="V1413" s="26"/>
      <c r="W1413" s="27"/>
    </row>
    <row r="1414" spans="1:23" ht="15.75" customHeight="1" x14ac:dyDescent="0.25">
      <c r="A1414" s="23"/>
      <c r="B1414" s="23" t="str">
        <f t="shared" si="6"/>
        <v/>
      </c>
      <c r="C1414" s="23"/>
      <c r="D1414" s="44"/>
      <c r="E1414" s="23"/>
      <c r="F1414" s="45"/>
      <c r="G1414" s="23"/>
      <c r="H1414" s="23"/>
      <c r="I1414" s="23"/>
      <c r="J1414" s="25"/>
      <c r="K1414" s="23"/>
      <c r="L1414" s="23"/>
      <c r="M1414" s="23"/>
      <c r="N1414" s="26"/>
      <c r="O1414" s="26"/>
      <c r="P1414" s="26"/>
      <c r="Q1414" s="26"/>
      <c r="R1414" s="26"/>
      <c r="S1414" s="26"/>
      <c r="T1414" s="26"/>
      <c r="U1414" s="26"/>
      <c r="V1414" s="26"/>
      <c r="W1414" s="27"/>
    </row>
    <row r="1415" spans="1:23" ht="15.75" customHeight="1" x14ac:dyDescent="0.25">
      <c r="A1415" s="23"/>
      <c r="B1415" s="23" t="str">
        <f t="shared" si="6"/>
        <v/>
      </c>
      <c r="C1415" s="23"/>
      <c r="D1415" s="44"/>
      <c r="E1415" s="23"/>
      <c r="F1415" s="45"/>
      <c r="G1415" s="23"/>
      <c r="H1415" s="23"/>
      <c r="I1415" s="23"/>
      <c r="J1415" s="25"/>
      <c r="K1415" s="23"/>
      <c r="L1415" s="23"/>
      <c r="M1415" s="23"/>
      <c r="N1415" s="26"/>
      <c r="O1415" s="26"/>
      <c r="P1415" s="26"/>
      <c r="Q1415" s="26"/>
      <c r="R1415" s="26"/>
      <c r="S1415" s="26"/>
      <c r="T1415" s="26"/>
      <c r="U1415" s="26"/>
      <c r="V1415" s="26"/>
      <c r="W1415" s="27"/>
    </row>
    <row r="1416" spans="1:23" ht="15.75" customHeight="1" x14ac:dyDescent="0.25">
      <c r="A1416" s="23"/>
      <c r="B1416" s="23" t="str">
        <f t="shared" si="6"/>
        <v/>
      </c>
      <c r="C1416" s="23"/>
      <c r="D1416" s="44"/>
      <c r="E1416" s="23"/>
      <c r="F1416" s="45"/>
      <c r="G1416" s="23"/>
      <c r="H1416" s="23"/>
      <c r="I1416" s="23"/>
      <c r="J1416" s="25"/>
      <c r="K1416" s="23"/>
      <c r="L1416" s="23"/>
      <c r="M1416" s="23"/>
      <c r="N1416" s="26"/>
      <c r="O1416" s="26"/>
      <c r="P1416" s="26"/>
      <c r="Q1416" s="26"/>
      <c r="R1416" s="26"/>
      <c r="S1416" s="26"/>
      <c r="T1416" s="26"/>
      <c r="U1416" s="26"/>
      <c r="V1416" s="26"/>
      <c r="W1416" s="27"/>
    </row>
    <row r="1417" spans="1:23" ht="15.75" customHeight="1" x14ac:dyDescent="0.25">
      <c r="A1417" s="23"/>
      <c r="B1417" s="23" t="str">
        <f t="shared" si="6"/>
        <v/>
      </c>
      <c r="C1417" s="23"/>
      <c r="D1417" s="44"/>
      <c r="E1417" s="23"/>
      <c r="F1417" s="45"/>
      <c r="G1417" s="23"/>
      <c r="H1417" s="23"/>
      <c r="I1417" s="23"/>
      <c r="J1417" s="25"/>
      <c r="K1417" s="23"/>
      <c r="L1417" s="23"/>
      <c r="M1417" s="23"/>
      <c r="N1417" s="26"/>
      <c r="O1417" s="26"/>
      <c r="P1417" s="26"/>
      <c r="Q1417" s="26"/>
      <c r="R1417" s="26"/>
      <c r="S1417" s="26"/>
      <c r="T1417" s="26"/>
      <c r="U1417" s="26"/>
      <c r="V1417" s="26"/>
      <c r="W1417" s="27"/>
    </row>
    <row r="1418" spans="1:23" ht="15.75" customHeight="1" x14ac:dyDescent="0.25">
      <c r="A1418" s="23"/>
      <c r="B1418" s="23" t="str">
        <f t="shared" si="6"/>
        <v/>
      </c>
      <c r="C1418" s="23"/>
      <c r="D1418" s="44"/>
      <c r="E1418" s="23"/>
      <c r="F1418" s="45"/>
      <c r="G1418" s="23"/>
      <c r="H1418" s="23"/>
      <c r="I1418" s="23"/>
      <c r="J1418" s="25"/>
      <c r="K1418" s="23"/>
      <c r="L1418" s="23"/>
      <c r="M1418" s="23"/>
      <c r="N1418" s="26"/>
      <c r="O1418" s="26"/>
      <c r="P1418" s="26"/>
      <c r="Q1418" s="26"/>
      <c r="R1418" s="26"/>
      <c r="S1418" s="26"/>
      <c r="T1418" s="26"/>
      <c r="U1418" s="26"/>
      <c r="V1418" s="26"/>
      <c r="W1418" s="27"/>
    </row>
    <row r="1419" spans="1:23" ht="15.75" customHeight="1" x14ac:dyDescent="0.25">
      <c r="A1419" s="23"/>
      <c r="B1419" s="23" t="str">
        <f t="shared" si="6"/>
        <v/>
      </c>
      <c r="C1419" s="23"/>
      <c r="D1419" s="44"/>
      <c r="E1419" s="23"/>
      <c r="F1419" s="45"/>
      <c r="G1419" s="23"/>
      <c r="H1419" s="23"/>
      <c r="I1419" s="23"/>
      <c r="J1419" s="25"/>
      <c r="K1419" s="23"/>
      <c r="L1419" s="23"/>
      <c r="M1419" s="23"/>
      <c r="N1419" s="26"/>
      <c r="O1419" s="26"/>
      <c r="P1419" s="26"/>
      <c r="Q1419" s="26"/>
      <c r="R1419" s="26"/>
      <c r="S1419" s="26"/>
      <c r="T1419" s="26"/>
      <c r="U1419" s="26"/>
      <c r="V1419" s="26"/>
      <c r="W1419" s="27"/>
    </row>
    <row r="1420" spans="1:23" ht="15.75" customHeight="1" x14ac:dyDescent="0.25">
      <c r="A1420" s="23"/>
      <c r="B1420" s="23" t="str">
        <f t="shared" si="6"/>
        <v/>
      </c>
      <c r="C1420" s="23"/>
      <c r="D1420" s="44"/>
      <c r="E1420" s="23"/>
      <c r="F1420" s="45"/>
      <c r="G1420" s="23"/>
      <c r="H1420" s="23"/>
      <c r="I1420" s="23"/>
      <c r="J1420" s="25"/>
      <c r="K1420" s="23"/>
      <c r="L1420" s="23"/>
      <c r="M1420" s="23"/>
      <c r="N1420" s="26"/>
      <c r="O1420" s="26"/>
      <c r="P1420" s="26"/>
      <c r="Q1420" s="26"/>
      <c r="R1420" s="26"/>
      <c r="S1420" s="26"/>
      <c r="T1420" s="26"/>
      <c r="U1420" s="26"/>
      <c r="V1420" s="26"/>
      <c r="W1420" s="27"/>
    </row>
    <row r="1421" spans="1:23" ht="15.75" customHeight="1" x14ac:dyDescent="0.25">
      <c r="A1421" s="23"/>
      <c r="B1421" s="23" t="str">
        <f t="shared" si="6"/>
        <v/>
      </c>
      <c r="C1421" s="23"/>
      <c r="D1421" s="44"/>
      <c r="E1421" s="23"/>
      <c r="F1421" s="45"/>
      <c r="G1421" s="23"/>
      <c r="H1421" s="23"/>
      <c r="I1421" s="23"/>
      <c r="J1421" s="25"/>
      <c r="K1421" s="23"/>
      <c r="L1421" s="23"/>
      <c r="M1421" s="23"/>
      <c r="N1421" s="26"/>
      <c r="O1421" s="26"/>
      <c r="P1421" s="26"/>
      <c r="Q1421" s="26"/>
      <c r="R1421" s="26"/>
      <c r="S1421" s="26"/>
      <c r="T1421" s="26"/>
      <c r="U1421" s="26"/>
      <c r="V1421" s="26"/>
      <c r="W1421" s="27"/>
    </row>
    <row r="1422" spans="1:23" ht="15.75" customHeight="1" x14ac:dyDescent="0.25">
      <c r="A1422" s="23"/>
      <c r="B1422" s="23" t="str">
        <f t="shared" si="6"/>
        <v/>
      </c>
      <c r="C1422" s="23"/>
      <c r="D1422" s="44"/>
      <c r="E1422" s="23"/>
      <c r="F1422" s="45"/>
      <c r="G1422" s="23"/>
      <c r="H1422" s="23"/>
      <c r="I1422" s="23"/>
      <c r="J1422" s="25"/>
      <c r="K1422" s="23"/>
      <c r="L1422" s="23"/>
      <c r="M1422" s="23"/>
      <c r="N1422" s="26"/>
      <c r="O1422" s="26"/>
      <c r="P1422" s="26"/>
      <c r="Q1422" s="26"/>
      <c r="R1422" s="26"/>
      <c r="S1422" s="26"/>
      <c r="T1422" s="26"/>
      <c r="U1422" s="26"/>
      <c r="V1422" s="26"/>
      <c r="W1422" s="27"/>
    </row>
    <row r="1423" spans="1:23" ht="15.75" customHeight="1" x14ac:dyDescent="0.25">
      <c r="A1423" s="23"/>
      <c r="B1423" s="23" t="str">
        <f t="shared" si="6"/>
        <v/>
      </c>
      <c r="C1423" s="23"/>
      <c r="D1423" s="44"/>
      <c r="E1423" s="23"/>
      <c r="F1423" s="45"/>
      <c r="G1423" s="23"/>
      <c r="H1423" s="23"/>
      <c r="I1423" s="23"/>
      <c r="J1423" s="25"/>
      <c r="K1423" s="23"/>
      <c r="L1423" s="23"/>
      <c r="M1423" s="23"/>
      <c r="N1423" s="26"/>
      <c r="O1423" s="26"/>
      <c r="P1423" s="26"/>
      <c r="Q1423" s="26"/>
      <c r="R1423" s="26"/>
      <c r="S1423" s="26"/>
      <c r="T1423" s="26"/>
      <c r="U1423" s="26"/>
      <c r="V1423" s="26"/>
      <c r="W1423" s="27"/>
    </row>
    <row r="1424" spans="1:23" ht="15.75" customHeight="1" x14ac:dyDescent="0.25">
      <c r="A1424" s="23"/>
      <c r="B1424" s="23" t="str">
        <f t="shared" si="6"/>
        <v/>
      </c>
      <c r="C1424" s="23"/>
      <c r="D1424" s="44"/>
      <c r="E1424" s="23"/>
      <c r="F1424" s="45"/>
      <c r="G1424" s="23"/>
      <c r="H1424" s="23"/>
      <c r="I1424" s="23"/>
      <c r="J1424" s="25"/>
      <c r="K1424" s="23"/>
      <c r="L1424" s="23"/>
      <c r="M1424" s="23"/>
      <c r="N1424" s="26"/>
      <c r="O1424" s="26"/>
      <c r="P1424" s="26"/>
      <c r="Q1424" s="26"/>
      <c r="R1424" s="26"/>
      <c r="S1424" s="26"/>
      <c r="T1424" s="26"/>
      <c r="U1424" s="26"/>
      <c r="V1424" s="26"/>
      <c r="W1424" s="27"/>
    </row>
    <row r="1425" spans="1:23" ht="15.75" customHeight="1" x14ac:dyDescent="0.25">
      <c r="A1425" s="23"/>
      <c r="B1425" s="23" t="str">
        <f t="shared" si="6"/>
        <v/>
      </c>
      <c r="C1425" s="23"/>
      <c r="D1425" s="44"/>
      <c r="E1425" s="23"/>
      <c r="F1425" s="45"/>
      <c r="G1425" s="23"/>
      <c r="H1425" s="23"/>
      <c r="I1425" s="23"/>
      <c r="J1425" s="25"/>
      <c r="K1425" s="23"/>
      <c r="L1425" s="23"/>
      <c r="M1425" s="23"/>
      <c r="N1425" s="26"/>
      <c r="O1425" s="26"/>
      <c r="P1425" s="26"/>
      <c r="Q1425" s="26"/>
      <c r="R1425" s="26"/>
      <c r="S1425" s="26"/>
      <c r="T1425" s="26"/>
      <c r="U1425" s="26"/>
      <c r="V1425" s="26"/>
      <c r="W1425" s="27"/>
    </row>
    <row r="1426" spans="1:23" ht="15.75" customHeight="1" x14ac:dyDescent="0.25">
      <c r="A1426" s="23"/>
      <c r="B1426" s="23" t="str">
        <f t="shared" si="6"/>
        <v/>
      </c>
      <c r="C1426" s="23"/>
      <c r="D1426" s="44"/>
      <c r="E1426" s="23"/>
      <c r="F1426" s="45"/>
      <c r="G1426" s="23"/>
      <c r="H1426" s="23"/>
      <c r="I1426" s="23"/>
      <c r="J1426" s="25"/>
      <c r="K1426" s="23"/>
      <c r="L1426" s="23"/>
      <c r="M1426" s="23"/>
      <c r="N1426" s="26"/>
      <c r="O1426" s="26"/>
      <c r="P1426" s="26"/>
      <c r="Q1426" s="26"/>
      <c r="R1426" s="26"/>
      <c r="S1426" s="26"/>
      <c r="T1426" s="26"/>
      <c r="U1426" s="26"/>
      <c r="V1426" s="26"/>
      <c r="W1426" s="27"/>
    </row>
    <row r="1427" spans="1:23" ht="15.75" customHeight="1" x14ac:dyDescent="0.25">
      <c r="A1427" s="23"/>
      <c r="B1427" s="23" t="str">
        <f t="shared" si="6"/>
        <v/>
      </c>
      <c r="C1427" s="23"/>
      <c r="D1427" s="44"/>
      <c r="E1427" s="23"/>
      <c r="F1427" s="45"/>
      <c r="G1427" s="23"/>
      <c r="H1427" s="23"/>
      <c r="I1427" s="23"/>
      <c r="J1427" s="25"/>
      <c r="K1427" s="23"/>
      <c r="L1427" s="23"/>
      <c r="M1427" s="23"/>
      <c r="N1427" s="26"/>
      <c r="O1427" s="26"/>
      <c r="P1427" s="26"/>
      <c r="Q1427" s="26"/>
      <c r="R1427" s="26"/>
      <c r="S1427" s="26"/>
      <c r="T1427" s="26"/>
      <c r="U1427" s="26"/>
      <c r="V1427" s="26"/>
      <c r="W1427" s="27"/>
    </row>
    <row r="1428" spans="1:23" ht="15.75" customHeight="1" x14ac:dyDescent="0.25">
      <c r="A1428" s="23"/>
      <c r="B1428" s="23" t="str">
        <f t="shared" si="6"/>
        <v/>
      </c>
      <c r="C1428" s="23"/>
      <c r="D1428" s="44"/>
      <c r="E1428" s="23"/>
      <c r="F1428" s="45"/>
      <c r="G1428" s="23"/>
      <c r="H1428" s="23"/>
      <c r="I1428" s="23"/>
      <c r="J1428" s="25"/>
      <c r="K1428" s="23"/>
      <c r="L1428" s="23"/>
      <c r="M1428" s="23"/>
      <c r="N1428" s="26"/>
      <c r="O1428" s="26"/>
      <c r="P1428" s="26"/>
      <c r="Q1428" s="26"/>
      <c r="R1428" s="26"/>
      <c r="S1428" s="26"/>
      <c r="T1428" s="26"/>
      <c r="U1428" s="26"/>
      <c r="V1428" s="26"/>
      <c r="W1428" s="27"/>
    </row>
    <row r="1429" spans="1:23" ht="15.75" customHeight="1" x14ac:dyDescent="0.25">
      <c r="A1429" s="23"/>
      <c r="B1429" s="23" t="str">
        <f t="shared" si="6"/>
        <v/>
      </c>
      <c r="C1429" s="23"/>
      <c r="D1429" s="44"/>
      <c r="E1429" s="23"/>
      <c r="F1429" s="45"/>
      <c r="G1429" s="23"/>
      <c r="H1429" s="23"/>
      <c r="I1429" s="23"/>
      <c r="J1429" s="25"/>
      <c r="K1429" s="23"/>
      <c r="L1429" s="23"/>
      <c r="M1429" s="23"/>
      <c r="N1429" s="26"/>
      <c r="O1429" s="26"/>
      <c r="P1429" s="26"/>
      <c r="Q1429" s="26"/>
      <c r="R1429" s="26"/>
      <c r="S1429" s="26"/>
      <c r="T1429" s="26"/>
      <c r="U1429" s="26"/>
      <c r="V1429" s="26"/>
      <c r="W1429" s="27"/>
    </row>
    <row r="1430" spans="1:23" ht="15.75" customHeight="1" x14ac:dyDescent="0.25">
      <c r="A1430" s="23"/>
      <c r="B1430" s="23" t="str">
        <f t="shared" si="6"/>
        <v/>
      </c>
      <c r="C1430" s="23"/>
      <c r="D1430" s="44"/>
      <c r="E1430" s="23"/>
      <c r="F1430" s="45"/>
      <c r="G1430" s="23"/>
      <c r="H1430" s="23"/>
      <c r="I1430" s="23"/>
      <c r="J1430" s="25"/>
      <c r="K1430" s="23"/>
      <c r="L1430" s="23"/>
      <c r="M1430" s="23"/>
      <c r="N1430" s="26"/>
      <c r="O1430" s="26"/>
      <c r="P1430" s="26"/>
      <c r="Q1430" s="26"/>
      <c r="R1430" s="26"/>
      <c r="S1430" s="26"/>
      <c r="T1430" s="26"/>
      <c r="U1430" s="26"/>
      <c r="V1430" s="26"/>
      <c r="W1430" s="27"/>
    </row>
    <row r="1431" spans="1:23" ht="15.75" customHeight="1" x14ac:dyDescent="0.25">
      <c r="A1431" s="23"/>
      <c r="B1431" s="23" t="str">
        <f t="shared" si="6"/>
        <v/>
      </c>
      <c r="C1431" s="23"/>
      <c r="D1431" s="44"/>
      <c r="E1431" s="23"/>
      <c r="F1431" s="45"/>
      <c r="G1431" s="23"/>
      <c r="H1431" s="23"/>
      <c r="I1431" s="23"/>
      <c r="J1431" s="25"/>
      <c r="K1431" s="23"/>
      <c r="L1431" s="23"/>
      <c r="M1431" s="23"/>
      <c r="N1431" s="26"/>
      <c r="O1431" s="26"/>
      <c r="P1431" s="26"/>
      <c r="Q1431" s="26"/>
      <c r="R1431" s="26"/>
      <c r="S1431" s="26"/>
      <c r="T1431" s="26"/>
      <c r="U1431" s="26"/>
      <c r="V1431" s="26"/>
      <c r="W1431" s="27"/>
    </row>
    <row r="1432" spans="1:23" ht="15.75" customHeight="1" x14ac:dyDescent="0.25">
      <c r="A1432" s="23"/>
      <c r="B1432" s="23" t="str">
        <f t="shared" si="6"/>
        <v/>
      </c>
      <c r="C1432" s="23"/>
      <c r="D1432" s="44"/>
      <c r="E1432" s="23"/>
      <c r="F1432" s="45"/>
      <c r="G1432" s="23"/>
      <c r="H1432" s="23"/>
      <c r="I1432" s="23"/>
      <c r="J1432" s="25"/>
      <c r="K1432" s="23"/>
      <c r="L1432" s="23"/>
      <c r="M1432" s="23"/>
      <c r="N1432" s="26"/>
      <c r="O1432" s="26"/>
      <c r="P1432" s="26"/>
      <c r="Q1432" s="26"/>
      <c r="R1432" s="26"/>
      <c r="S1432" s="26"/>
      <c r="T1432" s="26"/>
      <c r="U1432" s="26"/>
      <c r="V1432" s="26"/>
      <c r="W1432" s="27"/>
    </row>
    <row r="1433" spans="1:23" ht="15.75" customHeight="1" x14ac:dyDescent="0.25">
      <c r="A1433" s="23"/>
      <c r="B1433" s="23" t="str">
        <f t="shared" si="6"/>
        <v/>
      </c>
      <c r="C1433" s="23"/>
      <c r="D1433" s="44"/>
      <c r="E1433" s="23"/>
      <c r="F1433" s="45"/>
      <c r="G1433" s="23"/>
      <c r="H1433" s="23"/>
      <c r="I1433" s="23"/>
      <c r="J1433" s="25"/>
      <c r="K1433" s="23"/>
      <c r="L1433" s="23"/>
      <c r="M1433" s="23"/>
      <c r="N1433" s="26"/>
      <c r="O1433" s="26"/>
      <c r="P1433" s="26"/>
      <c r="Q1433" s="26"/>
      <c r="R1433" s="26"/>
      <c r="S1433" s="26"/>
      <c r="T1433" s="26"/>
      <c r="U1433" s="26"/>
      <c r="V1433" s="26"/>
      <c r="W1433" s="27"/>
    </row>
    <row r="1434" spans="1:23" ht="15.75" customHeight="1" x14ac:dyDescent="0.25">
      <c r="A1434" s="23"/>
      <c r="B1434" s="23" t="str">
        <f t="shared" si="6"/>
        <v/>
      </c>
      <c r="C1434" s="23"/>
      <c r="D1434" s="44"/>
      <c r="E1434" s="23"/>
      <c r="F1434" s="45"/>
      <c r="G1434" s="23"/>
      <c r="H1434" s="23"/>
      <c r="I1434" s="23"/>
      <c r="J1434" s="25"/>
      <c r="K1434" s="23"/>
      <c r="L1434" s="23"/>
      <c r="M1434" s="23"/>
      <c r="N1434" s="26"/>
      <c r="O1434" s="26"/>
      <c r="P1434" s="26"/>
      <c r="Q1434" s="26"/>
      <c r="R1434" s="26"/>
      <c r="S1434" s="26"/>
      <c r="T1434" s="26"/>
      <c r="U1434" s="26"/>
      <c r="V1434" s="26"/>
      <c r="W1434" s="27"/>
    </row>
    <row r="1435" spans="1:23" ht="15.75" customHeight="1" x14ac:dyDescent="0.25">
      <c r="A1435" s="23"/>
      <c r="B1435" s="23" t="str">
        <f t="shared" si="6"/>
        <v/>
      </c>
      <c r="C1435" s="23"/>
      <c r="D1435" s="44"/>
      <c r="E1435" s="23"/>
      <c r="F1435" s="45"/>
      <c r="G1435" s="23"/>
      <c r="H1435" s="23"/>
      <c r="I1435" s="23"/>
      <c r="J1435" s="25"/>
      <c r="K1435" s="23"/>
      <c r="L1435" s="23"/>
      <c r="M1435" s="23"/>
      <c r="N1435" s="26"/>
      <c r="O1435" s="26"/>
      <c r="P1435" s="26"/>
      <c r="Q1435" s="26"/>
      <c r="R1435" s="26"/>
      <c r="S1435" s="26"/>
      <c r="T1435" s="26"/>
      <c r="U1435" s="26"/>
      <c r="V1435" s="26"/>
      <c r="W1435" s="27"/>
    </row>
    <row r="1436" spans="1:23" ht="15.75" customHeight="1" x14ac:dyDescent="0.25">
      <c r="A1436" s="23"/>
      <c r="B1436" s="23" t="str">
        <f t="shared" si="6"/>
        <v/>
      </c>
      <c r="C1436" s="23"/>
      <c r="D1436" s="44"/>
      <c r="E1436" s="23"/>
      <c r="F1436" s="45"/>
      <c r="G1436" s="23"/>
      <c r="H1436" s="23"/>
      <c r="I1436" s="23"/>
      <c r="J1436" s="25"/>
      <c r="K1436" s="23"/>
      <c r="L1436" s="23"/>
      <c r="M1436" s="23"/>
      <c r="N1436" s="26"/>
      <c r="O1436" s="26"/>
      <c r="P1436" s="26"/>
      <c r="Q1436" s="26"/>
      <c r="R1436" s="26"/>
      <c r="S1436" s="26"/>
      <c r="T1436" s="26"/>
      <c r="U1436" s="26"/>
      <c r="V1436" s="26"/>
      <c r="W1436" s="27"/>
    </row>
    <row r="1437" spans="1:23" ht="15.75" customHeight="1" x14ac:dyDescent="0.25">
      <c r="A1437" s="23"/>
      <c r="B1437" s="23" t="str">
        <f t="shared" si="6"/>
        <v/>
      </c>
      <c r="C1437" s="23"/>
      <c r="D1437" s="44"/>
      <c r="E1437" s="23"/>
      <c r="F1437" s="45"/>
      <c r="G1437" s="23"/>
      <c r="H1437" s="23"/>
      <c r="I1437" s="23"/>
      <c r="J1437" s="25"/>
      <c r="K1437" s="23"/>
      <c r="L1437" s="23"/>
      <c r="M1437" s="23"/>
      <c r="N1437" s="26"/>
      <c r="O1437" s="26"/>
      <c r="P1437" s="26"/>
      <c r="Q1437" s="26"/>
      <c r="R1437" s="26"/>
      <c r="S1437" s="26"/>
      <c r="T1437" s="26"/>
      <c r="U1437" s="26"/>
      <c r="V1437" s="26"/>
      <c r="W1437" s="27"/>
    </row>
    <row r="1438" spans="1:23" ht="15.75" customHeight="1" x14ac:dyDescent="0.25">
      <c r="A1438" s="23"/>
      <c r="B1438" s="23" t="str">
        <f t="shared" si="6"/>
        <v/>
      </c>
      <c r="C1438" s="23"/>
      <c r="D1438" s="44"/>
      <c r="E1438" s="23"/>
      <c r="F1438" s="45"/>
      <c r="G1438" s="23"/>
      <c r="H1438" s="23"/>
      <c r="I1438" s="23"/>
      <c r="J1438" s="25"/>
      <c r="K1438" s="23"/>
      <c r="L1438" s="23"/>
      <c r="M1438" s="23"/>
      <c r="N1438" s="26"/>
      <c r="O1438" s="26"/>
      <c r="P1438" s="26"/>
      <c r="Q1438" s="26"/>
      <c r="R1438" s="26"/>
      <c r="S1438" s="26"/>
      <c r="T1438" s="26"/>
      <c r="U1438" s="26"/>
      <c r="V1438" s="26"/>
      <c r="W1438" s="27"/>
    </row>
    <row r="1439" spans="1:23" ht="15.75" customHeight="1" x14ac:dyDescent="0.25">
      <c r="A1439" s="23"/>
      <c r="B1439" s="23" t="str">
        <f t="shared" si="6"/>
        <v/>
      </c>
      <c r="C1439" s="23"/>
      <c r="D1439" s="44"/>
      <c r="E1439" s="23"/>
      <c r="F1439" s="45"/>
      <c r="G1439" s="23"/>
      <c r="H1439" s="23"/>
      <c r="I1439" s="23"/>
      <c r="J1439" s="25"/>
      <c r="K1439" s="23"/>
      <c r="L1439" s="23"/>
      <c r="M1439" s="23"/>
      <c r="N1439" s="26"/>
      <c r="O1439" s="26"/>
      <c r="P1439" s="26"/>
      <c r="Q1439" s="26"/>
      <c r="R1439" s="26"/>
      <c r="S1439" s="26"/>
      <c r="T1439" s="26"/>
      <c r="U1439" s="26"/>
      <c r="V1439" s="26"/>
      <c r="W1439" s="27"/>
    </row>
    <row r="1440" spans="1:23" ht="15.75" customHeight="1" x14ac:dyDescent="0.25">
      <c r="A1440" s="23"/>
      <c r="B1440" s="23" t="str">
        <f t="shared" si="6"/>
        <v/>
      </c>
      <c r="C1440" s="23"/>
      <c r="D1440" s="44"/>
      <c r="E1440" s="23"/>
      <c r="F1440" s="45"/>
      <c r="G1440" s="23"/>
      <c r="H1440" s="23"/>
      <c r="I1440" s="23"/>
      <c r="J1440" s="25"/>
      <c r="K1440" s="23"/>
      <c r="L1440" s="23"/>
      <c r="M1440" s="23"/>
      <c r="N1440" s="26"/>
      <c r="O1440" s="26"/>
      <c r="P1440" s="26"/>
      <c r="Q1440" s="26"/>
      <c r="R1440" s="26"/>
      <c r="S1440" s="26"/>
      <c r="T1440" s="26"/>
      <c r="U1440" s="26"/>
      <c r="V1440" s="26"/>
      <c r="W1440" s="27"/>
    </row>
    <row r="1441" spans="1:23" ht="15.75" customHeight="1" x14ac:dyDescent="0.25">
      <c r="A1441" s="23"/>
      <c r="B1441" s="23" t="str">
        <f t="shared" si="6"/>
        <v/>
      </c>
      <c r="C1441" s="23"/>
      <c r="D1441" s="44"/>
      <c r="E1441" s="23"/>
      <c r="F1441" s="45"/>
      <c r="G1441" s="23"/>
      <c r="H1441" s="23"/>
      <c r="I1441" s="23"/>
      <c r="J1441" s="25"/>
      <c r="K1441" s="23"/>
      <c r="L1441" s="23"/>
      <c r="M1441" s="23"/>
      <c r="N1441" s="26"/>
      <c r="O1441" s="26"/>
      <c r="P1441" s="26"/>
      <c r="Q1441" s="26"/>
      <c r="R1441" s="26"/>
      <c r="S1441" s="26"/>
      <c r="T1441" s="26"/>
      <c r="U1441" s="26"/>
      <c r="V1441" s="26"/>
      <c r="W1441" s="27"/>
    </row>
    <row r="1442" spans="1:23" ht="15.75" customHeight="1" x14ac:dyDescent="0.25">
      <c r="A1442" s="23"/>
      <c r="B1442" s="23" t="str">
        <f t="shared" si="6"/>
        <v/>
      </c>
      <c r="C1442" s="23"/>
      <c r="D1442" s="44"/>
      <c r="E1442" s="23"/>
      <c r="F1442" s="45"/>
      <c r="G1442" s="23"/>
      <c r="H1442" s="23"/>
      <c r="I1442" s="23"/>
      <c r="J1442" s="25"/>
      <c r="K1442" s="23"/>
      <c r="L1442" s="23"/>
      <c r="M1442" s="23"/>
      <c r="N1442" s="26"/>
      <c r="O1442" s="26"/>
      <c r="P1442" s="26"/>
      <c r="Q1442" s="26"/>
      <c r="R1442" s="26"/>
      <c r="S1442" s="26"/>
      <c r="T1442" s="26"/>
      <c r="U1442" s="26"/>
      <c r="V1442" s="26"/>
      <c r="W1442" s="27"/>
    </row>
    <row r="1443" spans="1:23" ht="15.75" customHeight="1" x14ac:dyDescent="0.25">
      <c r="A1443" s="23"/>
      <c r="B1443" s="23" t="str">
        <f t="shared" si="6"/>
        <v/>
      </c>
      <c r="C1443" s="23"/>
      <c r="D1443" s="44"/>
      <c r="E1443" s="23"/>
      <c r="F1443" s="45"/>
      <c r="G1443" s="23"/>
      <c r="H1443" s="23"/>
      <c r="I1443" s="23"/>
      <c r="J1443" s="25"/>
      <c r="K1443" s="23"/>
      <c r="L1443" s="23"/>
      <c r="M1443" s="23"/>
      <c r="N1443" s="26"/>
      <c r="O1443" s="26"/>
      <c r="P1443" s="26"/>
      <c r="Q1443" s="26"/>
      <c r="R1443" s="26"/>
      <c r="S1443" s="26"/>
      <c r="T1443" s="26"/>
      <c r="U1443" s="26"/>
      <c r="V1443" s="26"/>
      <c r="W1443" s="27"/>
    </row>
    <row r="1444" spans="1:23" ht="15.75" customHeight="1" x14ac:dyDescent="0.25">
      <c r="A1444" s="23"/>
      <c r="B1444" s="23" t="str">
        <f t="shared" si="6"/>
        <v/>
      </c>
      <c r="C1444" s="23"/>
      <c r="D1444" s="44"/>
      <c r="E1444" s="23"/>
      <c r="F1444" s="45"/>
      <c r="G1444" s="23"/>
      <c r="H1444" s="23"/>
      <c r="I1444" s="23"/>
      <c r="J1444" s="25"/>
      <c r="K1444" s="23"/>
      <c r="L1444" s="23"/>
      <c r="M1444" s="23"/>
      <c r="N1444" s="26"/>
      <c r="O1444" s="26"/>
      <c r="P1444" s="26"/>
      <c r="Q1444" s="26"/>
      <c r="R1444" s="26"/>
      <c r="S1444" s="26"/>
      <c r="T1444" s="26"/>
      <c r="U1444" s="26"/>
      <c r="V1444" s="26"/>
      <c r="W1444" s="27"/>
    </row>
    <row r="1445" spans="1:23" ht="15.75" customHeight="1" x14ac:dyDescent="0.25">
      <c r="A1445" s="23"/>
      <c r="B1445" s="23" t="str">
        <f t="shared" si="6"/>
        <v/>
      </c>
      <c r="C1445" s="23"/>
      <c r="D1445" s="44"/>
      <c r="E1445" s="23"/>
      <c r="F1445" s="45"/>
      <c r="G1445" s="23"/>
      <c r="H1445" s="23"/>
      <c r="I1445" s="23"/>
      <c r="J1445" s="25"/>
      <c r="K1445" s="23"/>
      <c r="L1445" s="23"/>
      <c r="M1445" s="23"/>
      <c r="N1445" s="26"/>
      <c r="O1445" s="26"/>
      <c r="P1445" s="26"/>
      <c r="Q1445" s="26"/>
      <c r="R1445" s="26"/>
      <c r="S1445" s="26"/>
      <c r="T1445" s="26"/>
      <c r="U1445" s="26"/>
      <c r="V1445" s="26"/>
      <c r="W1445" s="27"/>
    </row>
    <row r="1446" spans="1:23" ht="15.75" customHeight="1" x14ac:dyDescent="0.25">
      <c r="A1446" s="23"/>
      <c r="B1446" s="23" t="str">
        <f t="shared" si="6"/>
        <v/>
      </c>
      <c r="C1446" s="23"/>
      <c r="D1446" s="44"/>
      <c r="E1446" s="23"/>
      <c r="F1446" s="45"/>
      <c r="G1446" s="23"/>
      <c r="H1446" s="23"/>
      <c r="I1446" s="23"/>
      <c r="J1446" s="25"/>
      <c r="K1446" s="23"/>
      <c r="L1446" s="23"/>
      <c r="M1446" s="23"/>
      <c r="N1446" s="26"/>
      <c r="O1446" s="26"/>
      <c r="P1446" s="26"/>
      <c r="Q1446" s="26"/>
      <c r="R1446" s="26"/>
      <c r="S1446" s="26"/>
      <c r="T1446" s="26"/>
      <c r="U1446" s="26"/>
      <c r="V1446" s="26"/>
      <c r="W1446" s="27"/>
    </row>
    <row r="1447" spans="1:23" ht="15.75" customHeight="1" x14ac:dyDescent="0.25">
      <c r="A1447" s="23"/>
      <c r="B1447" s="23" t="str">
        <f t="shared" si="6"/>
        <v/>
      </c>
      <c r="C1447" s="23"/>
      <c r="D1447" s="44"/>
      <c r="E1447" s="23"/>
      <c r="F1447" s="45"/>
      <c r="G1447" s="23"/>
      <c r="H1447" s="23"/>
      <c r="I1447" s="23"/>
      <c r="J1447" s="25"/>
      <c r="K1447" s="23"/>
      <c r="L1447" s="23"/>
      <c r="M1447" s="23"/>
      <c r="N1447" s="26"/>
      <c r="O1447" s="26"/>
      <c r="P1447" s="26"/>
      <c r="Q1447" s="26"/>
      <c r="R1447" s="26"/>
      <c r="S1447" s="26"/>
      <c r="T1447" s="26"/>
      <c r="U1447" s="26"/>
      <c r="V1447" s="26"/>
      <c r="W1447" s="27"/>
    </row>
    <row r="1448" spans="1:23" ht="15.75" customHeight="1" x14ac:dyDescent="0.25">
      <c r="A1448" s="23"/>
      <c r="B1448" s="23" t="str">
        <f t="shared" si="6"/>
        <v/>
      </c>
      <c r="C1448" s="23"/>
      <c r="D1448" s="44"/>
      <c r="E1448" s="23"/>
      <c r="F1448" s="45"/>
      <c r="G1448" s="23"/>
      <c r="H1448" s="23"/>
      <c r="I1448" s="23"/>
      <c r="J1448" s="25"/>
      <c r="K1448" s="23"/>
      <c r="L1448" s="23"/>
      <c r="M1448" s="23"/>
      <c r="N1448" s="26"/>
      <c r="O1448" s="26"/>
      <c r="P1448" s="26"/>
      <c r="Q1448" s="26"/>
      <c r="R1448" s="26"/>
      <c r="S1448" s="26"/>
      <c r="T1448" s="26"/>
      <c r="U1448" s="26"/>
      <c r="V1448" s="26"/>
      <c r="W1448" s="27"/>
    </row>
    <row r="1449" spans="1:23" ht="15.75" customHeight="1" x14ac:dyDescent="0.25">
      <c r="A1449" s="23"/>
      <c r="B1449" s="23" t="str">
        <f t="shared" si="6"/>
        <v/>
      </c>
      <c r="C1449" s="23"/>
      <c r="D1449" s="44"/>
      <c r="E1449" s="23"/>
      <c r="F1449" s="45"/>
      <c r="G1449" s="23"/>
      <c r="H1449" s="23"/>
      <c r="I1449" s="23"/>
      <c r="J1449" s="25"/>
      <c r="K1449" s="23"/>
      <c r="L1449" s="23"/>
      <c r="M1449" s="23"/>
      <c r="N1449" s="26"/>
      <c r="O1449" s="26"/>
      <c r="P1449" s="26"/>
      <c r="Q1449" s="26"/>
      <c r="R1449" s="26"/>
      <c r="S1449" s="26"/>
      <c r="T1449" s="26"/>
      <c r="U1449" s="26"/>
      <c r="V1449" s="26"/>
      <c r="W1449" s="27"/>
    </row>
    <row r="1450" spans="1:23" ht="15.75" customHeight="1" x14ac:dyDescent="0.25">
      <c r="A1450" s="23"/>
      <c r="B1450" s="23" t="str">
        <f t="shared" si="6"/>
        <v/>
      </c>
      <c r="C1450" s="23"/>
      <c r="D1450" s="44"/>
      <c r="E1450" s="23"/>
      <c r="F1450" s="45"/>
      <c r="G1450" s="23"/>
      <c r="H1450" s="23"/>
      <c r="I1450" s="23"/>
      <c r="J1450" s="25"/>
      <c r="K1450" s="23"/>
      <c r="L1450" s="23"/>
      <c r="M1450" s="23"/>
      <c r="N1450" s="26"/>
      <c r="O1450" s="26"/>
      <c r="P1450" s="26"/>
      <c r="Q1450" s="26"/>
      <c r="R1450" s="26"/>
      <c r="S1450" s="26"/>
      <c r="T1450" s="26"/>
      <c r="U1450" s="26"/>
      <c r="V1450" s="26"/>
      <c r="W1450" s="27"/>
    </row>
    <row r="1451" spans="1:23" ht="15.75" customHeight="1" x14ac:dyDescent="0.25">
      <c r="A1451" s="23"/>
      <c r="B1451" s="23" t="str">
        <f t="shared" si="6"/>
        <v/>
      </c>
      <c r="C1451" s="23"/>
      <c r="D1451" s="44"/>
      <c r="E1451" s="23"/>
      <c r="F1451" s="45"/>
      <c r="G1451" s="23"/>
      <c r="H1451" s="23"/>
      <c r="I1451" s="23"/>
      <c r="J1451" s="25"/>
      <c r="K1451" s="23"/>
      <c r="L1451" s="23"/>
      <c r="M1451" s="23"/>
      <c r="N1451" s="26"/>
      <c r="O1451" s="26"/>
      <c r="P1451" s="26"/>
      <c r="Q1451" s="26"/>
      <c r="R1451" s="26"/>
      <c r="S1451" s="26"/>
      <c r="T1451" s="26"/>
      <c r="U1451" s="26"/>
      <c r="V1451" s="26"/>
      <c r="W1451" s="27"/>
    </row>
    <row r="1452" spans="1:23" ht="15.75" customHeight="1" x14ac:dyDescent="0.25">
      <c r="A1452" s="23"/>
      <c r="B1452" s="23" t="str">
        <f t="shared" si="6"/>
        <v/>
      </c>
      <c r="C1452" s="23"/>
      <c r="D1452" s="44"/>
      <c r="E1452" s="23"/>
      <c r="F1452" s="45"/>
      <c r="G1452" s="23"/>
      <c r="H1452" s="23"/>
      <c r="I1452" s="23"/>
      <c r="J1452" s="25"/>
      <c r="K1452" s="23"/>
      <c r="L1452" s="23"/>
      <c r="M1452" s="23"/>
      <c r="N1452" s="26"/>
      <c r="O1452" s="26"/>
      <c r="P1452" s="26"/>
      <c r="Q1452" s="26"/>
      <c r="R1452" s="26"/>
      <c r="S1452" s="26"/>
      <c r="T1452" s="26"/>
      <c r="U1452" s="26"/>
      <c r="V1452" s="26"/>
      <c r="W1452" s="27"/>
    </row>
    <row r="1453" spans="1:23" ht="15.75" customHeight="1" x14ac:dyDescent="0.25">
      <c r="A1453" s="23"/>
      <c r="B1453" s="23" t="str">
        <f t="shared" si="6"/>
        <v/>
      </c>
      <c r="C1453" s="23"/>
      <c r="D1453" s="44"/>
      <c r="E1453" s="23"/>
      <c r="F1453" s="45"/>
      <c r="G1453" s="23"/>
      <c r="H1453" s="23"/>
      <c r="I1453" s="23"/>
      <c r="J1453" s="25"/>
      <c r="K1453" s="23"/>
      <c r="L1453" s="23"/>
      <c r="M1453" s="23"/>
      <c r="N1453" s="26"/>
      <c r="O1453" s="26"/>
      <c r="P1453" s="26"/>
      <c r="Q1453" s="26"/>
      <c r="R1453" s="26"/>
      <c r="S1453" s="26"/>
      <c r="T1453" s="26"/>
      <c r="U1453" s="26"/>
      <c r="V1453" s="26"/>
      <c r="W1453" s="27"/>
    </row>
    <row r="1454" spans="1:23" ht="15.75" customHeight="1" x14ac:dyDescent="0.25">
      <c r="A1454" s="23"/>
      <c r="B1454" s="23" t="str">
        <f t="shared" si="6"/>
        <v/>
      </c>
      <c r="C1454" s="23"/>
      <c r="D1454" s="44"/>
      <c r="E1454" s="23"/>
      <c r="F1454" s="45"/>
      <c r="G1454" s="23"/>
      <c r="H1454" s="23"/>
      <c r="I1454" s="23"/>
      <c r="J1454" s="25"/>
      <c r="K1454" s="23"/>
      <c r="L1454" s="23"/>
      <c r="M1454" s="23"/>
      <c r="N1454" s="26"/>
      <c r="O1454" s="26"/>
      <c r="P1454" s="26"/>
      <c r="Q1454" s="26"/>
      <c r="R1454" s="26"/>
      <c r="S1454" s="26"/>
      <c r="T1454" s="26"/>
      <c r="U1454" s="26"/>
      <c r="V1454" s="26"/>
      <c r="W1454" s="27"/>
    </row>
    <row r="1455" spans="1:23" ht="15.75" customHeight="1" x14ac:dyDescent="0.25">
      <c r="A1455" s="23"/>
      <c r="B1455" s="23" t="str">
        <f t="shared" si="6"/>
        <v/>
      </c>
      <c r="C1455" s="23"/>
      <c r="D1455" s="44"/>
      <c r="E1455" s="23"/>
      <c r="F1455" s="45"/>
      <c r="G1455" s="23"/>
      <c r="H1455" s="23"/>
      <c r="I1455" s="23"/>
      <c r="J1455" s="25"/>
      <c r="K1455" s="23"/>
      <c r="L1455" s="23"/>
      <c r="M1455" s="23"/>
      <c r="N1455" s="26"/>
      <c r="O1455" s="26"/>
      <c r="P1455" s="26"/>
      <c r="Q1455" s="26"/>
      <c r="R1455" s="26"/>
      <c r="S1455" s="26"/>
      <c r="T1455" s="26"/>
      <c r="U1455" s="26"/>
      <c r="V1455" s="26"/>
      <c r="W1455" s="27"/>
    </row>
    <row r="1456" spans="1:23" ht="15.75" customHeight="1" x14ac:dyDescent="0.25">
      <c r="A1456" s="23"/>
      <c r="B1456" s="23" t="str">
        <f t="shared" si="6"/>
        <v/>
      </c>
      <c r="C1456" s="23"/>
      <c r="D1456" s="44"/>
      <c r="E1456" s="23"/>
      <c r="F1456" s="45"/>
      <c r="G1456" s="23"/>
      <c r="H1456" s="23"/>
      <c r="I1456" s="23"/>
      <c r="J1456" s="25"/>
      <c r="K1456" s="23"/>
      <c r="L1456" s="23"/>
      <c r="M1456" s="23"/>
      <c r="N1456" s="26"/>
      <c r="O1456" s="26"/>
      <c r="P1456" s="26"/>
      <c r="Q1456" s="26"/>
      <c r="R1456" s="26"/>
      <c r="S1456" s="26"/>
      <c r="T1456" s="26"/>
      <c r="U1456" s="26"/>
      <c r="V1456" s="26"/>
      <c r="W1456" s="27"/>
    </row>
    <row r="1457" spans="1:23" ht="15.75" customHeight="1" x14ac:dyDescent="0.25">
      <c r="A1457" s="23"/>
      <c r="B1457" s="23" t="str">
        <f t="shared" si="6"/>
        <v/>
      </c>
      <c r="C1457" s="23"/>
      <c r="D1457" s="44"/>
      <c r="E1457" s="23"/>
      <c r="F1457" s="45"/>
      <c r="G1457" s="23"/>
      <c r="H1457" s="23"/>
      <c r="I1457" s="23"/>
      <c r="J1457" s="25"/>
      <c r="K1457" s="23"/>
      <c r="L1457" s="23"/>
      <c r="M1457" s="23"/>
      <c r="N1457" s="26"/>
      <c r="O1457" s="26"/>
      <c r="P1457" s="26"/>
      <c r="Q1457" s="26"/>
      <c r="R1457" s="26"/>
      <c r="S1457" s="26"/>
      <c r="T1457" s="26"/>
      <c r="U1457" s="26"/>
      <c r="V1457" s="26"/>
      <c r="W1457" s="27"/>
    </row>
    <row r="1458" spans="1:23" ht="15.75" customHeight="1" x14ac:dyDescent="0.25">
      <c r="A1458" s="23"/>
      <c r="B1458" s="23" t="str">
        <f t="shared" si="6"/>
        <v/>
      </c>
      <c r="C1458" s="23"/>
      <c r="D1458" s="44"/>
      <c r="E1458" s="23"/>
      <c r="F1458" s="45"/>
      <c r="G1458" s="23"/>
      <c r="H1458" s="23"/>
      <c r="I1458" s="23"/>
      <c r="J1458" s="25"/>
      <c r="K1458" s="23"/>
      <c r="L1458" s="23"/>
      <c r="M1458" s="23"/>
      <c r="N1458" s="26"/>
      <c r="O1458" s="26"/>
      <c r="P1458" s="26"/>
      <c r="Q1458" s="26"/>
      <c r="R1458" s="26"/>
      <c r="S1458" s="26"/>
      <c r="T1458" s="26"/>
      <c r="U1458" s="26"/>
      <c r="V1458" s="26"/>
      <c r="W1458" s="27"/>
    </row>
    <row r="1459" spans="1:23" ht="15.75" customHeight="1" x14ac:dyDescent="0.25">
      <c r="A1459" s="23"/>
      <c r="B1459" s="23" t="str">
        <f t="shared" si="6"/>
        <v/>
      </c>
      <c r="C1459" s="23"/>
      <c r="D1459" s="44"/>
      <c r="E1459" s="23"/>
      <c r="F1459" s="45"/>
      <c r="G1459" s="23"/>
      <c r="H1459" s="23"/>
      <c r="I1459" s="23"/>
      <c r="J1459" s="25"/>
      <c r="K1459" s="23"/>
      <c r="L1459" s="23"/>
      <c r="M1459" s="23"/>
      <c r="N1459" s="26"/>
      <c r="O1459" s="26"/>
      <c r="P1459" s="26"/>
      <c r="Q1459" s="26"/>
      <c r="R1459" s="26"/>
      <c r="S1459" s="26"/>
      <c r="T1459" s="26"/>
      <c r="U1459" s="26"/>
      <c r="V1459" s="26"/>
      <c r="W1459" s="27"/>
    </row>
    <row r="1460" spans="1:23" ht="15.75" customHeight="1" x14ac:dyDescent="0.25">
      <c r="A1460" s="23"/>
      <c r="B1460" s="23" t="str">
        <f t="shared" si="6"/>
        <v/>
      </c>
      <c r="C1460" s="23"/>
      <c r="D1460" s="44"/>
      <c r="E1460" s="23"/>
      <c r="F1460" s="45"/>
      <c r="G1460" s="23"/>
      <c r="H1460" s="23"/>
      <c r="I1460" s="23"/>
      <c r="J1460" s="25"/>
      <c r="K1460" s="23"/>
      <c r="L1460" s="23"/>
      <c r="M1460" s="23"/>
      <c r="N1460" s="26"/>
      <c r="O1460" s="26"/>
      <c r="P1460" s="26"/>
      <c r="Q1460" s="26"/>
      <c r="R1460" s="26"/>
      <c r="S1460" s="26"/>
      <c r="T1460" s="26"/>
      <c r="U1460" s="26"/>
      <c r="V1460" s="26"/>
      <c r="W1460" s="27"/>
    </row>
    <row r="1461" spans="1:23" ht="15.75" customHeight="1" x14ac:dyDescent="0.25">
      <c r="A1461" s="23"/>
      <c r="B1461" s="23" t="str">
        <f t="shared" si="6"/>
        <v/>
      </c>
      <c r="C1461" s="23"/>
      <c r="D1461" s="44"/>
      <c r="E1461" s="23"/>
      <c r="F1461" s="45"/>
      <c r="G1461" s="23"/>
      <c r="H1461" s="23"/>
      <c r="I1461" s="23"/>
      <c r="J1461" s="25"/>
      <c r="K1461" s="23"/>
      <c r="L1461" s="23"/>
      <c r="M1461" s="23"/>
      <c r="N1461" s="26"/>
      <c r="O1461" s="26"/>
      <c r="P1461" s="26"/>
      <c r="Q1461" s="26"/>
      <c r="R1461" s="26"/>
      <c r="S1461" s="26"/>
      <c r="T1461" s="26"/>
      <c r="U1461" s="26"/>
      <c r="V1461" s="26"/>
      <c r="W1461" s="27"/>
    </row>
    <row r="1462" spans="1:23" ht="15.75" customHeight="1" x14ac:dyDescent="0.25">
      <c r="A1462" s="23"/>
      <c r="B1462" s="23" t="str">
        <f t="shared" si="6"/>
        <v/>
      </c>
      <c r="C1462" s="23"/>
      <c r="D1462" s="44"/>
      <c r="E1462" s="23"/>
      <c r="F1462" s="45"/>
      <c r="G1462" s="23"/>
      <c r="H1462" s="23"/>
      <c r="I1462" s="23"/>
      <c r="J1462" s="25"/>
      <c r="K1462" s="23"/>
      <c r="L1462" s="23"/>
      <c r="M1462" s="23"/>
      <c r="N1462" s="26"/>
      <c r="O1462" s="26"/>
      <c r="P1462" s="26"/>
      <c r="Q1462" s="26"/>
      <c r="R1462" s="26"/>
      <c r="S1462" s="26"/>
      <c r="T1462" s="26"/>
      <c r="U1462" s="26"/>
      <c r="V1462" s="26"/>
      <c r="W1462" s="27"/>
    </row>
    <row r="1463" spans="1:23" ht="15.75" customHeight="1" x14ac:dyDescent="0.25">
      <c r="A1463" s="23"/>
      <c r="B1463" s="23" t="str">
        <f t="shared" si="6"/>
        <v/>
      </c>
      <c r="C1463" s="23"/>
      <c r="D1463" s="44"/>
      <c r="E1463" s="23"/>
      <c r="F1463" s="45"/>
      <c r="G1463" s="23"/>
      <c r="H1463" s="23"/>
      <c r="I1463" s="23"/>
      <c r="J1463" s="25"/>
      <c r="K1463" s="23"/>
      <c r="L1463" s="23"/>
      <c r="M1463" s="23"/>
      <c r="N1463" s="26"/>
      <c r="O1463" s="26"/>
      <c r="P1463" s="26"/>
      <c r="Q1463" s="26"/>
      <c r="R1463" s="26"/>
      <c r="S1463" s="26"/>
      <c r="T1463" s="26"/>
      <c r="U1463" s="26"/>
      <c r="V1463" s="26"/>
      <c r="W1463" s="27"/>
    </row>
    <row r="1464" spans="1:23" ht="15.75" customHeight="1" x14ac:dyDescent="0.25">
      <c r="A1464" s="23"/>
      <c r="B1464" s="23" t="str">
        <f t="shared" si="6"/>
        <v/>
      </c>
      <c r="C1464" s="23"/>
      <c r="D1464" s="44"/>
      <c r="E1464" s="23"/>
      <c r="F1464" s="45"/>
      <c r="G1464" s="23"/>
      <c r="H1464" s="23"/>
      <c r="I1464" s="23"/>
      <c r="J1464" s="25"/>
      <c r="K1464" s="23"/>
      <c r="L1464" s="23"/>
      <c r="M1464" s="23"/>
      <c r="N1464" s="26"/>
      <c r="O1464" s="26"/>
      <c r="P1464" s="26"/>
      <c r="Q1464" s="26"/>
      <c r="R1464" s="26"/>
      <c r="S1464" s="26"/>
      <c r="T1464" s="26"/>
      <c r="U1464" s="26"/>
      <c r="V1464" s="26"/>
      <c r="W1464" s="27"/>
    </row>
    <row r="1465" spans="1:23" ht="15.75" customHeight="1" x14ac:dyDescent="0.25">
      <c r="A1465" s="23"/>
      <c r="B1465" s="23" t="str">
        <f t="shared" si="6"/>
        <v/>
      </c>
      <c r="C1465" s="23"/>
      <c r="D1465" s="44"/>
      <c r="E1465" s="23"/>
      <c r="F1465" s="45"/>
      <c r="G1465" s="23"/>
      <c r="H1465" s="23"/>
      <c r="I1465" s="23"/>
      <c r="J1465" s="25"/>
      <c r="K1465" s="23"/>
      <c r="L1465" s="23"/>
      <c r="M1465" s="23"/>
      <c r="N1465" s="26"/>
      <c r="O1465" s="26"/>
      <c r="P1465" s="26"/>
      <c r="Q1465" s="26"/>
      <c r="R1465" s="26"/>
      <c r="S1465" s="26"/>
      <c r="T1465" s="26"/>
      <c r="U1465" s="26"/>
      <c r="V1465" s="26"/>
      <c r="W1465" s="27"/>
    </row>
    <row r="1466" spans="1:23" ht="15.75" customHeight="1" x14ac:dyDescent="0.25">
      <c r="A1466" s="23"/>
      <c r="B1466" s="23" t="str">
        <f t="shared" si="6"/>
        <v/>
      </c>
      <c r="C1466" s="23"/>
      <c r="D1466" s="44"/>
      <c r="E1466" s="23"/>
      <c r="F1466" s="45"/>
      <c r="G1466" s="23"/>
      <c r="H1466" s="23"/>
      <c r="I1466" s="23"/>
      <c r="J1466" s="25"/>
      <c r="K1466" s="23"/>
      <c r="L1466" s="23"/>
      <c r="M1466" s="23"/>
      <c r="N1466" s="26"/>
      <c r="O1466" s="26"/>
      <c r="P1466" s="26"/>
      <c r="Q1466" s="26"/>
      <c r="R1466" s="26"/>
      <c r="S1466" s="26"/>
      <c r="T1466" s="26"/>
      <c r="U1466" s="26"/>
      <c r="V1466" s="26"/>
      <c r="W1466" s="27"/>
    </row>
    <row r="1467" spans="1:23" ht="15.75" customHeight="1" x14ac:dyDescent="0.25">
      <c r="A1467" s="23"/>
      <c r="B1467" s="23" t="str">
        <f t="shared" si="6"/>
        <v/>
      </c>
      <c r="C1467" s="23"/>
      <c r="D1467" s="44"/>
      <c r="E1467" s="23"/>
      <c r="F1467" s="45"/>
      <c r="G1467" s="23"/>
      <c r="H1467" s="23"/>
      <c r="I1467" s="23"/>
      <c r="J1467" s="25"/>
      <c r="K1467" s="23"/>
      <c r="L1467" s="23"/>
      <c r="M1467" s="23"/>
      <c r="N1467" s="26"/>
      <c r="O1467" s="26"/>
      <c r="P1467" s="26"/>
      <c r="Q1467" s="26"/>
      <c r="R1467" s="26"/>
      <c r="S1467" s="26"/>
      <c r="T1467" s="26"/>
      <c r="U1467" s="26"/>
      <c r="V1467" s="26"/>
      <c r="W1467" s="27"/>
    </row>
    <row r="1468" spans="1:23" ht="15.75" customHeight="1" x14ac:dyDescent="0.25">
      <c r="A1468" s="23"/>
      <c r="B1468" s="23" t="str">
        <f t="shared" si="6"/>
        <v/>
      </c>
      <c r="C1468" s="23"/>
      <c r="D1468" s="44"/>
      <c r="E1468" s="23"/>
      <c r="F1468" s="45"/>
      <c r="G1468" s="23"/>
      <c r="H1468" s="23"/>
      <c r="I1468" s="23"/>
      <c r="J1468" s="25"/>
      <c r="K1468" s="23"/>
      <c r="L1468" s="23"/>
      <c r="M1468" s="23"/>
      <c r="N1468" s="26"/>
      <c r="O1468" s="26"/>
      <c r="P1468" s="26"/>
      <c r="Q1468" s="26"/>
      <c r="R1468" s="26"/>
      <c r="S1468" s="26"/>
      <c r="T1468" s="26"/>
      <c r="U1468" s="26"/>
      <c r="V1468" s="26"/>
      <c r="W1468" s="27"/>
    </row>
    <row r="1469" spans="1:23" ht="15.75" customHeight="1" x14ac:dyDescent="0.25">
      <c r="A1469" s="23"/>
      <c r="B1469" s="23" t="str">
        <f t="shared" si="6"/>
        <v/>
      </c>
      <c r="C1469" s="23"/>
      <c r="D1469" s="44"/>
      <c r="E1469" s="23"/>
      <c r="F1469" s="45"/>
      <c r="G1469" s="23"/>
      <c r="H1469" s="23"/>
      <c r="I1469" s="23"/>
      <c r="J1469" s="25"/>
      <c r="K1469" s="23"/>
      <c r="L1469" s="23"/>
      <c r="M1469" s="23"/>
      <c r="N1469" s="26"/>
      <c r="O1469" s="26"/>
      <c r="P1469" s="26"/>
      <c r="Q1469" s="26"/>
      <c r="R1469" s="26"/>
      <c r="S1469" s="26"/>
      <c r="T1469" s="26"/>
      <c r="U1469" s="26"/>
      <c r="V1469" s="26"/>
      <c r="W1469" s="27"/>
    </row>
    <row r="1470" spans="1:23" ht="15.75" customHeight="1" x14ac:dyDescent="0.25">
      <c r="A1470" s="23"/>
      <c r="B1470" s="23" t="str">
        <f t="shared" si="6"/>
        <v/>
      </c>
      <c r="C1470" s="23"/>
      <c r="D1470" s="44"/>
      <c r="E1470" s="23"/>
      <c r="F1470" s="45"/>
      <c r="G1470" s="23"/>
      <c r="H1470" s="23"/>
      <c r="I1470" s="23"/>
      <c r="J1470" s="25"/>
      <c r="K1470" s="23"/>
      <c r="L1470" s="23"/>
      <c r="M1470" s="23"/>
      <c r="N1470" s="26"/>
      <c r="O1470" s="26"/>
      <c r="P1470" s="26"/>
      <c r="Q1470" s="26"/>
      <c r="R1470" s="26"/>
      <c r="S1470" s="26"/>
      <c r="T1470" s="26"/>
      <c r="U1470" s="26"/>
      <c r="V1470" s="26"/>
      <c r="W1470" s="27"/>
    </row>
    <row r="1471" spans="1:23" ht="15.75" customHeight="1" x14ac:dyDescent="0.25">
      <c r="A1471" s="23"/>
      <c r="B1471" s="23" t="str">
        <f t="shared" si="6"/>
        <v/>
      </c>
      <c r="C1471" s="23"/>
      <c r="D1471" s="44"/>
      <c r="E1471" s="23"/>
      <c r="F1471" s="45"/>
      <c r="G1471" s="23"/>
      <c r="H1471" s="23"/>
      <c r="I1471" s="23"/>
      <c r="J1471" s="25"/>
      <c r="K1471" s="23"/>
      <c r="L1471" s="23"/>
      <c r="M1471" s="23"/>
      <c r="N1471" s="26"/>
      <c r="O1471" s="26"/>
      <c r="P1471" s="26"/>
      <c r="Q1471" s="26"/>
      <c r="R1471" s="26"/>
      <c r="S1471" s="26"/>
      <c r="T1471" s="26"/>
      <c r="U1471" s="26"/>
      <c r="V1471" s="26"/>
      <c r="W1471" s="27"/>
    </row>
    <row r="1472" spans="1:23" ht="15.75" customHeight="1" x14ac:dyDescent="0.25">
      <c r="A1472" s="23"/>
      <c r="B1472" s="23" t="str">
        <f t="shared" si="6"/>
        <v/>
      </c>
      <c r="C1472" s="23"/>
      <c r="D1472" s="44"/>
      <c r="E1472" s="23"/>
      <c r="F1472" s="45"/>
      <c r="G1472" s="23"/>
      <c r="H1472" s="23"/>
      <c r="I1472" s="23"/>
      <c r="J1472" s="25"/>
      <c r="K1472" s="23"/>
      <c r="L1472" s="23"/>
      <c r="M1472" s="23"/>
      <c r="N1472" s="26"/>
      <c r="O1472" s="26"/>
      <c r="P1472" s="26"/>
      <c r="Q1472" s="26"/>
      <c r="R1472" s="26"/>
      <c r="S1472" s="26"/>
      <c r="T1472" s="26"/>
      <c r="U1472" s="26"/>
      <c r="V1472" s="26"/>
      <c r="W1472" s="27"/>
    </row>
    <row r="1473" spans="1:23" ht="15.75" customHeight="1" x14ac:dyDescent="0.25">
      <c r="A1473" s="23"/>
      <c r="B1473" s="23" t="str">
        <f t="shared" si="6"/>
        <v/>
      </c>
      <c r="C1473" s="23"/>
      <c r="D1473" s="44"/>
      <c r="E1473" s="23"/>
      <c r="F1473" s="45"/>
      <c r="G1473" s="23"/>
      <c r="H1473" s="23"/>
      <c r="I1473" s="23"/>
      <c r="J1473" s="25"/>
      <c r="K1473" s="23"/>
      <c r="L1473" s="23"/>
      <c r="M1473" s="23"/>
      <c r="N1473" s="26"/>
      <c r="O1473" s="26"/>
      <c r="P1473" s="26"/>
      <c r="Q1473" s="26"/>
      <c r="R1473" s="26"/>
      <c r="S1473" s="26"/>
      <c r="T1473" s="26"/>
      <c r="U1473" s="26"/>
      <c r="V1473" s="26"/>
      <c r="W1473" s="27"/>
    </row>
    <row r="1474" spans="1:23" ht="15.75" customHeight="1" x14ac:dyDescent="0.25">
      <c r="A1474" s="23"/>
      <c r="B1474" s="23" t="str">
        <f t="shared" si="6"/>
        <v/>
      </c>
      <c r="C1474" s="23"/>
      <c r="D1474" s="44"/>
      <c r="E1474" s="23"/>
      <c r="F1474" s="45"/>
      <c r="G1474" s="23"/>
      <c r="H1474" s="23"/>
      <c r="I1474" s="23"/>
      <c r="J1474" s="25"/>
      <c r="K1474" s="23"/>
      <c r="L1474" s="23"/>
      <c r="M1474" s="23"/>
      <c r="N1474" s="26"/>
      <c r="O1474" s="26"/>
      <c r="P1474" s="26"/>
      <c r="Q1474" s="26"/>
      <c r="R1474" s="26"/>
      <c r="S1474" s="26"/>
      <c r="T1474" s="26"/>
      <c r="U1474" s="26"/>
      <c r="V1474" s="26"/>
      <c r="W1474" s="27"/>
    </row>
    <row r="1475" spans="1:23" ht="15.75" customHeight="1" x14ac:dyDescent="0.25">
      <c r="A1475" s="23"/>
      <c r="B1475" s="23" t="str">
        <f t="shared" si="6"/>
        <v/>
      </c>
      <c r="C1475" s="23"/>
      <c r="D1475" s="44"/>
      <c r="E1475" s="23"/>
      <c r="F1475" s="45"/>
      <c r="G1475" s="23"/>
      <c r="H1475" s="23"/>
      <c r="I1475" s="23"/>
      <c r="J1475" s="25"/>
      <c r="K1475" s="23"/>
      <c r="L1475" s="23"/>
      <c r="M1475" s="23"/>
      <c r="N1475" s="26"/>
      <c r="O1475" s="26"/>
      <c r="P1475" s="26"/>
      <c r="Q1475" s="26"/>
      <c r="R1475" s="26"/>
      <c r="S1475" s="26"/>
      <c r="T1475" s="26"/>
      <c r="U1475" s="26"/>
      <c r="V1475" s="26"/>
      <c r="W1475" s="27"/>
    </row>
    <row r="1476" spans="1:23" ht="15.75" customHeight="1" x14ac:dyDescent="0.25">
      <c r="A1476" s="23"/>
      <c r="B1476" s="23" t="str">
        <f t="shared" si="6"/>
        <v/>
      </c>
      <c r="C1476" s="23"/>
      <c r="D1476" s="44"/>
      <c r="E1476" s="23"/>
      <c r="F1476" s="45"/>
      <c r="G1476" s="23"/>
      <c r="H1476" s="23"/>
      <c r="I1476" s="23"/>
      <c r="J1476" s="25"/>
      <c r="K1476" s="23"/>
      <c r="L1476" s="23"/>
      <c r="M1476" s="23"/>
      <c r="N1476" s="26"/>
      <c r="O1476" s="26"/>
      <c r="P1476" s="26"/>
      <c r="Q1476" s="26"/>
      <c r="R1476" s="26"/>
      <c r="S1476" s="26"/>
      <c r="T1476" s="26"/>
      <c r="U1476" s="26"/>
      <c r="V1476" s="26"/>
      <c r="W1476" s="27"/>
    </row>
    <row r="1477" spans="1:23" ht="15.75" customHeight="1" x14ac:dyDescent="0.25">
      <c r="A1477" s="23"/>
      <c r="B1477" s="23" t="str">
        <f t="shared" si="6"/>
        <v/>
      </c>
      <c r="C1477" s="23"/>
      <c r="D1477" s="44"/>
      <c r="E1477" s="23"/>
      <c r="F1477" s="45"/>
      <c r="G1477" s="23"/>
      <c r="H1477" s="23"/>
      <c r="I1477" s="23"/>
      <c r="J1477" s="25"/>
      <c r="K1477" s="23"/>
      <c r="L1477" s="23"/>
      <c r="M1477" s="23"/>
      <c r="N1477" s="26"/>
      <c r="O1477" s="26"/>
      <c r="P1477" s="26"/>
      <c r="Q1477" s="26"/>
      <c r="R1477" s="26"/>
      <c r="S1477" s="26"/>
      <c r="T1477" s="26"/>
      <c r="U1477" s="26"/>
      <c r="V1477" s="26"/>
      <c r="W1477" s="27"/>
    </row>
    <row r="1478" spans="1:23" ht="15.75" customHeight="1" x14ac:dyDescent="0.25">
      <c r="A1478" s="23"/>
      <c r="B1478" s="23" t="str">
        <f t="shared" si="6"/>
        <v/>
      </c>
      <c r="C1478" s="23"/>
      <c r="D1478" s="44"/>
      <c r="E1478" s="23"/>
      <c r="F1478" s="45"/>
      <c r="G1478" s="23"/>
      <c r="H1478" s="23"/>
      <c r="I1478" s="23"/>
      <c r="J1478" s="25"/>
      <c r="K1478" s="23"/>
      <c r="L1478" s="23"/>
      <c r="M1478" s="23"/>
      <c r="N1478" s="26"/>
      <c r="O1478" s="26"/>
      <c r="P1478" s="26"/>
      <c r="Q1478" s="26"/>
      <c r="R1478" s="26"/>
      <c r="S1478" s="26"/>
      <c r="T1478" s="26"/>
      <c r="U1478" s="26"/>
      <c r="V1478" s="26"/>
      <c r="W1478" s="27"/>
    </row>
    <row r="1479" spans="1:23" ht="15.75" customHeight="1" x14ac:dyDescent="0.25">
      <c r="A1479" s="23"/>
      <c r="B1479" s="23" t="str">
        <f t="shared" si="6"/>
        <v/>
      </c>
      <c r="C1479" s="23"/>
      <c r="D1479" s="44"/>
      <c r="E1479" s="23"/>
      <c r="F1479" s="45"/>
      <c r="G1479" s="23"/>
      <c r="H1479" s="23"/>
      <c r="I1479" s="23"/>
      <c r="J1479" s="25"/>
      <c r="K1479" s="23"/>
      <c r="L1479" s="23"/>
      <c r="M1479" s="23"/>
      <c r="N1479" s="26"/>
      <c r="O1479" s="26"/>
      <c r="P1479" s="26"/>
      <c r="Q1479" s="26"/>
      <c r="R1479" s="26"/>
      <c r="S1479" s="26"/>
      <c r="T1479" s="26"/>
      <c r="U1479" s="26"/>
      <c r="V1479" s="26"/>
      <c r="W1479" s="27"/>
    </row>
    <row r="1480" spans="1:23" ht="15.75" customHeight="1" x14ac:dyDescent="0.25">
      <c r="A1480" s="23"/>
      <c r="B1480" s="23" t="str">
        <f t="shared" si="6"/>
        <v/>
      </c>
      <c r="C1480" s="23"/>
      <c r="D1480" s="44"/>
      <c r="E1480" s="23"/>
      <c r="F1480" s="45"/>
      <c r="G1480" s="23"/>
      <c r="H1480" s="23"/>
      <c r="I1480" s="23"/>
      <c r="J1480" s="25"/>
      <c r="K1480" s="23"/>
      <c r="L1480" s="23"/>
      <c r="M1480" s="23"/>
      <c r="N1480" s="26"/>
      <c r="O1480" s="26"/>
      <c r="P1480" s="26"/>
      <c r="Q1480" s="26"/>
      <c r="R1480" s="26"/>
      <c r="S1480" s="26"/>
      <c r="T1480" s="26"/>
      <c r="U1480" s="26"/>
      <c r="V1480" s="26"/>
      <c r="W1480" s="27"/>
    </row>
    <row r="1481" spans="1:23" ht="15.75" customHeight="1" x14ac:dyDescent="0.25">
      <c r="A1481" s="23"/>
      <c r="B1481" s="23" t="str">
        <f t="shared" si="6"/>
        <v/>
      </c>
      <c r="C1481" s="23"/>
      <c r="D1481" s="44"/>
      <c r="E1481" s="23"/>
      <c r="F1481" s="45"/>
      <c r="G1481" s="23"/>
      <c r="H1481" s="23"/>
      <c r="I1481" s="23"/>
      <c r="J1481" s="25"/>
      <c r="K1481" s="23"/>
      <c r="L1481" s="23"/>
      <c r="M1481" s="23"/>
      <c r="N1481" s="26"/>
      <c r="O1481" s="26"/>
      <c r="P1481" s="26"/>
      <c r="Q1481" s="26"/>
      <c r="R1481" s="26"/>
      <c r="S1481" s="26"/>
      <c r="T1481" s="26"/>
      <c r="U1481" s="26"/>
      <c r="V1481" s="26"/>
      <c r="W1481" s="27"/>
    </row>
    <row r="1482" spans="1:23" ht="15.75" customHeight="1" x14ac:dyDescent="0.25">
      <c r="A1482" s="23"/>
      <c r="B1482" s="23" t="str">
        <f t="shared" si="6"/>
        <v/>
      </c>
      <c r="C1482" s="23"/>
      <c r="D1482" s="44"/>
      <c r="E1482" s="23"/>
      <c r="F1482" s="45"/>
      <c r="G1482" s="23"/>
      <c r="H1482" s="23"/>
      <c r="I1482" s="23"/>
      <c r="J1482" s="25"/>
      <c r="K1482" s="23"/>
      <c r="L1482" s="23"/>
      <c r="M1482" s="23"/>
      <c r="N1482" s="26"/>
      <c r="O1482" s="26"/>
      <c r="P1482" s="26"/>
      <c r="Q1482" s="26"/>
      <c r="R1482" s="26"/>
      <c r="S1482" s="26"/>
      <c r="T1482" s="26"/>
      <c r="U1482" s="26"/>
      <c r="V1482" s="26"/>
      <c r="W1482" s="27"/>
    </row>
    <row r="1483" spans="1:23" ht="15.75" customHeight="1" x14ac:dyDescent="0.25">
      <c r="A1483" s="23"/>
      <c r="B1483" s="23" t="str">
        <f t="shared" si="6"/>
        <v/>
      </c>
      <c r="C1483" s="23"/>
      <c r="D1483" s="44"/>
      <c r="E1483" s="23"/>
      <c r="F1483" s="45"/>
      <c r="G1483" s="23"/>
      <c r="H1483" s="23"/>
      <c r="I1483" s="23"/>
      <c r="J1483" s="25"/>
      <c r="K1483" s="23"/>
      <c r="L1483" s="23"/>
      <c r="M1483" s="23"/>
      <c r="N1483" s="26"/>
      <c r="O1483" s="26"/>
      <c r="P1483" s="26"/>
      <c r="Q1483" s="26"/>
      <c r="R1483" s="26"/>
      <c r="S1483" s="26"/>
      <c r="T1483" s="26"/>
      <c r="U1483" s="26"/>
      <c r="V1483" s="26"/>
      <c r="W1483" s="27"/>
    </row>
    <row r="1484" spans="1:23" ht="15.75" customHeight="1" x14ac:dyDescent="0.25">
      <c r="A1484" s="23"/>
      <c r="B1484" s="23" t="str">
        <f t="shared" si="6"/>
        <v/>
      </c>
      <c r="C1484" s="23"/>
      <c r="D1484" s="44"/>
      <c r="E1484" s="23"/>
      <c r="F1484" s="45"/>
      <c r="G1484" s="23"/>
      <c r="H1484" s="23"/>
      <c r="I1484" s="23"/>
      <c r="J1484" s="25"/>
      <c r="K1484" s="23"/>
      <c r="L1484" s="23"/>
      <c r="M1484" s="23"/>
      <c r="N1484" s="26"/>
      <c r="O1484" s="26"/>
      <c r="P1484" s="26"/>
      <c r="Q1484" s="26"/>
      <c r="R1484" s="26"/>
      <c r="S1484" s="26"/>
      <c r="T1484" s="26"/>
      <c r="U1484" s="26"/>
      <c r="V1484" s="26"/>
      <c r="W1484" s="27"/>
    </row>
    <row r="1485" spans="1:23" ht="15.75" customHeight="1" x14ac:dyDescent="0.25">
      <c r="A1485" s="23"/>
      <c r="B1485" s="23" t="str">
        <f t="shared" si="6"/>
        <v/>
      </c>
      <c r="C1485" s="23"/>
      <c r="D1485" s="44"/>
      <c r="E1485" s="23"/>
      <c r="F1485" s="45"/>
      <c r="G1485" s="23"/>
      <c r="H1485" s="23"/>
      <c r="I1485" s="23"/>
      <c r="J1485" s="25"/>
      <c r="K1485" s="23"/>
      <c r="L1485" s="23"/>
      <c r="M1485" s="23"/>
      <c r="N1485" s="26"/>
      <c r="O1485" s="26"/>
      <c r="P1485" s="26"/>
      <c r="Q1485" s="26"/>
      <c r="R1485" s="26"/>
      <c r="S1485" s="26"/>
      <c r="T1485" s="26"/>
      <c r="U1485" s="26"/>
      <c r="V1485" s="26"/>
      <c r="W1485" s="27"/>
    </row>
    <row r="1486" spans="1:23" ht="15.75" customHeight="1" x14ac:dyDescent="0.25">
      <c r="A1486" s="23"/>
      <c r="B1486" s="23" t="str">
        <f t="shared" si="6"/>
        <v/>
      </c>
      <c r="C1486" s="23"/>
      <c r="D1486" s="44"/>
      <c r="E1486" s="23"/>
      <c r="F1486" s="45"/>
      <c r="G1486" s="23"/>
      <c r="H1486" s="23"/>
      <c r="I1486" s="23"/>
      <c r="J1486" s="25"/>
      <c r="K1486" s="23"/>
      <c r="L1486" s="23"/>
      <c r="M1486" s="23"/>
      <c r="N1486" s="26"/>
      <c r="O1486" s="26"/>
      <c r="P1486" s="26"/>
      <c r="Q1486" s="26"/>
      <c r="R1486" s="26"/>
      <c r="S1486" s="26"/>
      <c r="T1486" s="26"/>
      <c r="U1486" s="26"/>
      <c r="V1486" s="26"/>
      <c r="W1486" s="27"/>
    </row>
    <row r="1487" spans="1:23" ht="15.75" customHeight="1" x14ac:dyDescent="0.25">
      <c r="A1487" s="23"/>
      <c r="B1487" s="23" t="str">
        <f t="shared" si="6"/>
        <v/>
      </c>
      <c r="C1487" s="23"/>
      <c r="D1487" s="44"/>
      <c r="E1487" s="23"/>
      <c r="F1487" s="45"/>
      <c r="G1487" s="23"/>
      <c r="H1487" s="23"/>
      <c r="I1487" s="23"/>
      <c r="J1487" s="25"/>
      <c r="K1487" s="23"/>
      <c r="L1487" s="23"/>
      <c r="M1487" s="23"/>
      <c r="N1487" s="26"/>
      <c r="O1487" s="26"/>
      <c r="P1487" s="26"/>
      <c r="Q1487" s="26"/>
      <c r="R1487" s="26"/>
      <c r="S1487" s="26"/>
      <c r="T1487" s="26"/>
      <c r="U1487" s="26"/>
      <c r="V1487" s="26"/>
      <c r="W1487" s="27"/>
    </row>
    <row r="1488" spans="1:23" ht="15.75" customHeight="1" x14ac:dyDescent="0.25">
      <c r="A1488" s="23"/>
      <c r="B1488" s="23" t="str">
        <f t="shared" si="6"/>
        <v/>
      </c>
      <c r="C1488" s="23"/>
      <c r="D1488" s="44"/>
      <c r="E1488" s="23"/>
      <c r="F1488" s="45"/>
      <c r="G1488" s="23"/>
      <c r="H1488" s="23"/>
      <c r="I1488" s="23"/>
      <c r="J1488" s="25"/>
      <c r="K1488" s="23"/>
      <c r="L1488" s="23"/>
      <c r="M1488" s="23"/>
      <c r="N1488" s="26"/>
      <c r="O1488" s="26"/>
      <c r="P1488" s="26"/>
      <c r="Q1488" s="26"/>
      <c r="R1488" s="26"/>
      <c r="S1488" s="26"/>
      <c r="T1488" s="26"/>
      <c r="U1488" s="26"/>
      <c r="V1488" s="26"/>
      <c r="W1488" s="27"/>
    </row>
    <row r="1489" spans="1:23" ht="15.75" customHeight="1" x14ac:dyDescent="0.25">
      <c r="A1489" s="23"/>
      <c r="B1489" s="23" t="str">
        <f t="shared" si="6"/>
        <v/>
      </c>
      <c r="C1489" s="23"/>
      <c r="D1489" s="44"/>
      <c r="E1489" s="23"/>
      <c r="F1489" s="45"/>
      <c r="G1489" s="23"/>
      <c r="H1489" s="23"/>
      <c r="I1489" s="23"/>
      <c r="J1489" s="25"/>
      <c r="K1489" s="23"/>
      <c r="L1489" s="23"/>
      <c r="M1489" s="23"/>
      <c r="N1489" s="26"/>
      <c r="O1489" s="26"/>
      <c r="P1489" s="26"/>
      <c r="Q1489" s="26"/>
      <c r="R1489" s="26"/>
      <c r="S1489" s="26"/>
      <c r="T1489" s="26"/>
      <c r="U1489" s="26"/>
      <c r="V1489" s="26"/>
      <c r="W1489" s="27"/>
    </row>
    <row r="1490" spans="1:23" ht="15.75" customHeight="1" x14ac:dyDescent="0.25">
      <c r="A1490" s="23"/>
      <c r="B1490" s="23" t="str">
        <f t="shared" si="6"/>
        <v/>
      </c>
      <c r="C1490" s="23"/>
      <c r="D1490" s="44"/>
      <c r="E1490" s="23"/>
      <c r="F1490" s="45"/>
      <c r="G1490" s="23"/>
      <c r="H1490" s="23"/>
      <c r="I1490" s="23"/>
      <c r="J1490" s="25"/>
      <c r="K1490" s="23"/>
      <c r="L1490" s="23"/>
      <c r="M1490" s="23"/>
      <c r="N1490" s="26"/>
      <c r="O1490" s="26"/>
      <c r="P1490" s="26"/>
      <c r="Q1490" s="26"/>
      <c r="R1490" s="26"/>
      <c r="S1490" s="26"/>
      <c r="T1490" s="26"/>
      <c r="U1490" s="26"/>
      <c r="V1490" s="26"/>
      <c r="W1490" s="27"/>
    </row>
    <row r="1491" spans="1:23" ht="15.75" customHeight="1" x14ac:dyDescent="0.25">
      <c r="A1491" s="23"/>
      <c r="B1491" s="23" t="str">
        <f t="shared" si="6"/>
        <v/>
      </c>
      <c r="C1491" s="23"/>
      <c r="D1491" s="44"/>
      <c r="E1491" s="23"/>
      <c r="F1491" s="45"/>
      <c r="G1491" s="23"/>
      <c r="H1491" s="23"/>
      <c r="I1491" s="23"/>
      <c r="J1491" s="25"/>
      <c r="K1491" s="23"/>
      <c r="L1491" s="23"/>
      <c r="M1491" s="23"/>
      <c r="N1491" s="26"/>
      <c r="O1491" s="26"/>
      <c r="P1491" s="26"/>
      <c r="Q1491" s="26"/>
      <c r="R1491" s="26"/>
      <c r="S1491" s="26"/>
      <c r="T1491" s="26"/>
      <c r="U1491" s="26"/>
      <c r="V1491" s="26"/>
      <c r="W1491" s="27"/>
    </row>
    <row r="1492" spans="1:23" ht="15.75" customHeight="1" x14ac:dyDescent="0.25">
      <c r="A1492" s="23"/>
      <c r="B1492" s="23" t="str">
        <f t="shared" si="6"/>
        <v/>
      </c>
      <c r="C1492" s="23"/>
      <c r="D1492" s="44"/>
      <c r="E1492" s="23"/>
      <c r="F1492" s="45"/>
      <c r="G1492" s="23"/>
      <c r="H1492" s="23"/>
      <c r="I1492" s="23"/>
      <c r="J1492" s="25"/>
      <c r="K1492" s="23"/>
      <c r="L1492" s="23"/>
      <c r="M1492" s="23"/>
      <c r="N1492" s="26"/>
      <c r="O1492" s="26"/>
      <c r="P1492" s="26"/>
      <c r="Q1492" s="26"/>
      <c r="R1492" s="26"/>
      <c r="S1492" s="26"/>
      <c r="T1492" s="26"/>
      <c r="U1492" s="26"/>
      <c r="V1492" s="26"/>
      <c r="W1492" s="27"/>
    </row>
    <row r="1493" spans="1:23" ht="15.75" customHeight="1" x14ac:dyDescent="0.25">
      <c r="A1493" s="23"/>
      <c r="B1493" s="23" t="str">
        <f t="shared" si="6"/>
        <v/>
      </c>
      <c r="C1493" s="23"/>
      <c r="D1493" s="44"/>
      <c r="E1493" s="23"/>
      <c r="F1493" s="45"/>
      <c r="G1493" s="23"/>
      <c r="H1493" s="23"/>
      <c r="I1493" s="23"/>
      <c r="J1493" s="25"/>
      <c r="K1493" s="23"/>
      <c r="L1493" s="23"/>
      <c r="M1493" s="23"/>
      <c r="N1493" s="26"/>
      <c r="O1493" s="26"/>
      <c r="P1493" s="26"/>
      <c r="Q1493" s="26"/>
      <c r="R1493" s="26"/>
      <c r="S1493" s="26"/>
      <c r="T1493" s="26"/>
      <c r="U1493" s="26"/>
      <c r="V1493" s="26"/>
      <c r="W1493" s="27"/>
    </row>
    <row r="1494" spans="1:23" ht="15.75" customHeight="1" x14ac:dyDescent="0.25">
      <c r="A1494" s="23"/>
      <c r="B1494" s="23" t="str">
        <f t="shared" si="6"/>
        <v/>
      </c>
      <c r="C1494" s="23"/>
      <c r="D1494" s="44"/>
      <c r="E1494" s="23"/>
      <c r="F1494" s="45"/>
      <c r="G1494" s="23"/>
      <c r="H1494" s="23"/>
      <c r="I1494" s="23"/>
      <c r="J1494" s="25"/>
      <c r="K1494" s="23"/>
      <c r="L1494" s="23"/>
      <c r="M1494" s="23"/>
      <c r="N1494" s="26"/>
      <c r="O1494" s="26"/>
      <c r="P1494" s="26"/>
      <c r="Q1494" s="26"/>
      <c r="R1494" s="26"/>
      <c r="S1494" s="26"/>
      <c r="T1494" s="26"/>
      <c r="U1494" s="26"/>
      <c r="V1494" s="26"/>
      <c r="W1494" s="27"/>
    </row>
    <row r="1495" spans="1:23" ht="15.75" customHeight="1" x14ac:dyDescent="0.25">
      <c r="A1495" s="23"/>
      <c r="B1495" s="23" t="str">
        <f t="shared" si="6"/>
        <v/>
      </c>
      <c r="C1495" s="23"/>
      <c r="D1495" s="44"/>
      <c r="E1495" s="23"/>
      <c r="F1495" s="45"/>
      <c r="G1495" s="23"/>
      <c r="H1495" s="23"/>
      <c r="I1495" s="23"/>
      <c r="J1495" s="25"/>
      <c r="K1495" s="23"/>
      <c r="L1495" s="23"/>
      <c r="M1495" s="23"/>
      <c r="N1495" s="26"/>
      <c r="O1495" s="26"/>
      <c r="P1495" s="26"/>
      <c r="Q1495" s="26"/>
      <c r="R1495" s="26"/>
      <c r="S1495" s="26"/>
      <c r="T1495" s="26"/>
      <c r="U1495" s="26"/>
      <c r="V1495" s="26"/>
      <c r="W1495" s="27"/>
    </row>
    <row r="1496" spans="1:23" ht="15.75" customHeight="1" x14ac:dyDescent="0.25">
      <c r="A1496" s="23"/>
      <c r="B1496" s="23" t="str">
        <f t="shared" si="6"/>
        <v/>
      </c>
      <c r="C1496" s="23"/>
      <c r="D1496" s="44"/>
      <c r="E1496" s="23"/>
      <c r="F1496" s="45"/>
      <c r="G1496" s="23"/>
      <c r="H1496" s="23"/>
      <c r="I1496" s="23"/>
      <c r="J1496" s="25"/>
      <c r="K1496" s="23"/>
      <c r="L1496" s="23"/>
      <c r="M1496" s="23"/>
      <c r="N1496" s="26"/>
      <c r="O1496" s="26"/>
      <c r="P1496" s="26"/>
      <c r="Q1496" s="26"/>
      <c r="R1496" s="26"/>
      <c r="S1496" s="26"/>
      <c r="T1496" s="26"/>
      <c r="U1496" s="26"/>
      <c r="V1496" s="26"/>
      <c r="W1496" s="27"/>
    </row>
    <row r="1497" spans="1:23" ht="15.75" customHeight="1" x14ac:dyDescent="0.25">
      <c r="A1497" s="23"/>
      <c r="B1497" s="23" t="str">
        <f t="shared" si="6"/>
        <v/>
      </c>
      <c r="C1497" s="23"/>
      <c r="D1497" s="44"/>
      <c r="E1497" s="23"/>
      <c r="F1497" s="45"/>
      <c r="G1497" s="23"/>
      <c r="H1497" s="23"/>
      <c r="I1497" s="23"/>
      <c r="J1497" s="25"/>
      <c r="K1497" s="23"/>
      <c r="L1497" s="23"/>
      <c r="M1497" s="23"/>
      <c r="N1497" s="26"/>
      <c r="O1497" s="26"/>
      <c r="P1497" s="26"/>
      <c r="Q1497" s="26"/>
      <c r="R1497" s="26"/>
      <c r="S1497" s="26"/>
      <c r="T1497" s="26"/>
      <c r="U1497" s="26"/>
      <c r="V1497" s="26"/>
      <c r="W1497" s="27"/>
    </row>
    <row r="1498" spans="1:23" ht="15.75" customHeight="1" x14ac:dyDescent="0.25">
      <c r="A1498" s="23"/>
      <c r="B1498" s="23" t="str">
        <f t="shared" si="6"/>
        <v/>
      </c>
      <c r="C1498" s="23"/>
      <c r="D1498" s="44"/>
      <c r="E1498" s="23"/>
      <c r="F1498" s="45"/>
      <c r="G1498" s="23"/>
      <c r="H1498" s="23"/>
      <c r="I1498" s="23"/>
      <c r="J1498" s="25"/>
      <c r="K1498" s="23"/>
      <c r="L1498" s="23"/>
      <c r="M1498" s="23"/>
      <c r="N1498" s="26"/>
      <c r="O1498" s="26"/>
      <c r="P1498" s="26"/>
      <c r="Q1498" s="26"/>
      <c r="R1498" s="26"/>
      <c r="S1498" s="26"/>
      <c r="T1498" s="26"/>
      <c r="U1498" s="26"/>
      <c r="V1498" s="26"/>
      <c r="W1498" s="27"/>
    </row>
    <row r="1499" spans="1:23" ht="15.75" customHeight="1" x14ac:dyDescent="0.25">
      <c r="A1499" s="23"/>
      <c r="B1499" s="23" t="str">
        <f t="shared" si="6"/>
        <v/>
      </c>
      <c r="C1499" s="23"/>
      <c r="D1499" s="44"/>
      <c r="E1499" s="23"/>
      <c r="F1499" s="45"/>
      <c r="G1499" s="23"/>
      <c r="H1499" s="23"/>
      <c r="I1499" s="23"/>
      <c r="J1499" s="25"/>
      <c r="K1499" s="23"/>
      <c r="L1499" s="23"/>
      <c r="M1499" s="23"/>
      <c r="N1499" s="26"/>
      <c r="O1499" s="26"/>
      <c r="P1499" s="26"/>
      <c r="Q1499" s="26"/>
      <c r="R1499" s="26"/>
      <c r="S1499" s="26"/>
      <c r="T1499" s="26"/>
      <c r="U1499" s="26"/>
      <c r="V1499" s="26"/>
      <c r="W1499" s="27"/>
    </row>
    <row r="1500" spans="1:23" ht="15.75" customHeight="1" x14ac:dyDescent="0.25">
      <c r="A1500" s="23"/>
      <c r="B1500" s="23" t="str">
        <f t="shared" si="6"/>
        <v/>
      </c>
      <c r="C1500" s="23"/>
      <c r="D1500" s="44"/>
      <c r="E1500" s="23"/>
      <c r="F1500" s="45"/>
      <c r="G1500" s="23"/>
      <c r="H1500" s="23"/>
      <c r="I1500" s="23"/>
      <c r="J1500" s="25"/>
      <c r="K1500" s="23"/>
      <c r="L1500" s="23"/>
      <c r="M1500" s="23"/>
      <c r="N1500" s="26"/>
      <c r="O1500" s="26"/>
      <c r="P1500" s="26"/>
      <c r="Q1500" s="26"/>
      <c r="R1500" s="26"/>
      <c r="S1500" s="26"/>
      <c r="T1500" s="26"/>
      <c r="U1500" s="26"/>
      <c r="V1500" s="26"/>
      <c r="W1500" s="27"/>
    </row>
    <row r="1501" spans="1:23" ht="15.75" customHeight="1" x14ac:dyDescent="0.25">
      <c r="A1501" s="23"/>
      <c r="B1501" s="23" t="str">
        <f t="shared" si="6"/>
        <v/>
      </c>
      <c r="C1501" s="23"/>
      <c r="D1501" s="44"/>
      <c r="E1501" s="23"/>
      <c r="F1501" s="45"/>
      <c r="G1501" s="23"/>
      <c r="H1501" s="23"/>
      <c r="I1501" s="23"/>
      <c r="J1501" s="25"/>
      <c r="K1501" s="23"/>
      <c r="L1501" s="23"/>
      <c r="M1501" s="23"/>
      <c r="N1501" s="26"/>
      <c r="O1501" s="26"/>
      <c r="P1501" s="26"/>
      <c r="Q1501" s="26"/>
      <c r="R1501" s="26"/>
      <c r="S1501" s="26"/>
      <c r="T1501" s="26"/>
      <c r="U1501" s="26"/>
      <c r="V1501" s="26"/>
      <c r="W1501" s="27"/>
    </row>
    <row r="1502" spans="1:23" ht="15.75" customHeight="1" x14ac:dyDescent="0.25">
      <c r="A1502" s="23"/>
      <c r="B1502" s="23" t="str">
        <f t="shared" si="6"/>
        <v/>
      </c>
      <c r="C1502" s="23"/>
      <c r="D1502" s="44"/>
      <c r="E1502" s="23"/>
      <c r="F1502" s="45"/>
      <c r="G1502" s="23"/>
      <c r="H1502" s="23"/>
      <c r="I1502" s="23"/>
      <c r="J1502" s="25"/>
      <c r="K1502" s="23"/>
      <c r="L1502" s="23"/>
      <c r="M1502" s="23"/>
      <c r="N1502" s="26"/>
      <c r="O1502" s="26"/>
      <c r="P1502" s="26"/>
      <c r="Q1502" s="26"/>
      <c r="R1502" s="26"/>
      <c r="S1502" s="26"/>
      <c r="T1502" s="26"/>
      <c r="U1502" s="26"/>
      <c r="V1502" s="26"/>
      <c r="W1502" s="27"/>
    </row>
    <row r="1503" spans="1:23" ht="15.75" customHeight="1" x14ac:dyDescent="0.25">
      <c r="A1503" s="23"/>
      <c r="B1503" s="23" t="str">
        <f t="shared" si="6"/>
        <v/>
      </c>
      <c r="C1503" s="23"/>
      <c r="D1503" s="44"/>
      <c r="E1503" s="23"/>
      <c r="F1503" s="45"/>
      <c r="G1503" s="23"/>
      <c r="H1503" s="23"/>
      <c r="I1503" s="23"/>
      <c r="J1503" s="25"/>
      <c r="K1503" s="23"/>
      <c r="L1503" s="23"/>
      <c r="M1503" s="23"/>
      <c r="N1503" s="26"/>
      <c r="O1503" s="26"/>
      <c r="P1503" s="26"/>
      <c r="Q1503" s="26"/>
      <c r="R1503" s="26"/>
      <c r="S1503" s="26"/>
      <c r="T1503" s="26"/>
      <c r="U1503" s="26"/>
      <c r="V1503" s="26"/>
      <c r="W1503" s="27"/>
    </row>
    <row r="1504" spans="1:23" ht="15.75" customHeight="1" x14ac:dyDescent="0.25">
      <c r="A1504" s="23"/>
      <c r="B1504" s="23" t="str">
        <f t="shared" si="6"/>
        <v/>
      </c>
      <c r="C1504" s="23"/>
      <c r="D1504" s="44"/>
      <c r="E1504" s="23"/>
      <c r="F1504" s="45"/>
      <c r="G1504" s="23"/>
      <c r="H1504" s="23"/>
      <c r="I1504" s="23"/>
      <c r="J1504" s="25"/>
      <c r="K1504" s="23"/>
      <c r="L1504" s="23"/>
      <c r="M1504" s="23"/>
      <c r="N1504" s="26"/>
      <c r="O1504" s="26"/>
      <c r="P1504" s="26"/>
      <c r="Q1504" s="26"/>
      <c r="R1504" s="26"/>
      <c r="S1504" s="26"/>
      <c r="T1504" s="26"/>
      <c r="U1504" s="26"/>
      <c r="V1504" s="26"/>
      <c r="W1504" s="27"/>
    </row>
    <row r="1505" spans="1:23" ht="15.75" customHeight="1" x14ac:dyDescent="0.25">
      <c r="A1505" s="23"/>
      <c r="B1505" s="23" t="str">
        <f t="shared" si="6"/>
        <v/>
      </c>
      <c r="C1505" s="23"/>
      <c r="D1505" s="44"/>
      <c r="E1505" s="23"/>
      <c r="F1505" s="45"/>
      <c r="G1505" s="23"/>
      <c r="H1505" s="23"/>
      <c r="I1505" s="23"/>
      <c r="J1505" s="25"/>
      <c r="K1505" s="23"/>
      <c r="L1505" s="23"/>
      <c r="M1505" s="23"/>
      <c r="N1505" s="26"/>
      <c r="O1505" s="26"/>
      <c r="P1505" s="26"/>
      <c r="Q1505" s="26"/>
      <c r="R1505" s="26"/>
      <c r="S1505" s="26"/>
      <c r="T1505" s="26"/>
      <c r="U1505" s="26"/>
      <c r="V1505" s="26"/>
      <c r="W1505" s="27"/>
    </row>
    <row r="1506" spans="1:23" ht="15.75" customHeight="1" x14ac:dyDescent="0.25">
      <c r="A1506" s="23"/>
      <c r="B1506" s="23" t="str">
        <f t="shared" si="6"/>
        <v/>
      </c>
      <c r="C1506" s="23"/>
      <c r="D1506" s="44"/>
      <c r="E1506" s="23"/>
      <c r="F1506" s="45"/>
      <c r="G1506" s="23"/>
      <c r="H1506" s="23"/>
      <c r="I1506" s="23"/>
      <c r="J1506" s="25"/>
      <c r="K1506" s="23"/>
      <c r="L1506" s="23"/>
      <c r="M1506" s="23"/>
      <c r="N1506" s="26"/>
      <c r="O1506" s="26"/>
      <c r="P1506" s="26"/>
      <c r="Q1506" s="26"/>
      <c r="R1506" s="26"/>
      <c r="S1506" s="26"/>
      <c r="T1506" s="26"/>
      <c r="U1506" s="26"/>
      <c r="V1506" s="26"/>
      <c r="W1506" s="27"/>
    </row>
    <row r="1507" spans="1:23" ht="15.75" customHeight="1" x14ac:dyDescent="0.25">
      <c r="A1507" s="23"/>
      <c r="B1507" s="23" t="str">
        <f t="shared" si="6"/>
        <v/>
      </c>
      <c r="C1507" s="23"/>
      <c r="D1507" s="44"/>
      <c r="E1507" s="23"/>
      <c r="F1507" s="45"/>
      <c r="G1507" s="23"/>
      <c r="H1507" s="23"/>
      <c r="I1507" s="23"/>
      <c r="J1507" s="25"/>
      <c r="K1507" s="23"/>
      <c r="L1507" s="23"/>
      <c r="M1507" s="23"/>
      <c r="N1507" s="26"/>
      <c r="O1507" s="26"/>
      <c r="P1507" s="26"/>
      <c r="Q1507" s="26"/>
      <c r="R1507" s="26"/>
      <c r="S1507" s="26"/>
      <c r="T1507" s="26"/>
      <c r="U1507" s="26"/>
      <c r="V1507" s="26"/>
      <c r="W1507" s="27"/>
    </row>
    <row r="1508" spans="1:23" ht="15.75" customHeight="1" x14ac:dyDescent="0.25">
      <c r="A1508" s="23"/>
      <c r="B1508" s="23" t="str">
        <f t="shared" si="6"/>
        <v/>
      </c>
      <c r="C1508" s="23"/>
      <c r="D1508" s="44"/>
      <c r="E1508" s="23"/>
      <c r="F1508" s="45"/>
      <c r="G1508" s="23"/>
      <c r="H1508" s="23"/>
      <c r="I1508" s="23"/>
      <c r="J1508" s="25"/>
      <c r="K1508" s="23"/>
      <c r="L1508" s="23"/>
      <c r="M1508" s="23"/>
      <c r="N1508" s="26"/>
      <c r="O1508" s="26"/>
      <c r="P1508" s="26"/>
      <c r="Q1508" s="26"/>
      <c r="R1508" s="26"/>
      <c r="S1508" s="26"/>
      <c r="T1508" s="26"/>
      <c r="U1508" s="26"/>
      <c r="V1508" s="26"/>
      <c r="W1508" s="27"/>
    </row>
    <row r="1509" spans="1:23" ht="15.75" customHeight="1" x14ac:dyDescent="0.25">
      <c r="A1509" s="23"/>
      <c r="B1509" s="23" t="str">
        <f t="shared" si="6"/>
        <v/>
      </c>
      <c r="C1509" s="23"/>
      <c r="D1509" s="44"/>
      <c r="E1509" s="23"/>
      <c r="F1509" s="45"/>
      <c r="G1509" s="23"/>
      <c r="H1509" s="23"/>
      <c r="I1509" s="23"/>
      <c r="J1509" s="25"/>
      <c r="K1509" s="23"/>
      <c r="L1509" s="23"/>
      <c r="M1509" s="23"/>
      <c r="N1509" s="26"/>
      <c r="O1509" s="26"/>
      <c r="P1509" s="26"/>
      <c r="Q1509" s="26"/>
      <c r="R1509" s="26"/>
      <c r="S1509" s="26"/>
      <c r="T1509" s="26"/>
      <c r="U1509" s="26"/>
      <c r="V1509" s="26"/>
      <c r="W1509" s="27"/>
    </row>
    <row r="1510" spans="1:23" ht="15.75" customHeight="1" x14ac:dyDescent="0.25">
      <c r="A1510" s="23"/>
      <c r="B1510" s="23" t="str">
        <f t="shared" si="6"/>
        <v/>
      </c>
      <c r="C1510" s="23"/>
      <c r="D1510" s="44"/>
      <c r="E1510" s="23"/>
      <c r="F1510" s="45"/>
      <c r="G1510" s="23"/>
      <c r="H1510" s="23"/>
      <c r="I1510" s="23"/>
      <c r="J1510" s="25"/>
      <c r="K1510" s="23"/>
      <c r="L1510" s="23"/>
      <c r="M1510" s="23"/>
      <c r="N1510" s="26"/>
      <c r="O1510" s="26"/>
      <c r="P1510" s="26"/>
      <c r="Q1510" s="26"/>
      <c r="R1510" s="26"/>
      <c r="S1510" s="26"/>
      <c r="T1510" s="26"/>
      <c r="U1510" s="26"/>
      <c r="V1510" s="26"/>
      <c r="W1510" s="27"/>
    </row>
    <row r="1511" spans="1:23" ht="15.75" customHeight="1" x14ac:dyDescent="0.25">
      <c r="A1511" s="23"/>
      <c r="B1511" s="23" t="str">
        <f t="shared" si="6"/>
        <v/>
      </c>
      <c r="C1511" s="23"/>
      <c r="D1511" s="44"/>
      <c r="E1511" s="23"/>
      <c r="F1511" s="45"/>
      <c r="G1511" s="23"/>
      <c r="H1511" s="23"/>
      <c r="I1511" s="23"/>
      <c r="J1511" s="25"/>
      <c r="K1511" s="23"/>
      <c r="L1511" s="23"/>
      <c r="M1511" s="23"/>
      <c r="N1511" s="26"/>
      <c r="O1511" s="26"/>
      <c r="P1511" s="26"/>
      <c r="Q1511" s="26"/>
      <c r="R1511" s="26"/>
      <c r="S1511" s="26"/>
      <c r="T1511" s="26"/>
      <c r="U1511" s="26"/>
      <c r="V1511" s="26"/>
      <c r="W1511" s="27"/>
    </row>
    <row r="1512" spans="1:23" ht="15.75" customHeight="1" x14ac:dyDescent="0.25">
      <c r="A1512" s="23"/>
      <c r="B1512" s="23" t="str">
        <f t="shared" si="6"/>
        <v/>
      </c>
      <c r="C1512" s="23"/>
      <c r="D1512" s="44"/>
      <c r="E1512" s="23"/>
      <c r="F1512" s="45"/>
      <c r="G1512" s="23"/>
      <c r="H1512" s="23"/>
      <c r="I1512" s="23"/>
      <c r="J1512" s="25"/>
      <c r="K1512" s="23"/>
      <c r="L1512" s="23"/>
      <c r="M1512" s="23"/>
      <c r="N1512" s="26"/>
      <c r="O1512" s="26"/>
      <c r="P1512" s="26"/>
      <c r="Q1512" s="26"/>
      <c r="R1512" s="26"/>
      <c r="S1512" s="26"/>
      <c r="T1512" s="26"/>
      <c r="U1512" s="26"/>
      <c r="V1512" s="26"/>
      <c r="W1512" s="27"/>
    </row>
    <row r="1513" spans="1:23" ht="15.75" customHeight="1" x14ac:dyDescent="0.25">
      <c r="A1513" s="23"/>
      <c r="B1513" s="23" t="str">
        <f t="shared" si="6"/>
        <v/>
      </c>
      <c r="C1513" s="23"/>
      <c r="D1513" s="44"/>
      <c r="E1513" s="23"/>
      <c r="F1513" s="45"/>
      <c r="G1513" s="23"/>
      <c r="H1513" s="23"/>
      <c r="I1513" s="23"/>
      <c r="J1513" s="25"/>
      <c r="K1513" s="23"/>
      <c r="L1513" s="23"/>
      <c r="M1513" s="23"/>
      <c r="N1513" s="26"/>
      <c r="O1513" s="26"/>
      <c r="P1513" s="26"/>
      <c r="Q1513" s="26"/>
      <c r="R1513" s="26"/>
      <c r="S1513" s="26"/>
      <c r="T1513" s="26"/>
      <c r="U1513" s="26"/>
      <c r="V1513" s="26"/>
      <c r="W1513" s="27"/>
    </row>
    <row r="1514" spans="1:23" ht="15.75" customHeight="1" x14ac:dyDescent="0.25">
      <c r="A1514" s="23"/>
      <c r="B1514" s="23" t="str">
        <f t="shared" si="6"/>
        <v/>
      </c>
      <c r="C1514" s="23"/>
      <c r="D1514" s="44"/>
      <c r="E1514" s="23"/>
      <c r="F1514" s="45"/>
      <c r="G1514" s="23"/>
      <c r="H1514" s="23"/>
      <c r="I1514" s="23"/>
      <c r="J1514" s="25"/>
      <c r="K1514" s="23"/>
      <c r="L1514" s="23"/>
      <c r="M1514" s="23"/>
      <c r="N1514" s="26"/>
      <c r="O1514" s="26"/>
      <c r="P1514" s="26"/>
      <c r="Q1514" s="26"/>
      <c r="R1514" s="26"/>
      <c r="S1514" s="26"/>
      <c r="T1514" s="26"/>
      <c r="U1514" s="26"/>
      <c r="V1514" s="26"/>
      <c r="W1514" s="27"/>
    </row>
    <row r="1515" spans="1:23" ht="15.75" customHeight="1" x14ac:dyDescent="0.25">
      <c r="A1515" s="23"/>
      <c r="B1515" s="23" t="str">
        <f t="shared" si="6"/>
        <v/>
      </c>
      <c r="C1515" s="23"/>
      <c r="D1515" s="44"/>
      <c r="E1515" s="23"/>
      <c r="F1515" s="45"/>
      <c r="G1515" s="23"/>
      <c r="H1515" s="23"/>
      <c r="I1515" s="23"/>
      <c r="J1515" s="25"/>
      <c r="K1515" s="23"/>
      <c r="L1515" s="23"/>
      <c r="M1515" s="23"/>
      <c r="N1515" s="26"/>
      <c r="O1515" s="26"/>
      <c r="P1515" s="26"/>
      <c r="Q1515" s="26"/>
      <c r="R1515" s="26"/>
      <c r="S1515" s="26"/>
      <c r="T1515" s="26"/>
      <c r="U1515" s="26"/>
      <c r="V1515" s="26"/>
      <c r="W1515" s="27"/>
    </row>
    <row r="1516" spans="1:23" ht="15.75" customHeight="1" x14ac:dyDescent="0.25">
      <c r="A1516" s="23"/>
      <c r="B1516" s="23" t="str">
        <f t="shared" si="6"/>
        <v/>
      </c>
      <c r="C1516" s="23"/>
      <c r="D1516" s="44"/>
      <c r="E1516" s="23"/>
      <c r="F1516" s="45"/>
      <c r="G1516" s="23"/>
      <c r="H1516" s="23"/>
      <c r="I1516" s="23"/>
      <c r="J1516" s="25"/>
      <c r="K1516" s="23"/>
      <c r="L1516" s="23"/>
      <c r="M1516" s="23"/>
      <c r="N1516" s="26"/>
      <c r="O1516" s="26"/>
      <c r="P1516" s="26"/>
      <c r="Q1516" s="26"/>
      <c r="R1516" s="26"/>
      <c r="S1516" s="26"/>
      <c r="T1516" s="26"/>
      <c r="U1516" s="26"/>
      <c r="V1516" s="26"/>
      <c r="W1516" s="27"/>
    </row>
    <row r="1517" spans="1:23" ht="15.75" customHeight="1" x14ac:dyDescent="0.25">
      <c r="A1517" s="23"/>
      <c r="B1517" s="23" t="str">
        <f t="shared" si="6"/>
        <v/>
      </c>
      <c r="C1517" s="23"/>
      <c r="D1517" s="44"/>
      <c r="E1517" s="23"/>
      <c r="F1517" s="45"/>
      <c r="G1517" s="23"/>
      <c r="H1517" s="23"/>
      <c r="I1517" s="23"/>
      <c r="J1517" s="25"/>
      <c r="K1517" s="23"/>
      <c r="L1517" s="23"/>
      <c r="M1517" s="23"/>
      <c r="N1517" s="26"/>
      <c r="O1517" s="26"/>
      <c r="P1517" s="26"/>
      <c r="Q1517" s="26"/>
      <c r="R1517" s="26"/>
      <c r="S1517" s="26"/>
      <c r="T1517" s="26"/>
      <c r="U1517" s="26"/>
      <c r="V1517" s="26"/>
      <c r="W1517" s="27"/>
    </row>
    <row r="1518" spans="1:23" ht="15.75" customHeight="1" x14ac:dyDescent="0.25">
      <c r="A1518" s="23"/>
      <c r="B1518" s="23" t="str">
        <f t="shared" si="6"/>
        <v/>
      </c>
      <c r="C1518" s="23"/>
      <c r="D1518" s="44"/>
      <c r="E1518" s="23"/>
      <c r="F1518" s="45"/>
      <c r="G1518" s="23"/>
      <c r="H1518" s="23"/>
      <c r="I1518" s="23"/>
      <c r="J1518" s="25"/>
      <c r="K1518" s="23"/>
      <c r="L1518" s="23"/>
      <c r="M1518" s="23"/>
      <c r="N1518" s="26"/>
      <c r="O1518" s="26"/>
      <c r="P1518" s="26"/>
      <c r="Q1518" s="26"/>
      <c r="R1518" s="26"/>
      <c r="S1518" s="26"/>
      <c r="T1518" s="26"/>
      <c r="U1518" s="26"/>
      <c r="V1518" s="26"/>
      <c r="W1518" s="27"/>
    </row>
    <row r="1519" spans="1:23" ht="15.75" customHeight="1" x14ac:dyDescent="0.25">
      <c r="A1519" s="23"/>
      <c r="B1519" s="23" t="str">
        <f t="shared" si="6"/>
        <v/>
      </c>
      <c r="C1519" s="23"/>
      <c r="D1519" s="44"/>
      <c r="E1519" s="23"/>
      <c r="F1519" s="45"/>
      <c r="G1519" s="23"/>
      <c r="H1519" s="23"/>
      <c r="I1519" s="23"/>
      <c r="J1519" s="25"/>
      <c r="K1519" s="23"/>
      <c r="L1519" s="23"/>
      <c r="M1519" s="23"/>
      <c r="N1519" s="26"/>
      <c r="O1519" s="26"/>
      <c r="P1519" s="26"/>
      <c r="Q1519" s="26"/>
      <c r="R1519" s="26"/>
      <c r="S1519" s="26"/>
      <c r="T1519" s="26"/>
      <c r="U1519" s="26"/>
      <c r="V1519" s="26"/>
      <c r="W1519" s="27"/>
    </row>
    <row r="1520" spans="1:23" ht="15.75" customHeight="1" x14ac:dyDescent="0.25">
      <c r="A1520" s="23"/>
      <c r="B1520" s="23" t="str">
        <f t="shared" si="6"/>
        <v/>
      </c>
      <c r="C1520" s="23"/>
      <c r="D1520" s="44"/>
      <c r="E1520" s="23"/>
      <c r="F1520" s="45"/>
      <c r="G1520" s="23"/>
      <c r="H1520" s="23"/>
      <c r="I1520" s="23"/>
      <c r="J1520" s="25"/>
      <c r="K1520" s="23"/>
      <c r="L1520" s="23"/>
      <c r="M1520" s="23"/>
      <c r="N1520" s="26"/>
      <c r="O1520" s="26"/>
      <c r="P1520" s="26"/>
      <c r="Q1520" s="26"/>
      <c r="R1520" s="26"/>
      <c r="S1520" s="26"/>
      <c r="T1520" s="26"/>
      <c r="U1520" s="26"/>
      <c r="V1520" s="26"/>
      <c r="W1520" s="27"/>
    </row>
    <row r="1521" spans="1:23" ht="15.75" customHeight="1" x14ac:dyDescent="0.25">
      <c r="A1521" s="23"/>
      <c r="B1521" s="23" t="str">
        <f t="shared" si="6"/>
        <v/>
      </c>
      <c r="C1521" s="23"/>
      <c r="D1521" s="44"/>
      <c r="E1521" s="23"/>
      <c r="F1521" s="45"/>
      <c r="G1521" s="23"/>
      <c r="H1521" s="23"/>
      <c r="I1521" s="23"/>
      <c r="J1521" s="25"/>
      <c r="K1521" s="23"/>
      <c r="L1521" s="23"/>
      <c r="M1521" s="23"/>
      <c r="N1521" s="26"/>
      <c r="O1521" s="26"/>
      <c r="P1521" s="26"/>
      <c r="Q1521" s="26"/>
      <c r="R1521" s="26"/>
      <c r="S1521" s="26"/>
      <c r="T1521" s="26"/>
      <c r="U1521" s="26"/>
      <c r="V1521" s="26"/>
      <c r="W1521" s="27"/>
    </row>
    <row r="1522" spans="1:23" ht="15.75" customHeight="1" x14ac:dyDescent="0.25">
      <c r="A1522" s="23"/>
      <c r="B1522" s="23" t="str">
        <f t="shared" si="6"/>
        <v/>
      </c>
      <c r="C1522" s="23"/>
      <c r="D1522" s="44"/>
      <c r="E1522" s="23"/>
      <c r="F1522" s="45"/>
      <c r="G1522" s="23"/>
      <c r="H1522" s="23"/>
      <c r="I1522" s="23"/>
      <c r="J1522" s="25"/>
      <c r="K1522" s="23"/>
      <c r="L1522" s="23"/>
      <c r="M1522" s="23"/>
      <c r="N1522" s="26"/>
      <c r="O1522" s="26"/>
      <c r="P1522" s="26"/>
      <c r="Q1522" s="26"/>
      <c r="R1522" s="26"/>
      <c r="S1522" s="26"/>
      <c r="T1522" s="26"/>
      <c r="U1522" s="26"/>
      <c r="V1522" s="26"/>
      <c r="W1522" s="27"/>
    </row>
    <row r="1523" spans="1:23" ht="15.75" customHeight="1" x14ac:dyDescent="0.25">
      <c r="A1523" s="23"/>
      <c r="B1523" s="23" t="str">
        <f t="shared" si="6"/>
        <v/>
      </c>
      <c r="C1523" s="23"/>
      <c r="D1523" s="44"/>
      <c r="E1523" s="23"/>
      <c r="F1523" s="45"/>
      <c r="G1523" s="23"/>
      <c r="H1523" s="23"/>
      <c r="I1523" s="23"/>
      <c r="J1523" s="25"/>
      <c r="K1523" s="23"/>
      <c r="L1523" s="23"/>
      <c r="M1523" s="23"/>
      <c r="N1523" s="26"/>
      <c r="O1523" s="26"/>
      <c r="P1523" s="26"/>
      <c r="Q1523" s="26"/>
      <c r="R1523" s="26"/>
      <c r="S1523" s="26"/>
      <c r="T1523" s="26"/>
      <c r="U1523" s="26"/>
      <c r="V1523" s="26"/>
      <c r="W1523" s="27"/>
    </row>
    <row r="1524" spans="1:23" ht="15.75" customHeight="1" x14ac:dyDescent="0.25">
      <c r="A1524" s="23"/>
      <c r="B1524" s="23" t="str">
        <f t="shared" si="6"/>
        <v/>
      </c>
      <c r="C1524" s="23"/>
      <c r="D1524" s="44"/>
      <c r="E1524" s="23"/>
      <c r="F1524" s="45"/>
      <c r="G1524" s="23"/>
      <c r="H1524" s="23"/>
      <c r="I1524" s="23"/>
      <c r="J1524" s="25"/>
      <c r="K1524" s="23"/>
      <c r="L1524" s="23"/>
      <c r="M1524" s="23"/>
      <c r="N1524" s="26"/>
      <c r="O1524" s="26"/>
      <c r="P1524" s="26"/>
      <c r="Q1524" s="26"/>
      <c r="R1524" s="26"/>
      <c r="S1524" s="26"/>
      <c r="T1524" s="26"/>
      <c r="U1524" s="26"/>
      <c r="V1524" s="26"/>
      <c r="W1524" s="27"/>
    </row>
    <row r="1525" spans="1:23" ht="15.75" customHeight="1" x14ac:dyDescent="0.25">
      <c r="A1525" s="23"/>
      <c r="B1525" s="23" t="str">
        <f t="shared" si="6"/>
        <v/>
      </c>
      <c r="C1525" s="23"/>
      <c r="D1525" s="44"/>
      <c r="E1525" s="23"/>
      <c r="F1525" s="45"/>
      <c r="G1525" s="23"/>
      <c r="H1525" s="23"/>
      <c r="I1525" s="23"/>
      <c r="J1525" s="25"/>
      <c r="K1525" s="23"/>
      <c r="L1525" s="23"/>
      <c r="M1525" s="23"/>
      <c r="N1525" s="26"/>
      <c r="O1525" s="26"/>
      <c r="P1525" s="26"/>
      <c r="Q1525" s="26"/>
      <c r="R1525" s="26"/>
      <c r="S1525" s="26"/>
      <c r="T1525" s="26"/>
      <c r="U1525" s="26"/>
      <c r="V1525" s="26"/>
      <c r="W1525" s="27"/>
    </row>
    <row r="1526" spans="1:23" ht="15.75" customHeight="1" x14ac:dyDescent="0.25">
      <c r="A1526" s="23"/>
      <c r="B1526" s="23" t="str">
        <f t="shared" si="6"/>
        <v/>
      </c>
      <c r="C1526" s="23"/>
      <c r="D1526" s="44"/>
      <c r="E1526" s="23"/>
      <c r="F1526" s="45"/>
      <c r="G1526" s="23"/>
      <c r="H1526" s="23"/>
      <c r="I1526" s="23"/>
      <c r="J1526" s="25"/>
      <c r="K1526" s="23"/>
      <c r="L1526" s="23"/>
      <c r="M1526" s="23"/>
      <c r="N1526" s="26"/>
      <c r="O1526" s="26"/>
      <c r="P1526" s="26"/>
      <c r="Q1526" s="26"/>
      <c r="R1526" s="26"/>
      <c r="S1526" s="26"/>
      <c r="T1526" s="26"/>
      <c r="U1526" s="26"/>
      <c r="V1526" s="26"/>
      <c r="W1526" s="27"/>
    </row>
    <row r="1527" spans="1:23" ht="15.75" customHeight="1" x14ac:dyDescent="0.25">
      <c r="A1527" s="23"/>
      <c r="B1527" s="23" t="str">
        <f t="shared" si="6"/>
        <v/>
      </c>
      <c r="C1527" s="23"/>
      <c r="D1527" s="44"/>
      <c r="E1527" s="23"/>
      <c r="F1527" s="45"/>
      <c r="G1527" s="23"/>
      <c r="H1527" s="23"/>
      <c r="I1527" s="23"/>
      <c r="J1527" s="25"/>
      <c r="K1527" s="23"/>
      <c r="L1527" s="23"/>
      <c r="M1527" s="23"/>
      <c r="N1527" s="26"/>
      <c r="O1527" s="26"/>
      <c r="P1527" s="26"/>
      <c r="Q1527" s="26"/>
      <c r="R1527" s="26"/>
      <c r="S1527" s="26"/>
      <c r="T1527" s="26"/>
      <c r="U1527" s="26"/>
      <c r="V1527" s="26"/>
      <c r="W1527" s="27"/>
    </row>
    <row r="1528" spans="1:23" ht="15.75" customHeight="1" x14ac:dyDescent="0.25">
      <c r="A1528" s="23"/>
      <c r="B1528" s="23" t="str">
        <f t="shared" si="6"/>
        <v/>
      </c>
      <c r="C1528" s="23"/>
      <c r="D1528" s="44"/>
      <c r="E1528" s="23"/>
      <c r="F1528" s="45"/>
      <c r="G1528" s="23"/>
      <c r="H1528" s="23"/>
      <c r="I1528" s="23"/>
      <c r="J1528" s="25"/>
      <c r="K1528" s="23"/>
      <c r="L1528" s="23"/>
      <c r="M1528" s="23"/>
      <c r="N1528" s="26"/>
      <c r="O1528" s="26"/>
      <c r="P1528" s="26"/>
      <c r="Q1528" s="26"/>
      <c r="R1528" s="26"/>
      <c r="S1528" s="26"/>
      <c r="T1528" s="26"/>
      <c r="U1528" s="26"/>
      <c r="V1528" s="26"/>
      <c r="W1528" s="27"/>
    </row>
    <row r="1529" spans="1:23" ht="15.75" customHeight="1" x14ac:dyDescent="0.25">
      <c r="A1529" s="23"/>
      <c r="B1529" s="23" t="str">
        <f t="shared" si="6"/>
        <v/>
      </c>
      <c r="C1529" s="23"/>
      <c r="D1529" s="44"/>
      <c r="E1529" s="23"/>
      <c r="F1529" s="45"/>
      <c r="G1529" s="23"/>
      <c r="H1529" s="23"/>
      <c r="I1529" s="23"/>
      <c r="J1529" s="25"/>
      <c r="K1529" s="23"/>
      <c r="L1529" s="23"/>
      <c r="M1529" s="23"/>
      <c r="N1529" s="26"/>
      <c r="O1529" s="26"/>
      <c r="P1529" s="26"/>
      <c r="Q1529" s="26"/>
      <c r="R1529" s="26"/>
      <c r="S1529" s="26"/>
      <c r="T1529" s="26"/>
      <c r="U1529" s="26"/>
      <c r="V1529" s="26"/>
      <c r="W1529" s="27"/>
    </row>
    <row r="1530" spans="1:23" ht="15.75" customHeight="1" x14ac:dyDescent="0.25">
      <c r="A1530" s="23"/>
      <c r="B1530" s="23" t="str">
        <f t="shared" si="6"/>
        <v/>
      </c>
      <c r="C1530" s="23"/>
      <c r="D1530" s="44"/>
      <c r="E1530" s="23"/>
      <c r="F1530" s="45"/>
      <c r="G1530" s="23"/>
      <c r="H1530" s="23"/>
      <c r="I1530" s="23"/>
      <c r="J1530" s="25"/>
      <c r="K1530" s="23"/>
      <c r="L1530" s="23"/>
      <c r="M1530" s="23"/>
      <c r="N1530" s="26"/>
      <c r="O1530" s="26"/>
      <c r="P1530" s="26"/>
      <c r="Q1530" s="26"/>
      <c r="R1530" s="26"/>
      <c r="S1530" s="26"/>
      <c r="T1530" s="26"/>
      <c r="U1530" s="26"/>
      <c r="V1530" s="26"/>
      <c r="W1530" s="27"/>
    </row>
    <row r="1531" spans="1:23" ht="15.75" customHeight="1" x14ac:dyDescent="0.25">
      <c r="A1531" s="23"/>
      <c r="B1531" s="23" t="str">
        <f t="shared" si="6"/>
        <v/>
      </c>
      <c r="C1531" s="23"/>
      <c r="D1531" s="44"/>
      <c r="E1531" s="23"/>
      <c r="F1531" s="45"/>
      <c r="G1531" s="23"/>
      <c r="H1531" s="23"/>
      <c r="I1531" s="23"/>
      <c r="J1531" s="25"/>
      <c r="K1531" s="23"/>
      <c r="L1531" s="23"/>
      <c r="M1531" s="23"/>
      <c r="N1531" s="26"/>
      <c r="O1531" s="26"/>
      <c r="P1531" s="26"/>
      <c r="Q1531" s="26"/>
      <c r="R1531" s="26"/>
      <c r="S1531" s="26"/>
      <c r="T1531" s="26"/>
      <c r="U1531" s="26"/>
      <c r="V1531" s="26"/>
      <c r="W1531" s="27"/>
    </row>
    <row r="1532" spans="1:23" ht="15.75" customHeight="1" x14ac:dyDescent="0.25">
      <c r="A1532" s="23"/>
      <c r="B1532" s="23" t="str">
        <f t="shared" si="6"/>
        <v/>
      </c>
      <c r="C1532" s="23"/>
      <c r="D1532" s="44"/>
      <c r="E1532" s="23"/>
      <c r="F1532" s="45"/>
      <c r="G1532" s="23"/>
      <c r="H1532" s="23"/>
      <c r="I1532" s="23"/>
      <c r="J1532" s="25"/>
      <c r="K1532" s="23"/>
      <c r="L1532" s="23"/>
      <c r="M1532" s="23"/>
      <c r="N1532" s="26"/>
      <c r="O1532" s="26"/>
      <c r="P1532" s="26"/>
      <c r="Q1532" s="26"/>
      <c r="R1532" s="26"/>
      <c r="S1532" s="26"/>
      <c r="T1532" s="26"/>
      <c r="U1532" s="26"/>
      <c r="V1532" s="26"/>
      <c r="W1532" s="27"/>
    </row>
    <row r="1533" spans="1:23" ht="15.75" customHeight="1" x14ac:dyDescent="0.25">
      <c r="A1533" s="23"/>
      <c r="B1533" s="23" t="str">
        <f t="shared" si="6"/>
        <v/>
      </c>
      <c r="C1533" s="23"/>
      <c r="D1533" s="44"/>
      <c r="E1533" s="23"/>
      <c r="F1533" s="45"/>
      <c r="G1533" s="23"/>
      <c r="H1533" s="23"/>
      <c r="I1533" s="23"/>
      <c r="J1533" s="25"/>
      <c r="K1533" s="23"/>
      <c r="L1533" s="23"/>
      <c r="M1533" s="23"/>
      <c r="N1533" s="26"/>
      <c r="O1533" s="26"/>
      <c r="P1533" s="26"/>
      <c r="Q1533" s="26"/>
      <c r="R1533" s="26"/>
      <c r="S1533" s="26"/>
      <c r="T1533" s="26"/>
      <c r="U1533" s="26"/>
      <c r="V1533" s="26"/>
      <c r="W1533" s="27"/>
    </row>
    <row r="1534" spans="1:23" ht="15.75" customHeight="1" x14ac:dyDescent="0.25">
      <c r="A1534" s="23"/>
      <c r="B1534" s="23" t="str">
        <f t="shared" si="6"/>
        <v/>
      </c>
      <c r="C1534" s="23"/>
      <c r="D1534" s="44"/>
      <c r="E1534" s="23"/>
      <c r="F1534" s="45"/>
      <c r="G1534" s="23"/>
      <c r="H1534" s="23"/>
      <c r="I1534" s="23"/>
      <c r="J1534" s="25"/>
      <c r="K1534" s="23"/>
      <c r="L1534" s="23"/>
      <c r="M1534" s="23"/>
      <c r="N1534" s="26"/>
      <c r="O1534" s="26"/>
      <c r="P1534" s="26"/>
      <c r="Q1534" s="26"/>
      <c r="R1534" s="26"/>
      <c r="S1534" s="26"/>
      <c r="T1534" s="26"/>
      <c r="U1534" s="26"/>
      <c r="V1534" s="26"/>
      <c r="W1534" s="27"/>
    </row>
    <row r="1535" spans="1:23" ht="15.75" customHeight="1" x14ac:dyDescent="0.25">
      <c r="A1535" s="23"/>
      <c r="B1535" s="23" t="str">
        <f t="shared" si="6"/>
        <v/>
      </c>
      <c r="C1535" s="23"/>
      <c r="D1535" s="44"/>
      <c r="E1535" s="23"/>
      <c r="F1535" s="45"/>
      <c r="G1535" s="23"/>
      <c r="H1535" s="23"/>
      <c r="I1535" s="23"/>
      <c r="J1535" s="25"/>
      <c r="K1535" s="23"/>
      <c r="L1535" s="23"/>
      <c r="M1535" s="23"/>
      <c r="N1535" s="26"/>
      <c r="O1535" s="26"/>
      <c r="P1535" s="26"/>
      <c r="Q1535" s="26"/>
      <c r="R1535" s="26"/>
      <c r="S1535" s="26"/>
      <c r="T1535" s="26"/>
      <c r="U1535" s="26"/>
      <c r="V1535" s="26"/>
      <c r="W1535" s="27"/>
    </row>
    <row r="1536" spans="1:23" ht="15.75" customHeight="1" x14ac:dyDescent="0.25">
      <c r="A1536" s="23"/>
      <c r="B1536" s="23" t="str">
        <f t="shared" si="6"/>
        <v/>
      </c>
      <c r="C1536" s="23"/>
      <c r="D1536" s="44"/>
      <c r="E1536" s="23"/>
      <c r="F1536" s="45"/>
      <c r="G1536" s="23"/>
      <c r="H1536" s="23"/>
      <c r="I1536" s="23"/>
      <c r="J1536" s="25"/>
      <c r="K1536" s="23"/>
      <c r="L1536" s="23"/>
      <c r="M1536" s="23"/>
      <c r="N1536" s="26"/>
      <c r="O1536" s="26"/>
      <c r="P1536" s="26"/>
      <c r="Q1536" s="26"/>
      <c r="R1536" s="26"/>
      <c r="S1536" s="26"/>
      <c r="T1536" s="26"/>
      <c r="U1536" s="26"/>
      <c r="V1536" s="26"/>
      <c r="W1536" s="27"/>
    </row>
    <row r="1537" spans="1:23" ht="15.75" customHeight="1" x14ac:dyDescent="0.25">
      <c r="A1537" s="23"/>
      <c r="B1537" s="23" t="str">
        <f t="shared" si="6"/>
        <v/>
      </c>
      <c r="C1537" s="23"/>
      <c r="D1537" s="44"/>
      <c r="E1537" s="23"/>
      <c r="F1537" s="45"/>
      <c r="G1537" s="23"/>
      <c r="H1537" s="23"/>
      <c r="I1537" s="23"/>
      <c r="J1537" s="25"/>
      <c r="K1537" s="23"/>
      <c r="L1537" s="23"/>
      <c r="M1537" s="23"/>
      <c r="N1537" s="26"/>
      <c r="O1537" s="26"/>
      <c r="P1537" s="26"/>
      <c r="Q1537" s="26"/>
      <c r="R1537" s="26"/>
      <c r="S1537" s="26"/>
      <c r="T1537" s="26"/>
      <c r="U1537" s="26"/>
      <c r="V1537" s="26"/>
      <c r="W1537" s="27"/>
    </row>
    <row r="1538" spans="1:23" ht="15.75" customHeight="1" x14ac:dyDescent="0.25">
      <c r="A1538" s="23"/>
      <c r="B1538" s="23" t="str">
        <f t="shared" si="6"/>
        <v/>
      </c>
      <c r="C1538" s="23"/>
      <c r="D1538" s="44"/>
      <c r="E1538" s="23"/>
      <c r="F1538" s="45"/>
      <c r="G1538" s="23"/>
      <c r="H1538" s="23"/>
      <c r="I1538" s="23"/>
      <c r="J1538" s="25"/>
      <c r="K1538" s="23"/>
      <c r="L1538" s="23"/>
      <c r="M1538" s="23"/>
      <c r="N1538" s="26"/>
      <c r="O1538" s="26"/>
      <c r="P1538" s="26"/>
      <c r="Q1538" s="26"/>
      <c r="R1538" s="26"/>
      <c r="S1538" s="26"/>
      <c r="T1538" s="26"/>
      <c r="U1538" s="26"/>
      <c r="V1538" s="26"/>
      <c r="W1538" s="27"/>
    </row>
    <row r="1539" spans="1:23" ht="15.75" customHeight="1" x14ac:dyDescent="0.25">
      <c r="A1539" s="23"/>
      <c r="B1539" s="23" t="str">
        <f t="shared" si="6"/>
        <v/>
      </c>
      <c r="C1539" s="23"/>
      <c r="D1539" s="44"/>
      <c r="E1539" s="23"/>
      <c r="F1539" s="45"/>
      <c r="G1539" s="23"/>
      <c r="H1539" s="23"/>
      <c r="I1539" s="23"/>
      <c r="J1539" s="25"/>
      <c r="K1539" s="23"/>
      <c r="L1539" s="23"/>
      <c r="M1539" s="23"/>
      <c r="N1539" s="26"/>
      <c r="O1539" s="26"/>
      <c r="P1539" s="26"/>
      <c r="Q1539" s="26"/>
      <c r="R1539" s="26"/>
      <c r="S1539" s="26"/>
      <c r="T1539" s="26"/>
      <c r="U1539" s="26"/>
      <c r="V1539" s="26"/>
      <c r="W1539" s="27"/>
    </row>
    <row r="1540" spans="1:23" ht="15.75" customHeight="1" x14ac:dyDescent="0.25">
      <c r="A1540" s="23"/>
      <c r="B1540" s="23" t="str">
        <f t="shared" si="6"/>
        <v/>
      </c>
      <c r="C1540" s="23"/>
      <c r="D1540" s="44"/>
      <c r="E1540" s="23"/>
      <c r="F1540" s="45"/>
      <c r="G1540" s="23"/>
      <c r="H1540" s="23"/>
      <c r="I1540" s="23"/>
      <c r="J1540" s="25"/>
      <c r="K1540" s="23"/>
      <c r="L1540" s="23"/>
      <c r="M1540" s="23"/>
      <c r="N1540" s="26"/>
      <c r="O1540" s="26"/>
      <c r="P1540" s="26"/>
      <c r="Q1540" s="26"/>
      <c r="R1540" s="26"/>
      <c r="S1540" s="26"/>
      <c r="T1540" s="26"/>
      <c r="U1540" s="26"/>
      <c r="V1540" s="26"/>
      <c r="W1540" s="27"/>
    </row>
    <row r="1541" spans="1:23" ht="15.75" customHeight="1" x14ac:dyDescent="0.25">
      <c r="A1541" s="23"/>
      <c r="B1541" s="23" t="str">
        <f t="shared" si="6"/>
        <v/>
      </c>
      <c r="C1541" s="23"/>
      <c r="D1541" s="44"/>
      <c r="E1541" s="23"/>
      <c r="F1541" s="45"/>
      <c r="G1541" s="23"/>
      <c r="H1541" s="23"/>
      <c r="I1541" s="23"/>
      <c r="J1541" s="25"/>
      <c r="K1541" s="23"/>
      <c r="L1541" s="23"/>
      <c r="M1541" s="23"/>
      <c r="N1541" s="26"/>
      <c r="O1541" s="26"/>
      <c r="P1541" s="26"/>
      <c r="Q1541" s="26"/>
      <c r="R1541" s="26"/>
      <c r="S1541" s="26"/>
      <c r="T1541" s="26"/>
      <c r="U1541" s="26"/>
      <c r="V1541" s="26"/>
      <c r="W1541" s="27"/>
    </row>
    <row r="1542" spans="1:23" ht="15.75" customHeight="1" x14ac:dyDescent="0.25">
      <c r="A1542" s="23"/>
      <c r="B1542" s="23" t="str">
        <f t="shared" si="6"/>
        <v/>
      </c>
      <c r="C1542" s="23"/>
      <c r="D1542" s="44"/>
      <c r="E1542" s="23"/>
      <c r="F1542" s="45"/>
      <c r="G1542" s="23"/>
      <c r="H1542" s="23"/>
      <c r="I1542" s="23"/>
      <c r="J1542" s="25"/>
      <c r="K1542" s="23"/>
      <c r="L1542" s="23"/>
      <c r="M1542" s="23"/>
      <c r="N1542" s="26"/>
      <c r="O1542" s="26"/>
      <c r="P1542" s="26"/>
      <c r="Q1542" s="26"/>
      <c r="R1542" s="26"/>
      <c r="S1542" s="26"/>
      <c r="T1542" s="26"/>
      <c r="U1542" s="26"/>
      <c r="V1542" s="26"/>
      <c r="W1542" s="27"/>
    </row>
    <row r="1543" spans="1:23" ht="15.75" customHeight="1" x14ac:dyDescent="0.25">
      <c r="A1543" s="23"/>
      <c r="B1543" s="23" t="str">
        <f t="shared" si="6"/>
        <v/>
      </c>
      <c r="C1543" s="23"/>
      <c r="D1543" s="44"/>
      <c r="E1543" s="23"/>
      <c r="F1543" s="45"/>
      <c r="G1543" s="23"/>
      <c r="H1543" s="23"/>
      <c r="I1543" s="23"/>
      <c r="J1543" s="25"/>
      <c r="K1543" s="23"/>
      <c r="L1543" s="23"/>
      <c r="M1543" s="23"/>
      <c r="N1543" s="26"/>
      <c r="O1543" s="26"/>
      <c r="P1543" s="26"/>
      <c r="Q1543" s="26"/>
      <c r="R1543" s="26"/>
      <c r="S1543" s="26"/>
      <c r="T1543" s="26"/>
      <c r="U1543" s="26"/>
      <c r="V1543" s="26"/>
      <c r="W1543" s="27"/>
    </row>
    <row r="1544" spans="1:23" ht="15.75" customHeight="1" x14ac:dyDescent="0.25">
      <c r="A1544" s="23"/>
      <c r="B1544" s="23" t="str">
        <f t="shared" si="6"/>
        <v/>
      </c>
      <c r="C1544" s="23"/>
      <c r="D1544" s="44"/>
      <c r="E1544" s="23"/>
      <c r="F1544" s="45"/>
      <c r="G1544" s="23"/>
      <c r="H1544" s="23"/>
      <c r="I1544" s="23"/>
      <c r="J1544" s="25"/>
      <c r="K1544" s="23"/>
      <c r="L1544" s="23"/>
      <c r="M1544" s="23"/>
      <c r="N1544" s="26"/>
      <c r="O1544" s="26"/>
      <c r="P1544" s="26"/>
      <c r="Q1544" s="26"/>
      <c r="R1544" s="26"/>
      <c r="S1544" s="26"/>
      <c r="T1544" s="26"/>
      <c r="U1544" s="26"/>
      <c r="V1544" s="26"/>
      <c r="W1544" s="27"/>
    </row>
    <row r="1545" spans="1:23" ht="15.75" customHeight="1" x14ac:dyDescent="0.25">
      <c r="A1545" s="23"/>
      <c r="B1545" s="23" t="str">
        <f t="shared" si="6"/>
        <v/>
      </c>
      <c r="C1545" s="23"/>
      <c r="D1545" s="44"/>
      <c r="E1545" s="23"/>
      <c r="F1545" s="45"/>
      <c r="G1545" s="23"/>
      <c r="H1545" s="23"/>
      <c r="I1545" s="23"/>
      <c r="J1545" s="25"/>
      <c r="K1545" s="23"/>
      <c r="L1545" s="23"/>
      <c r="M1545" s="23"/>
      <c r="N1545" s="26"/>
      <c r="O1545" s="26"/>
      <c r="P1545" s="26"/>
      <c r="Q1545" s="26"/>
      <c r="R1545" s="26"/>
      <c r="S1545" s="26"/>
      <c r="T1545" s="26"/>
      <c r="U1545" s="26"/>
      <c r="V1545" s="26"/>
      <c r="W1545" s="27"/>
    </row>
    <row r="1546" spans="1:23" ht="15.75" customHeight="1" x14ac:dyDescent="0.25">
      <c r="A1546" s="23"/>
      <c r="B1546" s="23" t="str">
        <f t="shared" si="6"/>
        <v/>
      </c>
      <c r="C1546" s="23"/>
      <c r="D1546" s="44"/>
      <c r="E1546" s="23"/>
      <c r="F1546" s="45"/>
      <c r="G1546" s="23"/>
      <c r="H1546" s="23"/>
      <c r="I1546" s="23"/>
      <c r="J1546" s="25"/>
      <c r="K1546" s="23"/>
      <c r="L1546" s="23"/>
      <c r="M1546" s="23"/>
      <c r="N1546" s="26"/>
      <c r="O1546" s="26"/>
      <c r="P1546" s="26"/>
      <c r="Q1546" s="26"/>
      <c r="R1546" s="26"/>
      <c r="S1546" s="26"/>
      <c r="T1546" s="26"/>
      <c r="U1546" s="26"/>
      <c r="V1546" s="26"/>
      <c r="W1546" s="27"/>
    </row>
    <row r="1547" spans="1:23" ht="15.75" customHeight="1" x14ac:dyDescent="0.25">
      <c r="A1547" s="23"/>
      <c r="B1547" s="23" t="str">
        <f t="shared" si="6"/>
        <v/>
      </c>
      <c r="C1547" s="23"/>
      <c r="D1547" s="44"/>
      <c r="E1547" s="23"/>
      <c r="F1547" s="45"/>
      <c r="G1547" s="23"/>
      <c r="H1547" s="23"/>
      <c r="I1547" s="23"/>
      <c r="J1547" s="25"/>
      <c r="K1547" s="23"/>
      <c r="L1547" s="23"/>
      <c r="M1547" s="23"/>
      <c r="N1547" s="26"/>
      <c r="O1547" s="26"/>
      <c r="P1547" s="26"/>
      <c r="Q1547" s="26"/>
      <c r="R1547" s="26"/>
      <c r="S1547" s="26"/>
      <c r="T1547" s="26"/>
      <c r="U1547" s="26"/>
      <c r="V1547" s="26"/>
      <c r="W1547" s="27"/>
    </row>
    <row r="1548" spans="1:23" ht="15.75" customHeight="1" x14ac:dyDescent="0.25">
      <c r="A1548" s="23"/>
      <c r="B1548" s="23" t="str">
        <f t="shared" si="6"/>
        <v/>
      </c>
      <c r="C1548" s="23"/>
      <c r="D1548" s="44"/>
      <c r="E1548" s="23"/>
      <c r="F1548" s="45"/>
      <c r="G1548" s="23"/>
      <c r="H1548" s="23"/>
      <c r="I1548" s="23"/>
      <c r="J1548" s="25"/>
      <c r="K1548" s="23"/>
      <c r="L1548" s="23"/>
      <c r="M1548" s="23"/>
      <c r="N1548" s="26"/>
      <c r="O1548" s="26"/>
      <c r="P1548" s="26"/>
      <c r="Q1548" s="26"/>
      <c r="R1548" s="26"/>
      <c r="S1548" s="26"/>
      <c r="T1548" s="26"/>
      <c r="U1548" s="26"/>
      <c r="V1548" s="26"/>
      <c r="W1548" s="27"/>
    </row>
    <row r="1549" spans="1:23" ht="15.75" customHeight="1" x14ac:dyDescent="0.25">
      <c r="A1549" s="23"/>
      <c r="B1549" s="23" t="str">
        <f t="shared" si="6"/>
        <v/>
      </c>
      <c r="C1549" s="23"/>
      <c r="D1549" s="44"/>
      <c r="E1549" s="23"/>
      <c r="F1549" s="45"/>
      <c r="G1549" s="23"/>
      <c r="H1549" s="23"/>
      <c r="I1549" s="23"/>
      <c r="J1549" s="25"/>
      <c r="K1549" s="23"/>
      <c r="L1549" s="23"/>
      <c r="M1549" s="23"/>
      <c r="N1549" s="26"/>
      <c r="O1549" s="26"/>
      <c r="P1549" s="26"/>
      <c r="Q1549" s="26"/>
      <c r="R1549" s="26"/>
      <c r="S1549" s="26"/>
      <c r="T1549" s="26"/>
      <c r="U1549" s="26"/>
      <c r="V1549" s="26"/>
      <c r="W1549" s="27"/>
    </row>
    <row r="1550" spans="1:23" ht="15.75" customHeight="1" x14ac:dyDescent="0.25">
      <c r="A1550" s="23"/>
      <c r="B1550" s="23" t="str">
        <f t="shared" si="6"/>
        <v/>
      </c>
      <c r="C1550" s="23"/>
      <c r="D1550" s="44"/>
      <c r="E1550" s="23"/>
      <c r="F1550" s="45"/>
      <c r="G1550" s="23"/>
      <c r="H1550" s="23"/>
      <c r="I1550" s="23"/>
      <c r="J1550" s="25"/>
      <c r="K1550" s="23"/>
      <c r="L1550" s="23"/>
      <c r="M1550" s="23"/>
      <c r="N1550" s="26"/>
      <c r="O1550" s="26"/>
      <c r="P1550" s="26"/>
      <c r="Q1550" s="26"/>
      <c r="R1550" s="26"/>
      <c r="S1550" s="26"/>
      <c r="T1550" s="26"/>
      <c r="U1550" s="26"/>
      <c r="V1550" s="26"/>
      <c r="W1550" s="27"/>
    </row>
    <row r="1551" spans="1:23" ht="15.75" customHeight="1" x14ac:dyDescent="0.25">
      <c r="A1551" s="23"/>
      <c r="B1551" s="23" t="str">
        <f t="shared" si="6"/>
        <v/>
      </c>
      <c r="C1551" s="23"/>
      <c r="D1551" s="44"/>
      <c r="E1551" s="23"/>
      <c r="F1551" s="45"/>
      <c r="G1551" s="23"/>
      <c r="H1551" s="23"/>
      <c r="I1551" s="23"/>
      <c r="J1551" s="25"/>
      <c r="K1551" s="23"/>
      <c r="L1551" s="23"/>
      <c r="M1551" s="23"/>
      <c r="N1551" s="26"/>
      <c r="O1551" s="26"/>
      <c r="P1551" s="26"/>
      <c r="Q1551" s="26"/>
      <c r="R1551" s="26"/>
      <c r="S1551" s="26"/>
      <c r="T1551" s="26"/>
      <c r="U1551" s="26"/>
      <c r="V1551" s="26"/>
      <c r="W1551" s="27"/>
    </row>
    <row r="1552" spans="1:23" ht="15.75" customHeight="1" x14ac:dyDescent="0.25">
      <c r="A1552" s="23"/>
      <c r="B1552" s="23" t="str">
        <f t="shared" ref="B1552:B1806" si="7">MID(X1552,17,30)</f>
        <v/>
      </c>
      <c r="C1552" s="23"/>
      <c r="D1552" s="44"/>
      <c r="E1552" s="23"/>
      <c r="F1552" s="45"/>
      <c r="G1552" s="23"/>
      <c r="H1552" s="23"/>
      <c r="I1552" s="23"/>
      <c r="J1552" s="25"/>
      <c r="K1552" s="23"/>
      <c r="L1552" s="23"/>
      <c r="M1552" s="23"/>
      <c r="N1552" s="26"/>
      <c r="O1552" s="26"/>
      <c r="P1552" s="26"/>
      <c r="Q1552" s="26"/>
      <c r="R1552" s="26"/>
      <c r="S1552" s="26"/>
      <c r="T1552" s="26"/>
      <c r="U1552" s="26"/>
      <c r="V1552" s="26"/>
      <c r="W1552" s="27"/>
    </row>
    <row r="1553" spans="1:23" ht="15.75" customHeight="1" x14ac:dyDescent="0.25">
      <c r="A1553" s="23"/>
      <c r="B1553" s="23" t="str">
        <f t="shared" si="7"/>
        <v/>
      </c>
      <c r="C1553" s="23"/>
      <c r="D1553" s="44"/>
      <c r="E1553" s="23"/>
      <c r="F1553" s="45"/>
      <c r="G1553" s="23"/>
      <c r="H1553" s="23"/>
      <c r="I1553" s="23"/>
      <c r="J1553" s="25"/>
      <c r="K1553" s="23"/>
      <c r="L1553" s="23"/>
      <c r="M1553" s="23"/>
      <c r="N1553" s="26"/>
      <c r="O1553" s="26"/>
      <c r="P1553" s="26"/>
      <c r="Q1553" s="26"/>
      <c r="R1553" s="26"/>
      <c r="S1553" s="26"/>
      <c r="T1553" s="26"/>
      <c r="U1553" s="26"/>
      <c r="V1553" s="26"/>
      <c r="W1553" s="27"/>
    </row>
    <row r="1554" spans="1:23" ht="15.75" customHeight="1" x14ac:dyDescent="0.25">
      <c r="A1554" s="23"/>
      <c r="B1554" s="23" t="str">
        <f t="shared" si="7"/>
        <v/>
      </c>
      <c r="C1554" s="23"/>
      <c r="D1554" s="44"/>
      <c r="E1554" s="23"/>
      <c r="F1554" s="45"/>
      <c r="G1554" s="23"/>
      <c r="H1554" s="23"/>
      <c r="I1554" s="23"/>
      <c r="J1554" s="25"/>
      <c r="K1554" s="23"/>
      <c r="L1554" s="23"/>
      <c r="M1554" s="23"/>
      <c r="N1554" s="26"/>
      <c r="O1554" s="26"/>
      <c r="P1554" s="26"/>
      <c r="Q1554" s="26"/>
      <c r="R1554" s="26"/>
      <c r="S1554" s="26"/>
      <c r="T1554" s="26"/>
      <c r="U1554" s="26"/>
      <c r="V1554" s="26"/>
      <c r="W1554" s="27"/>
    </row>
    <row r="1555" spans="1:23" ht="15.75" customHeight="1" x14ac:dyDescent="0.25">
      <c r="A1555" s="23"/>
      <c r="B1555" s="23" t="str">
        <f t="shared" si="7"/>
        <v/>
      </c>
      <c r="C1555" s="23"/>
      <c r="D1555" s="44"/>
      <c r="E1555" s="23"/>
      <c r="F1555" s="45"/>
      <c r="G1555" s="23"/>
      <c r="H1555" s="23"/>
      <c r="I1555" s="23"/>
      <c r="J1555" s="25"/>
      <c r="K1555" s="23"/>
      <c r="L1555" s="23"/>
      <c r="M1555" s="23"/>
      <c r="N1555" s="26"/>
      <c r="O1555" s="26"/>
      <c r="P1555" s="26"/>
      <c r="Q1555" s="26"/>
      <c r="R1555" s="26"/>
      <c r="S1555" s="26"/>
      <c r="T1555" s="26"/>
      <c r="U1555" s="26"/>
      <c r="V1555" s="26"/>
      <c r="W1555" s="27"/>
    </row>
    <row r="1556" spans="1:23" ht="15.75" customHeight="1" x14ac:dyDescent="0.25">
      <c r="A1556" s="23"/>
      <c r="B1556" s="23" t="str">
        <f t="shared" si="7"/>
        <v/>
      </c>
      <c r="C1556" s="23"/>
      <c r="D1556" s="44"/>
      <c r="E1556" s="23"/>
      <c r="F1556" s="45"/>
      <c r="G1556" s="23"/>
      <c r="H1556" s="23"/>
      <c r="I1556" s="23"/>
      <c r="J1556" s="25"/>
      <c r="K1556" s="23"/>
      <c r="L1556" s="23"/>
      <c r="M1556" s="23"/>
      <c r="N1556" s="26"/>
      <c r="O1556" s="26"/>
      <c r="P1556" s="26"/>
      <c r="Q1556" s="26"/>
      <c r="R1556" s="26"/>
      <c r="S1556" s="26"/>
      <c r="T1556" s="26"/>
      <c r="U1556" s="26"/>
      <c r="V1556" s="26"/>
      <c r="W1556" s="27"/>
    </row>
    <row r="1557" spans="1:23" ht="15.75" customHeight="1" x14ac:dyDescent="0.25">
      <c r="A1557" s="23"/>
      <c r="B1557" s="23" t="str">
        <f t="shared" si="7"/>
        <v/>
      </c>
      <c r="C1557" s="23"/>
      <c r="D1557" s="44"/>
      <c r="E1557" s="23"/>
      <c r="F1557" s="45"/>
      <c r="G1557" s="23"/>
      <c r="H1557" s="23"/>
      <c r="I1557" s="23"/>
      <c r="J1557" s="25"/>
      <c r="K1557" s="23"/>
      <c r="L1557" s="23"/>
      <c r="M1557" s="23"/>
      <c r="N1557" s="26"/>
      <c r="O1557" s="26"/>
      <c r="P1557" s="26"/>
      <c r="Q1557" s="26"/>
      <c r="R1557" s="26"/>
      <c r="S1557" s="26"/>
      <c r="T1557" s="26"/>
      <c r="U1557" s="26"/>
      <c r="V1557" s="26"/>
      <c r="W1557" s="27"/>
    </row>
    <row r="1558" spans="1:23" ht="15.75" customHeight="1" x14ac:dyDescent="0.25">
      <c r="A1558" s="23"/>
      <c r="B1558" s="23" t="str">
        <f t="shared" si="7"/>
        <v/>
      </c>
      <c r="C1558" s="23"/>
      <c r="D1558" s="44"/>
      <c r="E1558" s="23"/>
      <c r="F1558" s="45"/>
      <c r="G1558" s="23"/>
      <c r="H1558" s="23"/>
      <c r="I1558" s="23"/>
      <c r="J1558" s="25"/>
      <c r="K1558" s="23"/>
      <c r="L1558" s="23"/>
      <c r="M1558" s="23"/>
      <c r="N1558" s="26"/>
      <c r="O1558" s="26"/>
      <c r="P1558" s="26"/>
      <c r="Q1558" s="26"/>
      <c r="R1558" s="26"/>
      <c r="S1558" s="26"/>
      <c r="T1558" s="26"/>
      <c r="U1558" s="26"/>
      <c r="V1558" s="26"/>
      <c r="W1558" s="27"/>
    </row>
    <row r="1559" spans="1:23" ht="15.75" customHeight="1" x14ac:dyDescent="0.25">
      <c r="A1559" s="23"/>
      <c r="B1559" s="23" t="str">
        <f t="shared" si="7"/>
        <v/>
      </c>
      <c r="C1559" s="23"/>
      <c r="D1559" s="44"/>
      <c r="E1559" s="23"/>
      <c r="F1559" s="45"/>
      <c r="G1559" s="23"/>
      <c r="H1559" s="23"/>
      <c r="I1559" s="23"/>
      <c r="J1559" s="25"/>
      <c r="K1559" s="23"/>
      <c r="L1559" s="23"/>
      <c r="M1559" s="23"/>
      <c r="N1559" s="26"/>
      <c r="O1559" s="26"/>
      <c r="P1559" s="26"/>
      <c r="Q1559" s="26"/>
      <c r="R1559" s="26"/>
      <c r="S1559" s="26"/>
      <c r="T1559" s="26"/>
      <c r="U1559" s="26"/>
      <c r="V1559" s="26"/>
      <c r="W1559" s="27"/>
    </row>
    <row r="1560" spans="1:23" ht="15.75" customHeight="1" x14ac:dyDescent="0.25">
      <c r="A1560" s="23"/>
      <c r="B1560" s="23" t="str">
        <f t="shared" si="7"/>
        <v/>
      </c>
      <c r="C1560" s="23"/>
      <c r="D1560" s="44"/>
      <c r="E1560" s="23"/>
      <c r="F1560" s="45"/>
      <c r="G1560" s="23"/>
      <c r="H1560" s="23"/>
      <c r="I1560" s="23"/>
      <c r="J1560" s="25"/>
      <c r="K1560" s="23"/>
      <c r="L1560" s="23"/>
      <c r="M1560" s="23"/>
      <c r="N1560" s="26"/>
      <c r="O1560" s="26"/>
      <c r="P1560" s="26"/>
      <c r="Q1560" s="26"/>
      <c r="R1560" s="26"/>
      <c r="S1560" s="26"/>
      <c r="T1560" s="26"/>
      <c r="U1560" s="26"/>
      <c r="V1560" s="26"/>
      <c r="W1560" s="27"/>
    </row>
    <row r="1561" spans="1:23" ht="15.75" customHeight="1" x14ac:dyDescent="0.25">
      <c r="A1561" s="23"/>
      <c r="B1561" s="23" t="str">
        <f t="shared" si="7"/>
        <v/>
      </c>
      <c r="C1561" s="23"/>
      <c r="D1561" s="44"/>
      <c r="E1561" s="23"/>
      <c r="F1561" s="45"/>
      <c r="G1561" s="23"/>
      <c r="H1561" s="23"/>
      <c r="I1561" s="23"/>
      <c r="J1561" s="25"/>
      <c r="K1561" s="23"/>
      <c r="L1561" s="23"/>
      <c r="M1561" s="23"/>
      <c r="N1561" s="26"/>
      <c r="O1561" s="26"/>
      <c r="P1561" s="26"/>
      <c r="Q1561" s="26"/>
      <c r="R1561" s="26"/>
      <c r="S1561" s="26"/>
      <c r="T1561" s="26"/>
      <c r="U1561" s="26"/>
      <c r="V1561" s="26"/>
      <c r="W1561" s="27"/>
    </row>
    <row r="1562" spans="1:23" ht="15.75" customHeight="1" x14ac:dyDescent="0.25">
      <c r="A1562" s="23"/>
      <c r="B1562" s="23" t="str">
        <f t="shared" si="7"/>
        <v/>
      </c>
      <c r="C1562" s="23"/>
      <c r="D1562" s="44"/>
      <c r="E1562" s="23"/>
      <c r="F1562" s="45"/>
      <c r="G1562" s="23"/>
      <c r="H1562" s="23"/>
      <c r="I1562" s="23"/>
      <c r="J1562" s="25"/>
      <c r="K1562" s="23"/>
      <c r="L1562" s="23"/>
      <c r="M1562" s="23"/>
      <c r="N1562" s="26"/>
      <c r="O1562" s="26"/>
      <c r="P1562" s="26"/>
      <c r="Q1562" s="26"/>
      <c r="R1562" s="26"/>
      <c r="S1562" s="26"/>
      <c r="T1562" s="26"/>
      <c r="U1562" s="26"/>
      <c r="V1562" s="26"/>
      <c r="W1562" s="27"/>
    </row>
    <row r="1563" spans="1:23" ht="15.75" customHeight="1" x14ac:dyDescent="0.25">
      <c r="A1563" s="23"/>
      <c r="B1563" s="23" t="str">
        <f t="shared" si="7"/>
        <v/>
      </c>
      <c r="C1563" s="23"/>
      <c r="D1563" s="44"/>
      <c r="E1563" s="23"/>
      <c r="F1563" s="45"/>
      <c r="G1563" s="23"/>
      <c r="H1563" s="23"/>
      <c r="I1563" s="23"/>
      <c r="J1563" s="25"/>
      <c r="K1563" s="23"/>
      <c r="L1563" s="23"/>
      <c r="M1563" s="23"/>
      <c r="N1563" s="26"/>
      <c r="O1563" s="26"/>
      <c r="P1563" s="26"/>
      <c r="Q1563" s="26"/>
      <c r="R1563" s="26"/>
      <c r="S1563" s="26"/>
      <c r="T1563" s="26"/>
      <c r="U1563" s="26"/>
      <c r="V1563" s="26"/>
      <c r="W1563" s="27"/>
    </row>
    <row r="1564" spans="1:23" ht="15.75" customHeight="1" x14ac:dyDescent="0.25">
      <c r="A1564" s="23"/>
      <c r="B1564" s="23" t="str">
        <f t="shared" si="7"/>
        <v/>
      </c>
      <c r="C1564" s="23"/>
      <c r="D1564" s="44"/>
      <c r="E1564" s="23"/>
      <c r="F1564" s="45"/>
      <c r="G1564" s="23"/>
      <c r="H1564" s="23"/>
      <c r="I1564" s="23"/>
      <c r="J1564" s="25"/>
      <c r="K1564" s="23"/>
      <c r="L1564" s="23"/>
      <c r="M1564" s="23"/>
      <c r="N1564" s="26"/>
      <c r="O1564" s="26"/>
      <c r="P1564" s="26"/>
      <c r="Q1564" s="26"/>
      <c r="R1564" s="26"/>
      <c r="S1564" s="26"/>
      <c r="T1564" s="26"/>
      <c r="U1564" s="26"/>
      <c r="V1564" s="26"/>
      <c r="W1564" s="27"/>
    </row>
    <row r="1565" spans="1:23" ht="15.75" customHeight="1" x14ac:dyDescent="0.25">
      <c r="A1565" s="23"/>
      <c r="B1565" s="23" t="str">
        <f t="shared" si="7"/>
        <v/>
      </c>
      <c r="C1565" s="23"/>
      <c r="D1565" s="44"/>
      <c r="E1565" s="23"/>
      <c r="F1565" s="45"/>
      <c r="G1565" s="23"/>
      <c r="H1565" s="23"/>
      <c r="I1565" s="23"/>
      <c r="J1565" s="25"/>
      <c r="K1565" s="23"/>
      <c r="L1565" s="23"/>
      <c r="M1565" s="23"/>
      <c r="N1565" s="26"/>
      <c r="O1565" s="26"/>
      <c r="P1565" s="26"/>
      <c r="Q1565" s="26"/>
      <c r="R1565" s="26"/>
      <c r="S1565" s="26"/>
      <c r="T1565" s="26"/>
      <c r="U1565" s="26"/>
      <c r="V1565" s="26"/>
      <c r="W1565" s="27"/>
    </row>
    <row r="1566" spans="1:23" ht="15.75" customHeight="1" x14ac:dyDescent="0.25">
      <c r="A1566" s="23"/>
      <c r="B1566" s="23" t="str">
        <f t="shared" si="7"/>
        <v/>
      </c>
      <c r="C1566" s="23"/>
      <c r="D1566" s="44"/>
      <c r="E1566" s="23"/>
      <c r="F1566" s="45"/>
      <c r="G1566" s="23"/>
      <c r="H1566" s="23"/>
      <c r="I1566" s="23"/>
      <c r="J1566" s="25"/>
      <c r="K1566" s="23"/>
      <c r="L1566" s="23"/>
      <c r="M1566" s="23"/>
      <c r="N1566" s="26"/>
      <c r="O1566" s="26"/>
      <c r="P1566" s="26"/>
      <c r="Q1566" s="26"/>
      <c r="R1566" s="26"/>
      <c r="S1566" s="26"/>
      <c r="T1566" s="26"/>
      <c r="U1566" s="26"/>
      <c r="V1566" s="26"/>
      <c r="W1566" s="27"/>
    </row>
    <row r="1567" spans="1:23" ht="15.75" customHeight="1" x14ac:dyDescent="0.25">
      <c r="A1567" s="23"/>
      <c r="B1567" s="23" t="str">
        <f t="shared" si="7"/>
        <v/>
      </c>
      <c r="C1567" s="23"/>
      <c r="D1567" s="44"/>
      <c r="E1567" s="23"/>
      <c r="F1567" s="45"/>
      <c r="G1567" s="23"/>
      <c r="H1567" s="23"/>
      <c r="I1567" s="23"/>
      <c r="J1567" s="25"/>
      <c r="K1567" s="23"/>
      <c r="L1567" s="23"/>
      <c r="M1567" s="23"/>
      <c r="N1567" s="26"/>
      <c r="O1567" s="26"/>
      <c r="P1567" s="26"/>
      <c r="Q1567" s="26"/>
      <c r="R1567" s="26"/>
      <c r="S1567" s="26"/>
      <c r="T1567" s="26"/>
      <c r="U1567" s="26"/>
      <c r="V1567" s="26"/>
      <c r="W1567" s="27"/>
    </row>
    <row r="1568" spans="1:23" ht="15.75" customHeight="1" x14ac:dyDescent="0.25">
      <c r="A1568" s="23"/>
      <c r="B1568" s="23" t="str">
        <f t="shared" si="7"/>
        <v/>
      </c>
      <c r="C1568" s="23"/>
      <c r="D1568" s="44"/>
      <c r="E1568" s="23"/>
      <c r="F1568" s="45"/>
      <c r="G1568" s="23"/>
      <c r="H1568" s="23"/>
      <c r="I1568" s="23"/>
      <c r="J1568" s="25"/>
      <c r="K1568" s="23"/>
      <c r="L1568" s="23"/>
      <c r="M1568" s="23"/>
      <c r="N1568" s="26"/>
      <c r="O1568" s="26"/>
      <c r="P1568" s="26"/>
      <c r="Q1568" s="26"/>
      <c r="R1568" s="26"/>
      <c r="S1568" s="26"/>
      <c r="T1568" s="26"/>
      <c r="U1568" s="26"/>
      <c r="V1568" s="26"/>
      <c r="W1568" s="27"/>
    </row>
    <row r="1569" spans="1:23" ht="15.75" customHeight="1" x14ac:dyDescent="0.25">
      <c r="A1569" s="23"/>
      <c r="B1569" s="23" t="str">
        <f t="shared" si="7"/>
        <v/>
      </c>
      <c r="C1569" s="23"/>
      <c r="D1569" s="44"/>
      <c r="E1569" s="23"/>
      <c r="F1569" s="45"/>
      <c r="G1569" s="23"/>
      <c r="H1569" s="23"/>
      <c r="I1569" s="23"/>
      <c r="J1569" s="25"/>
      <c r="K1569" s="23"/>
      <c r="L1569" s="23"/>
      <c r="M1569" s="23"/>
      <c r="N1569" s="26"/>
      <c r="O1569" s="26"/>
      <c r="P1569" s="26"/>
      <c r="Q1569" s="26"/>
      <c r="R1569" s="26"/>
      <c r="S1569" s="26"/>
      <c r="T1569" s="26"/>
      <c r="U1569" s="26"/>
      <c r="V1569" s="26"/>
      <c r="W1569" s="27"/>
    </row>
    <row r="1570" spans="1:23" ht="15.75" customHeight="1" x14ac:dyDescent="0.25">
      <c r="A1570" s="23"/>
      <c r="B1570" s="23" t="str">
        <f t="shared" si="7"/>
        <v/>
      </c>
      <c r="C1570" s="23"/>
      <c r="D1570" s="44"/>
      <c r="E1570" s="23"/>
      <c r="F1570" s="45"/>
      <c r="G1570" s="23"/>
      <c r="H1570" s="23"/>
      <c r="I1570" s="23"/>
      <c r="J1570" s="25"/>
      <c r="K1570" s="23"/>
      <c r="L1570" s="23"/>
      <c r="M1570" s="23"/>
      <c r="N1570" s="26"/>
      <c r="O1570" s="26"/>
      <c r="P1570" s="26"/>
      <c r="Q1570" s="26"/>
      <c r="R1570" s="26"/>
      <c r="S1570" s="26"/>
      <c r="T1570" s="26"/>
      <c r="U1570" s="26"/>
      <c r="V1570" s="26"/>
      <c r="W1570" s="27"/>
    </row>
    <row r="1571" spans="1:23" ht="15.75" customHeight="1" x14ac:dyDescent="0.25">
      <c r="A1571" s="23"/>
      <c r="B1571" s="23" t="str">
        <f t="shared" si="7"/>
        <v/>
      </c>
      <c r="C1571" s="23"/>
      <c r="D1571" s="44"/>
      <c r="E1571" s="23"/>
      <c r="F1571" s="45"/>
      <c r="G1571" s="23"/>
      <c r="H1571" s="23"/>
      <c r="I1571" s="23"/>
      <c r="J1571" s="25"/>
      <c r="K1571" s="23"/>
      <c r="L1571" s="23"/>
      <c r="M1571" s="23"/>
      <c r="N1571" s="26"/>
      <c r="O1571" s="26"/>
      <c r="P1571" s="26"/>
      <c r="Q1571" s="26"/>
      <c r="R1571" s="26"/>
      <c r="S1571" s="26"/>
      <c r="T1571" s="26"/>
      <c r="U1571" s="26"/>
      <c r="V1571" s="26"/>
      <c r="W1571" s="27"/>
    </row>
    <row r="1572" spans="1:23" ht="15.75" customHeight="1" x14ac:dyDescent="0.25">
      <c r="A1572" s="23"/>
      <c r="B1572" s="23" t="str">
        <f t="shared" si="7"/>
        <v/>
      </c>
      <c r="C1572" s="23"/>
      <c r="D1572" s="44"/>
      <c r="E1572" s="23"/>
      <c r="F1572" s="45"/>
      <c r="G1572" s="23"/>
      <c r="H1572" s="23"/>
      <c r="I1572" s="23"/>
      <c r="J1572" s="25"/>
      <c r="K1572" s="23"/>
      <c r="L1572" s="23"/>
      <c r="M1572" s="23"/>
      <c r="N1572" s="26"/>
      <c r="O1572" s="26"/>
      <c r="P1572" s="26"/>
      <c r="Q1572" s="26"/>
      <c r="R1572" s="26"/>
      <c r="S1572" s="26"/>
      <c r="T1572" s="26"/>
      <c r="U1572" s="26"/>
      <c r="V1572" s="26"/>
      <c r="W1572" s="27"/>
    </row>
    <row r="1573" spans="1:23" ht="15.75" customHeight="1" x14ac:dyDescent="0.25">
      <c r="A1573" s="23"/>
      <c r="B1573" s="23" t="str">
        <f t="shared" si="7"/>
        <v/>
      </c>
      <c r="C1573" s="23"/>
      <c r="D1573" s="44"/>
      <c r="E1573" s="23"/>
      <c r="F1573" s="45"/>
      <c r="G1573" s="23"/>
      <c r="H1573" s="23"/>
      <c r="I1573" s="23"/>
      <c r="J1573" s="25"/>
      <c r="K1573" s="23"/>
      <c r="L1573" s="23"/>
      <c r="M1573" s="23"/>
      <c r="N1573" s="26"/>
      <c r="O1573" s="26"/>
      <c r="P1573" s="26"/>
      <c r="Q1573" s="26"/>
      <c r="R1573" s="26"/>
      <c r="S1573" s="26"/>
      <c r="T1573" s="26"/>
      <c r="U1573" s="26"/>
      <c r="V1573" s="26"/>
      <c r="W1573" s="27"/>
    </row>
    <row r="1574" spans="1:23" ht="15.75" customHeight="1" x14ac:dyDescent="0.25">
      <c r="A1574" s="23"/>
      <c r="B1574" s="23" t="str">
        <f t="shared" si="7"/>
        <v/>
      </c>
      <c r="C1574" s="23"/>
      <c r="D1574" s="44"/>
      <c r="E1574" s="23"/>
      <c r="F1574" s="45"/>
      <c r="G1574" s="23"/>
      <c r="H1574" s="23"/>
      <c r="I1574" s="23"/>
      <c r="J1574" s="25"/>
      <c r="K1574" s="23"/>
      <c r="L1574" s="23"/>
      <c r="M1574" s="23"/>
      <c r="N1574" s="26"/>
      <c r="O1574" s="26"/>
      <c r="P1574" s="26"/>
      <c r="Q1574" s="26"/>
      <c r="R1574" s="26"/>
      <c r="S1574" s="26"/>
      <c r="T1574" s="26"/>
      <c r="U1574" s="26"/>
      <c r="V1574" s="26"/>
      <c r="W1574" s="27"/>
    </row>
    <row r="1575" spans="1:23" ht="15.75" customHeight="1" x14ac:dyDescent="0.25">
      <c r="A1575" s="23"/>
      <c r="B1575" s="23" t="str">
        <f t="shared" si="7"/>
        <v/>
      </c>
      <c r="C1575" s="23"/>
      <c r="D1575" s="44"/>
      <c r="E1575" s="23"/>
      <c r="F1575" s="45"/>
      <c r="G1575" s="23"/>
      <c r="H1575" s="23"/>
      <c r="I1575" s="23"/>
      <c r="J1575" s="25"/>
      <c r="K1575" s="23"/>
      <c r="L1575" s="23"/>
      <c r="M1575" s="23"/>
      <c r="N1575" s="26"/>
      <c r="O1575" s="26"/>
      <c r="P1575" s="26"/>
      <c r="Q1575" s="26"/>
      <c r="R1575" s="26"/>
      <c r="S1575" s="26"/>
      <c r="T1575" s="26"/>
      <c r="U1575" s="26"/>
      <c r="V1575" s="26"/>
      <c r="W1575" s="27"/>
    </row>
    <row r="1576" spans="1:23" ht="15.75" customHeight="1" x14ac:dyDescent="0.25">
      <c r="A1576" s="23"/>
      <c r="B1576" s="23" t="str">
        <f t="shared" si="7"/>
        <v/>
      </c>
      <c r="C1576" s="23"/>
      <c r="D1576" s="44"/>
      <c r="E1576" s="23"/>
      <c r="F1576" s="45"/>
      <c r="G1576" s="23"/>
      <c r="H1576" s="23"/>
      <c r="I1576" s="23"/>
      <c r="J1576" s="25"/>
      <c r="K1576" s="23"/>
      <c r="L1576" s="23"/>
      <c r="M1576" s="23"/>
      <c r="N1576" s="26"/>
      <c r="O1576" s="26"/>
      <c r="P1576" s="26"/>
      <c r="Q1576" s="26"/>
      <c r="R1576" s="26"/>
      <c r="S1576" s="26"/>
      <c r="T1576" s="26"/>
      <c r="U1576" s="26"/>
      <c r="V1576" s="26"/>
      <c r="W1576" s="27"/>
    </row>
    <row r="1577" spans="1:23" ht="15.75" customHeight="1" x14ac:dyDescent="0.25">
      <c r="A1577" s="23"/>
      <c r="B1577" s="23" t="str">
        <f t="shared" si="7"/>
        <v/>
      </c>
      <c r="C1577" s="23"/>
      <c r="D1577" s="44"/>
      <c r="E1577" s="23"/>
      <c r="F1577" s="45"/>
      <c r="G1577" s="23"/>
      <c r="H1577" s="23"/>
      <c r="I1577" s="23"/>
      <c r="J1577" s="25"/>
      <c r="K1577" s="23"/>
      <c r="L1577" s="23"/>
      <c r="M1577" s="23"/>
      <c r="N1577" s="26"/>
      <c r="O1577" s="26"/>
      <c r="P1577" s="26"/>
      <c r="Q1577" s="26"/>
      <c r="R1577" s="26"/>
      <c r="S1577" s="26"/>
      <c r="T1577" s="26"/>
      <c r="U1577" s="26"/>
      <c r="V1577" s="26"/>
      <c r="W1577" s="27"/>
    </row>
    <row r="1578" spans="1:23" ht="15.75" customHeight="1" x14ac:dyDescent="0.25">
      <c r="A1578" s="23"/>
      <c r="B1578" s="23" t="str">
        <f t="shared" si="7"/>
        <v/>
      </c>
      <c r="C1578" s="23"/>
      <c r="D1578" s="44"/>
      <c r="E1578" s="23"/>
      <c r="F1578" s="45"/>
      <c r="G1578" s="23"/>
      <c r="H1578" s="23"/>
      <c r="I1578" s="23"/>
      <c r="J1578" s="25"/>
      <c r="K1578" s="23"/>
      <c r="L1578" s="23"/>
      <c r="M1578" s="23"/>
      <c r="N1578" s="26"/>
      <c r="O1578" s="26"/>
      <c r="P1578" s="26"/>
      <c r="Q1578" s="26"/>
      <c r="R1578" s="26"/>
      <c r="S1578" s="26"/>
      <c r="T1578" s="26"/>
      <c r="U1578" s="26"/>
      <c r="V1578" s="26"/>
      <c r="W1578" s="27"/>
    </row>
    <row r="1579" spans="1:23" ht="15.75" customHeight="1" x14ac:dyDescent="0.25">
      <c r="A1579" s="23"/>
      <c r="B1579" s="23" t="str">
        <f t="shared" si="7"/>
        <v/>
      </c>
      <c r="C1579" s="23"/>
      <c r="D1579" s="44"/>
      <c r="E1579" s="23"/>
      <c r="F1579" s="45"/>
      <c r="G1579" s="23"/>
      <c r="H1579" s="23"/>
      <c r="I1579" s="23"/>
      <c r="J1579" s="25"/>
      <c r="K1579" s="23"/>
      <c r="L1579" s="23"/>
      <c r="M1579" s="23"/>
      <c r="N1579" s="26"/>
      <c r="O1579" s="26"/>
      <c r="P1579" s="26"/>
      <c r="Q1579" s="26"/>
      <c r="R1579" s="26"/>
      <c r="S1579" s="26"/>
      <c r="T1579" s="26"/>
      <c r="U1579" s="26"/>
      <c r="V1579" s="26"/>
      <c r="W1579" s="27"/>
    </row>
    <row r="1580" spans="1:23" ht="15.75" customHeight="1" x14ac:dyDescent="0.25">
      <c r="A1580" s="23"/>
      <c r="B1580" s="23" t="str">
        <f t="shared" si="7"/>
        <v/>
      </c>
      <c r="C1580" s="23"/>
      <c r="D1580" s="44"/>
      <c r="E1580" s="23"/>
      <c r="F1580" s="45"/>
      <c r="G1580" s="23"/>
      <c r="H1580" s="23"/>
      <c r="I1580" s="23"/>
      <c r="J1580" s="25"/>
      <c r="K1580" s="23"/>
      <c r="L1580" s="23"/>
      <c r="M1580" s="23"/>
      <c r="N1580" s="26"/>
      <c r="O1580" s="26"/>
      <c r="P1580" s="26"/>
      <c r="Q1580" s="26"/>
      <c r="R1580" s="26"/>
      <c r="S1580" s="26"/>
      <c r="T1580" s="26"/>
      <c r="U1580" s="26"/>
      <c r="V1580" s="26"/>
      <c r="W1580" s="27"/>
    </row>
    <row r="1581" spans="1:23" ht="15.75" customHeight="1" x14ac:dyDescent="0.25">
      <c r="A1581" s="23"/>
      <c r="B1581" s="23" t="str">
        <f t="shared" si="7"/>
        <v/>
      </c>
      <c r="C1581" s="23"/>
      <c r="D1581" s="44"/>
      <c r="E1581" s="23"/>
      <c r="F1581" s="45"/>
      <c r="G1581" s="23"/>
      <c r="H1581" s="23"/>
      <c r="I1581" s="23"/>
      <c r="J1581" s="25"/>
      <c r="K1581" s="23"/>
      <c r="L1581" s="23"/>
      <c r="M1581" s="23"/>
      <c r="N1581" s="26"/>
      <c r="O1581" s="26"/>
      <c r="P1581" s="26"/>
      <c r="Q1581" s="26"/>
      <c r="R1581" s="26"/>
      <c r="S1581" s="26"/>
      <c r="T1581" s="26"/>
      <c r="U1581" s="26"/>
      <c r="V1581" s="26"/>
      <c r="W1581" s="27"/>
    </row>
    <row r="1582" spans="1:23" ht="15.75" customHeight="1" x14ac:dyDescent="0.25">
      <c r="A1582" s="23"/>
      <c r="B1582" s="23" t="str">
        <f t="shared" si="7"/>
        <v/>
      </c>
      <c r="C1582" s="23"/>
      <c r="D1582" s="44"/>
      <c r="E1582" s="23"/>
      <c r="F1582" s="45"/>
      <c r="G1582" s="23"/>
      <c r="H1582" s="23"/>
      <c r="I1582" s="23"/>
      <c r="J1582" s="25"/>
      <c r="K1582" s="23"/>
      <c r="L1582" s="23"/>
      <c r="M1582" s="23"/>
      <c r="N1582" s="26"/>
      <c r="O1582" s="26"/>
      <c r="P1582" s="26"/>
      <c r="Q1582" s="26"/>
      <c r="R1582" s="26"/>
      <c r="S1582" s="26"/>
      <c r="T1582" s="26"/>
      <c r="U1582" s="26"/>
      <c r="V1582" s="26"/>
      <c r="W1582" s="27"/>
    </row>
    <row r="1583" spans="1:23" ht="15.75" customHeight="1" x14ac:dyDescent="0.25">
      <c r="A1583" s="23"/>
      <c r="B1583" s="23" t="str">
        <f t="shared" si="7"/>
        <v/>
      </c>
      <c r="C1583" s="23"/>
      <c r="D1583" s="44"/>
      <c r="E1583" s="23"/>
      <c r="F1583" s="45"/>
      <c r="G1583" s="23"/>
      <c r="H1583" s="23"/>
      <c r="I1583" s="23"/>
      <c r="J1583" s="25"/>
      <c r="K1583" s="23"/>
      <c r="L1583" s="23"/>
      <c r="M1583" s="23"/>
      <c r="N1583" s="26"/>
      <c r="O1583" s="26"/>
      <c r="P1583" s="26"/>
      <c r="Q1583" s="26"/>
      <c r="R1583" s="26"/>
      <c r="S1583" s="26"/>
      <c r="T1583" s="26"/>
      <c r="U1583" s="26"/>
      <c r="V1583" s="26"/>
      <c r="W1583" s="27"/>
    </row>
    <row r="1584" spans="1:23" ht="15.75" customHeight="1" x14ac:dyDescent="0.25">
      <c r="A1584" s="23"/>
      <c r="B1584" s="23" t="str">
        <f t="shared" si="7"/>
        <v/>
      </c>
      <c r="C1584" s="23"/>
      <c r="D1584" s="44"/>
      <c r="E1584" s="23"/>
      <c r="F1584" s="45"/>
      <c r="G1584" s="23"/>
      <c r="H1584" s="23"/>
      <c r="I1584" s="23"/>
      <c r="J1584" s="25"/>
      <c r="K1584" s="23"/>
      <c r="L1584" s="23"/>
      <c r="M1584" s="23"/>
      <c r="N1584" s="26"/>
      <c r="O1584" s="26"/>
      <c r="P1584" s="26"/>
      <c r="Q1584" s="26"/>
      <c r="R1584" s="26"/>
      <c r="S1584" s="26"/>
      <c r="T1584" s="26"/>
      <c r="U1584" s="26"/>
      <c r="V1584" s="26"/>
      <c r="W1584" s="27"/>
    </row>
    <row r="1585" spans="1:23" ht="15.75" customHeight="1" x14ac:dyDescent="0.25">
      <c r="A1585" s="23"/>
      <c r="B1585" s="23" t="str">
        <f t="shared" si="7"/>
        <v/>
      </c>
      <c r="C1585" s="23"/>
      <c r="D1585" s="44"/>
      <c r="E1585" s="23"/>
      <c r="F1585" s="45"/>
      <c r="G1585" s="23"/>
      <c r="H1585" s="23"/>
      <c r="I1585" s="23"/>
      <c r="J1585" s="25"/>
      <c r="K1585" s="23"/>
      <c r="L1585" s="23"/>
      <c r="M1585" s="23"/>
      <c r="N1585" s="26"/>
      <c r="O1585" s="26"/>
      <c r="P1585" s="26"/>
      <c r="Q1585" s="26"/>
      <c r="R1585" s="26"/>
      <c r="S1585" s="26"/>
      <c r="T1585" s="26"/>
      <c r="U1585" s="26"/>
      <c r="V1585" s="26"/>
      <c r="W1585" s="27"/>
    </row>
    <row r="1586" spans="1:23" ht="15.75" customHeight="1" x14ac:dyDescent="0.25">
      <c r="A1586" s="23"/>
      <c r="B1586" s="23" t="str">
        <f t="shared" si="7"/>
        <v/>
      </c>
      <c r="C1586" s="23"/>
      <c r="D1586" s="44"/>
      <c r="E1586" s="23"/>
      <c r="F1586" s="45"/>
      <c r="G1586" s="23"/>
      <c r="H1586" s="23"/>
      <c r="I1586" s="23"/>
      <c r="J1586" s="25"/>
      <c r="K1586" s="23"/>
      <c r="L1586" s="23"/>
      <c r="M1586" s="23"/>
      <c r="N1586" s="26"/>
      <c r="O1586" s="26"/>
      <c r="P1586" s="26"/>
      <c r="Q1586" s="26"/>
      <c r="R1586" s="26"/>
      <c r="S1586" s="26"/>
      <c r="T1586" s="26"/>
      <c r="U1586" s="26"/>
      <c r="V1586" s="26"/>
      <c r="W1586" s="27"/>
    </row>
    <row r="1587" spans="1:23" ht="15.75" customHeight="1" x14ac:dyDescent="0.25">
      <c r="A1587" s="23"/>
      <c r="B1587" s="23" t="str">
        <f t="shared" si="7"/>
        <v/>
      </c>
      <c r="C1587" s="23"/>
      <c r="D1587" s="44"/>
      <c r="E1587" s="23"/>
      <c r="F1587" s="45"/>
      <c r="G1587" s="23"/>
      <c r="H1587" s="23"/>
      <c r="I1587" s="23"/>
      <c r="J1587" s="25"/>
      <c r="K1587" s="23"/>
      <c r="L1587" s="23"/>
      <c r="M1587" s="23"/>
      <c r="N1587" s="26"/>
      <c r="O1587" s="26"/>
      <c r="P1587" s="26"/>
      <c r="Q1587" s="26"/>
      <c r="R1587" s="26"/>
      <c r="S1587" s="26"/>
      <c r="T1587" s="26"/>
      <c r="U1587" s="26"/>
      <c r="V1587" s="26"/>
      <c r="W1587" s="27"/>
    </row>
    <row r="1588" spans="1:23" ht="15.75" customHeight="1" x14ac:dyDescent="0.25">
      <c r="A1588" s="23"/>
      <c r="B1588" s="23" t="str">
        <f t="shared" si="7"/>
        <v/>
      </c>
      <c r="C1588" s="23"/>
      <c r="D1588" s="44"/>
      <c r="E1588" s="23"/>
      <c r="F1588" s="45"/>
      <c r="G1588" s="23"/>
      <c r="H1588" s="23"/>
      <c r="I1588" s="23"/>
      <c r="J1588" s="25"/>
      <c r="K1588" s="23"/>
      <c r="L1588" s="23"/>
      <c r="M1588" s="23"/>
      <c r="N1588" s="26"/>
      <c r="O1588" s="26"/>
      <c r="P1588" s="26"/>
      <c r="Q1588" s="26"/>
      <c r="R1588" s="26"/>
      <c r="S1588" s="26"/>
      <c r="T1588" s="26"/>
      <c r="U1588" s="26"/>
      <c r="V1588" s="26"/>
      <c r="W1588" s="27"/>
    </row>
    <row r="1589" spans="1:23" ht="15.75" customHeight="1" x14ac:dyDescent="0.25">
      <c r="A1589" s="23"/>
      <c r="B1589" s="23" t="str">
        <f t="shared" si="7"/>
        <v/>
      </c>
      <c r="C1589" s="23"/>
      <c r="D1589" s="44"/>
      <c r="E1589" s="23"/>
      <c r="F1589" s="45"/>
      <c r="G1589" s="23"/>
      <c r="H1589" s="23"/>
      <c r="I1589" s="23"/>
      <c r="J1589" s="25"/>
      <c r="K1589" s="23"/>
      <c r="L1589" s="23"/>
      <c r="M1589" s="23"/>
      <c r="N1589" s="26"/>
      <c r="O1589" s="26"/>
      <c r="P1589" s="26"/>
      <c r="Q1589" s="26"/>
      <c r="R1589" s="26"/>
      <c r="S1589" s="26"/>
      <c r="T1589" s="26"/>
      <c r="U1589" s="26"/>
      <c r="V1589" s="26"/>
      <c r="W1589" s="27"/>
    </row>
    <row r="1590" spans="1:23" ht="15.75" customHeight="1" x14ac:dyDescent="0.25">
      <c r="A1590" s="23"/>
      <c r="B1590" s="23" t="str">
        <f t="shared" si="7"/>
        <v/>
      </c>
      <c r="C1590" s="23"/>
      <c r="D1590" s="44"/>
      <c r="E1590" s="23"/>
      <c r="F1590" s="45"/>
      <c r="G1590" s="23"/>
      <c r="H1590" s="23"/>
      <c r="I1590" s="23"/>
      <c r="J1590" s="25"/>
      <c r="K1590" s="23"/>
      <c r="L1590" s="23"/>
      <c r="M1590" s="23"/>
      <c r="N1590" s="26"/>
      <c r="O1590" s="26"/>
      <c r="P1590" s="26"/>
      <c r="Q1590" s="26"/>
      <c r="R1590" s="26"/>
      <c r="S1590" s="26"/>
      <c r="T1590" s="26"/>
      <c r="U1590" s="26"/>
      <c r="V1590" s="26"/>
      <c r="W1590" s="27"/>
    </row>
    <row r="1591" spans="1:23" ht="15.75" customHeight="1" x14ac:dyDescent="0.25">
      <c r="A1591" s="23"/>
      <c r="B1591" s="23" t="str">
        <f t="shared" si="7"/>
        <v/>
      </c>
      <c r="C1591" s="23"/>
      <c r="D1591" s="44"/>
      <c r="E1591" s="23"/>
      <c r="F1591" s="45"/>
      <c r="G1591" s="23"/>
      <c r="H1591" s="23"/>
      <c r="I1591" s="23"/>
      <c r="J1591" s="25"/>
      <c r="K1591" s="23"/>
      <c r="L1591" s="23"/>
      <c r="M1591" s="23"/>
      <c r="N1591" s="26"/>
      <c r="O1591" s="26"/>
      <c r="P1591" s="26"/>
      <c r="Q1591" s="26"/>
      <c r="R1591" s="26"/>
      <c r="S1591" s="26"/>
      <c r="T1591" s="26"/>
      <c r="U1591" s="26"/>
      <c r="V1591" s="26"/>
      <c r="W1591" s="27"/>
    </row>
    <row r="1592" spans="1:23" ht="15.75" customHeight="1" x14ac:dyDescent="0.25">
      <c r="A1592" s="23"/>
      <c r="B1592" s="23" t="str">
        <f t="shared" si="7"/>
        <v/>
      </c>
      <c r="C1592" s="23"/>
      <c r="D1592" s="44"/>
      <c r="E1592" s="23"/>
      <c r="F1592" s="45"/>
      <c r="G1592" s="23"/>
      <c r="H1592" s="23"/>
      <c r="I1592" s="23"/>
      <c r="J1592" s="25"/>
      <c r="K1592" s="23"/>
      <c r="L1592" s="23"/>
      <c r="M1592" s="23"/>
      <c r="N1592" s="26"/>
      <c r="O1592" s="26"/>
      <c r="P1592" s="26"/>
      <c r="Q1592" s="26"/>
      <c r="R1592" s="26"/>
      <c r="S1592" s="26"/>
      <c r="T1592" s="26"/>
      <c r="U1592" s="26"/>
      <c r="V1592" s="26"/>
      <c r="W1592" s="27"/>
    </row>
    <row r="1593" spans="1:23" ht="15.75" customHeight="1" x14ac:dyDescent="0.25">
      <c r="A1593" s="23"/>
      <c r="B1593" s="23" t="str">
        <f t="shared" si="7"/>
        <v/>
      </c>
      <c r="C1593" s="23"/>
      <c r="D1593" s="44"/>
      <c r="E1593" s="23"/>
      <c r="F1593" s="45"/>
      <c r="G1593" s="23"/>
      <c r="H1593" s="23"/>
      <c r="I1593" s="23"/>
      <c r="J1593" s="25"/>
      <c r="K1593" s="23"/>
      <c r="L1593" s="23"/>
      <c r="M1593" s="23"/>
      <c r="N1593" s="26"/>
      <c r="O1593" s="26"/>
      <c r="P1593" s="26"/>
      <c r="Q1593" s="26"/>
      <c r="R1593" s="26"/>
      <c r="S1593" s="26"/>
      <c r="T1593" s="26"/>
      <c r="U1593" s="26"/>
      <c r="V1593" s="26"/>
      <c r="W1593" s="27"/>
    </row>
    <row r="1594" spans="1:23" ht="15.75" customHeight="1" x14ac:dyDescent="0.25">
      <c r="A1594" s="23"/>
      <c r="B1594" s="23" t="str">
        <f t="shared" si="7"/>
        <v/>
      </c>
      <c r="C1594" s="23"/>
      <c r="D1594" s="44"/>
      <c r="E1594" s="23"/>
      <c r="F1594" s="45"/>
      <c r="G1594" s="23"/>
      <c r="H1594" s="23"/>
      <c r="I1594" s="23"/>
      <c r="J1594" s="25"/>
      <c r="K1594" s="23"/>
      <c r="L1594" s="23"/>
      <c r="M1594" s="23"/>
      <c r="N1594" s="26"/>
      <c r="O1594" s="26"/>
      <c r="P1594" s="26"/>
      <c r="Q1594" s="26"/>
      <c r="R1594" s="26"/>
      <c r="S1594" s="26"/>
      <c r="T1594" s="26"/>
      <c r="U1594" s="26"/>
      <c r="V1594" s="26"/>
      <c r="W1594" s="27"/>
    </row>
    <row r="1595" spans="1:23" ht="15.75" customHeight="1" x14ac:dyDescent="0.25">
      <c r="A1595" s="23"/>
      <c r="B1595" s="23" t="str">
        <f t="shared" si="7"/>
        <v/>
      </c>
      <c r="C1595" s="23"/>
      <c r="D1595" s="44"/>
      <c r="E1595" s="23"/>
      <c r="F1595" s="45"/>
      <c r="G1595" s="23"/>
      <c r="H1595" s="23"/>
      <c r="I1595" s="23"/>
      <c r="J1595" s="25"/>
      <c r="K1595" s="23"/>
      <c r="L1595" s="23"/>
      <c r="M1595" s="23"/>
      <c r="N1595" s="26"/>
      <c r="O1595" s="26"/>
      <c r="P1595" s="26"/>
      <c r="Q1595" s="26"/>
      <c r="R1595" s="26"/>
      <c r="S1595" s="26"/>
      <c r="T1595" s="26"/>
      <c r="U1595" s="26"/>
      <c r="V1595" s="26"/>
      <c r="W1595" s="27"/>
    </row>
    <row r="1596" spans="1:23" ht="15.75" customHeight="1" x14ac:dyDescent="0.25">
      <c r="A1596" s="23"/>
      <c r="B1596" s="23" t="str">
        <f t="shared" si="7"/>
        <v/>
      </c>
      <c r="C1596" s="23"/>
      <c r="D1596" s="44"/>
      <c r="E1596" s="23"/>
      <c r="F1596" s="45"/>
      <c r="G1596" s="23"/>
      <c r="H1596" s="23"/>
      <c r="I1596" s="23"/>
      <c r="J1596" s="25"/>
      <c r="K1596" s="23"/>
      <c r="L1596" s="23"/>
      <c r="M1596" s="23"/>
      <c r="N1596" s="26"/>
      <c r="O1596" s="26"/>
      <c r="P1596" s="26"/>
      <c r="Q1596" s="26"/>
      <c r="R1596" s="26"/>
      <c r="S1596" s="26"/>
      <c r="T1596" s="26"/>
      <c r="U1596" s="26"/>
      <c r="V1596" s="26"/>
      <c r="W1596" s="27"/>
    </row>
    <row r="1597" spans="1:23" ht="15.75" customHeight="1" x14ac:dyDescent="0.25">
      <c r="A1597" s="23"/>
      <c r="B1597" s="23" t="str">
        <f t="shared" si="7"/>
        <v/>
      </c>
      <c r="C1597" s="23"/>
      <c r="D1597" s="44"/>
      <c r="E1597" s="23"/>
      <c r="F1597" s="45"/>
      <c r="G1597" s="23"/>
      <c r="H1597" s="23"/>
      <c r="I1597" s="23"/>
      <c r="J1597" s="25"/>
      <c r="K1597" s="23"/>
      <c r="L1597" s="23"/>
      <c r="M1597" s="23"/>
      <c r="N1597" s="26"/>
      <c r="O1597" s="26"/>
      <c r="P1597" s="26"/>
      <c r="Q1597" s="26"/>
      <c r="R1597" s="26"/>
      <c r="S1597" s="26"/>
      <c r="T1597" s="26"/>
      <c r="U1597" s="26"/>
      <c r="V1597" s="26"/>
      <c r="W1597" s="27"/>
    </row>
    <row r="1598" spans="1:23" ht="15.75" customHeight="1" x14ac:dyDescent="0.25">
      <c r="A1598" s="23"/>
      <c r="B1598" s="23" t="str">
        <f t="shared" si="7"/>
        <v/>
      </c>
      <c r="C1598" s="23"/>
      <c r="D1598" s="44"/>
      <c r="E1598" s="23"/>
      <c r="F1598" s="45"/>
      <c r="G1598" s="23"/>
      <c r="H1598" s="23"/>
      <c r="I1598" s="23"/>
      <c r="J1598" s="25"/>
      <c r="K1598" s="23"/>
      <c r="L1598" s="23"/>
      <c r="M1598" s="23"/>
      <c r="N1598" s="26"/>
      <c r="O1598" s="26"/>
      <c r="P1598" s="26"/>
      <c r="Q1598" s="26"/>
      <c r="R1598" s="26"/>
      <c r="S1598" s="26"/>
      <c r="T1598" s="26"/>
      <c r="U1598" s="26"/>
      <c r="V1598" s="26"/>
      <c r="W1598" s="27"/>
    </row>
    <row r="1599" spans="1:23" ht="15.75" customHeight="1" x14ac:dyDescent="0.25">
      <c r="A1599" s="23"/>
      <c r="B1599" s="23" t="str">
        <f t="shared" si="7"/>
        <v/>
      </c>
      <c r="C1599" s="23"/>
      <c r="D1599" s="44"/>
      <c r="E1599" s="23"/>
      <c r="F1599" s="45"/>
      <c r="G1599" s="23"/>
      <c r="H1599" s="23"/>
      <c r="I1599" s="23"/>
      <c r="J1599" s="25"/>
      <c r="K1599" s="23"/>
      <c r="L1599" s="23"/>
      <c r="M1599" s="23"/>
      <c r="N1599" s="26"/>
      <c r="O1599" s="26"/>
      <c r="P1599" s="26"/>
      <c r="Q1599" s="26"/>
      <c r="R1599" s="26"/>
      <c r="S1599" s="26"/>
      <c r="T1599" s="26"/>
      <c r="U1599" s="26"/>
      <c r="V1599" s="26"/>
      <c r="W1599" s="27"/>
    </row>
    <row r="1600" spans="1:23" ht="15.75" customHeight="1" x14ac:dyDescent="0.25">
      <c r="A1600" s="23"/>
      <c r="B1600" s="23" t="str">
        <f t="shared" si="7"/>
        <v/>
      </c>
      <c r="C1600" s="23"/>
      <c r="D1600" s="44"/>
      <c r="E1600" s="23"/>
      <c r="F1600" s="45"/>
      <c r="G1600" s="23"/>
      <c r="H1600" s="23"/>
      <c r="I1600" s="23"/>
      <c r="J1600" s="25"/>
      <c r="K1600" s="23"/>
      <c r="L1600" s="23"/>
      <c r="M1600" s="23"/>
      <c r="N1600" s="26"/>
      <c r="O1600" s="26"/>
      <c r="P1600" s="26"/>
      <c r="Q1600" s="26"/>
      <c r="R1600" s="26"/>
      <c r="S1600" s="26"/>
      <c r="T1600" s="26"/>
      <c r="U1600" s="26"/>
      <c r="V1600" s="26"/>
      <c r="W1600" s="27"/>
    </row>
    <row r="1601" spans="1:23" ht="15.75" customHeight="1" x14ac:dyDescent="0.25">
      <c r="A1601" s="23"/>
      <c r="B1601" s="23" t="str">
        <f t="shared" si="7"/>
        <v/>
      </c>
      <c r="C1601" s="23"/>
      <c r="D1601" s="44"/>
      <c r="E1601" s="23"/>
      <c r="F1601" s="45"/>
      <c r="G1601" s="23"/>
      <c r="H1601" s="23"/>
      <c r="I1601" s="23"/>
      <c r="J1601" s="25"/>
      <c r="K1601" s="23"/>
      <c r="L1601" s="23"/>
      <c r="M1601" s="23"/>
      <c r="N1601" s="26"/>
      <c r="O1601" s="26"/>
      <c r="P1601" s="26"/>
      <c r="Q1601" s="26"/>
      <c r="R1601" s="26"/>
      <c r="S1601" s="26"/>
      <c r="T1601" s="26"/>
      <c r="U1601" s="26"/>
      <c r="V1601" s="26"/>
      <c r="W1601" s="27"/>
    </row>
    <row r="1602" spans="1:23" ht="15.75" customHeight="1" x14ac:dyDescent="0.25">
      <c r="A1602" s="23"/>
      <c r="B1602" s="23" t="str">
        <f t="shared" si="7"/>
        <v/>
      </c>
      <c r="C1602" s="23"/>
      <c r="D1602" s="44"/>
      <c r="E1602" s="23"/>
      <c r="F1602" s="45"/>
      <c r="G1602" s="23"/>
      <c r="H1602" s="23"/>
      <c r="I1602" s="23"/>
      <c r="J1602" s="25"/>
      <c r="K1602" s="23"/>
      <c r="L1602" s="23"/>
      <c r="M1602" s="23"/>
      <c r="N1602" s="26"/>
      <c r="O1602" s="26"/>
      <c r="P1602" s="26"/>
      <c r="Q1602" s="26"/>
      <c r="R1602" s="26"/>
      <c r="S1602" s="26"/>
      <c r="T1602" s="26"/>
      <c r="U1602" s="26"/>
      <c r="V1602" s="26"/>
      <c r="W1602" s="27"/>
    </row>
    <row r="1603" spans="1:23" ht="15.75" customHeight="1" x14ac:dyDescent="0.25">
      <c r="A1603" s="23"/>
      <c r="B1603" s="23" t="str">
        <f t="shared" si="7"/>
        <v/>
      </c>
      <c r="C1603" s="23"/>
      <c r="D1603" s="44"/>
      <c r="E1603" s="23"/>
      <c r="F1603" s="45"/>
      <c r="G1603" s="23"/>
      <c r="H1603" s="23"/>
      <c r="I1603" s="23"/>
      <c r="J1603" s="25"/>
      <c r="K1603" s="23"/>
      <c r="L1603" s="23"/>
      <c r="M1603" s="23"/>
      <c r="N1603" s="26"/>
      <c r="O1603" s="26"/>
      <c r="P1603" s="26"/>
      <c r="Q1603" s="26"/>
      <c r="R1603" s="26"/>
      <c r="S1603" s="26"/>
      <c r="T1603" s="26"/>
      <c r="U1603" s="26"/>
      <c r="V1603" s="26"/>
      <c r="W1603" s="27"/>
    </row>
    <row r="1604" spans="1:23" ht="15.75" customHeight="1" x14ac:dyDescent="0.25">
      <c r="A1604" s="23"/>
      <c r="B1604" s="23" t="str">
        <f t="shared" si="7"/>
        <v/>
      </c>
      <c r="C1604" s="23"/>
      <c r="D1604" s="44"/>
      <c r="E1604" s="23"/>
      <c r="F1604" s="45"/>
      <c r="G1604" s="23"/>
      <c r="H1604" s="23"/>
      <c r="I1604" s="23"/>
      <c r="J1604" s="25"/>
      <c r="K1604" s="23"/>
      <c r="L1604" s="23"/>
      <c r="M1604" s="23"/>
      <c r="N1604" s="26"/>
      <c r="O1604" s="26"/>
      <c r="P1604" s="26"/>
      <c r="Q1604" s="26"/>
      <c r="R1604" s="26"/>
      <c r="S1604" s="26"/>
      <c r="T1604" s="26"/>
      <c r="U1604" s="26"/>
      <c r="V1604" s="26"/>
      <c r="W1604" s="27"/>
    </row>
    <row r="1605" spans="1:23" ht="15.75" customHeight="1" x14ac:dyDescent="0.25">
      <c r="A1605" s="23"/>
      <c r="B1605" s="23" t="str">
        <f t="shared" si="7"/>
        <v/>
      </c>
      <c r="C1605" s="23"/>
      <c r="D1605" s="44"/>
      <c r="E1605" s="23"/>
      <c r="F1605" s="45"/>
      <c r="G1605" s="23"/>
      <c r="H1605" s="23"/>
      <c r="I1605" s="23"/>
      <c r="J1605" s="25"/>
      <c r="K1605" s="23"/>
      <c r="L1605" s="23"/>
      <c r="M1605" s="23"/>
      <c r="N1605" s="26"/>
      <c r="O1605" s="26"/>
      <c r="P1605" s="26"/>
      <c r="Q1605" s="26"/>
      <c r="R1605" s="26"/>
      <c r="S1605" s="26"/>
      <c r="T1605" s="26"/>
      <c r="U1605" s="26"/>
      <c r="V1605" s="26"/>
      <c r="W1605" s="27"/>
    </row>
    <row r="1606" spans="1:23" ht="15.75" customHeight="1" x14ac:dyDescent="0.25">
      <c r="A1606" s="23"/>
      <c r="B1606" s="23" t="str">
        <f t="shared" si="7"/>
        <v/>
      </c>
      <c r="C1606" s="23"/>
      <c r="D1606" s="44"/>
      <c r="E1606" s="23"/>
      <c r="F1606" s="45"/>
      <c r="G1606" s="23"/>
      <c r="H1606" s="23"/>
      <c r="I1606" s="23"/>
      <c r="J1606" s="25"/>
      <c r="K1606" s="23"/>
      <c r="L1606" s="23"/>
      <c r="M1606" s="23"/>
      <c r="N1606" s="26"/>
      <c r="O1606" s="26"/>
      <c r="P1606" s="26"/>
      <c r="Q1606" s="26"/>
      <c r="R1606" s="26"/>
      <c r="S1606" s="26"/>
      <c r="T1606" s="26"/>
      <c r="U1606" s="26"/>
      <c r="V1606" s="26"/>
      <c r="W1606" s="27"/>
    </row>
    <row r="1607" spans="1:23" ht="15.75" customHeight="1" x14ac:dyDescent="0.25">
      <c r="A1607" s="23"/>
      <c r="B1607" s="23" t="str">
        <f t="shared" si="7"/>
        <v/>
      </c>
      <c r="C1607" s="23"/>
      <c r="D1607" s="44"/>
      <c r="E1607" s="23"/>
      <c r="F1607" s="45"/>
      <c r="G1607" s="23"/>
      <c r="H1607" s="23"/>
      <c r="I1607" s="23"/>
      <c r="J1607" s="25"/>
      <c r="K1607" s="23"/>
      <c r="L1607" s="23"/>
      <c r="M1607" s="23"/>
      <c r="N1607" s="26"/>
      <c r="O1607" s="26"/>
      <c r="P1607" s="26"/>
      <c r="Q1607" s="26"/>
      <c r="R1607" s="26"/>
      <c r="S1607" s="26"/>
      <c r="T1607" s="26"/>
      <c r="U1607" s="26"/>
      <c r="V1607" s="26"/>
      <c r="W1607" s="27"/>
    </row>
    <row r="1608" spans="1:23" ht="15.75" customHeight="1" x14ac:dyDescent="0.25">
      <c r="A1608" s="23"/>
      <c r="B1608" s="23" t="str">
        <f t="shared" si="7"/>
        <v/>
      </c>
      <c r="C1608" s="23"/>
      <c r="D1608" s="44"/>
      <c r="E1608" s="23"/>
      <c r="F1608" s="45"/>
      <c r="G1608" s="23"/>
      <c r="H1608" s="23"/>
      <c r="I1608" s="23"/>
      <c r="J1608" s="25"/>
      <c r="K1608" s="23"/>
      <c r="L1608" s="23"/>
      <c r="M1608" s="23"/>
      <c r="N1608" s="26"/>
      <c r="O1608" s="26"/>
      <c r="P1608" s="26"/>
      <c r="Q1608" s="26"/>
      <c r="R1608" s="26"/>
      <c r="S1608" s="26"/>
      <c r="T1608" s="26"/>
      <c r="U1608" s="26"/>
      <c r="V1608" s="26"/>
      <c r="W1608" s="27"/>
    </row>
    <row r="1609" spans="1:23" ht="15.75" customHeight="1" x14ac:dyDescent="0.25">
      <c r="A1609" s="23"/>
      <c r="B1609" s="23" t="str">
        <f t="shared" si="7"/>
        <v/>
      </c>
      <c r="C1609" s="23"/>
      <c r="D1609" s="44"/>
      <c r="E1609" s="23"/>
      <c r="F1609" s="45"/>
      <c r="G1609" s="23"/>
      <c r="H1609" s="23"/>
      <c r="I1609" s="23"/>
      <c r="J1609" s="25"/>
      <c r="K1609" s="23"/>
      <c r="L1609" s="23"/>
      <c r="M1609" s="23"/>
      <c r="N1609" s="26"/>
      <c r="O1609" s="26"/>
      <c r="P1609" s="26"/>
      <c r="Q1609" s="26"/>
      <c r="R1609" s="26"/>
      <c r="S1609" s="26"/>
      <c r="T1609" s="26"/>
      <c r="U1609" s="26"/>
      <c r="V1609" s="26"/>
      <c r="W1609" s="27"/>
    </row>
    <row r="1610" spans="1:23" ht="15.75" customHeight="1" x14ac:dyDescent="0.25">
      <c r="A1610" s="23"/>
      <c r="B1610" s="23" t="str">
        <f t="shared" si="7"/>
        <v/>
      </c>
      <c r="C1610" s="23"/>
      <c r="D1610" s="44"/>
      <c r="E1610" s="23"/>
      <c r="F1610" s="45"/>
      <c r="G1610" s="23"/>
      <c r="H1610" s="23"/>
      <c r="I1610" s="23"/>
      <c r="J1610" s="25"/>
      <c r="K1610" s="23"/>
      <c r="L1610" s="23"/>
      <c r="M1610" s="23"/>
      <c r="N1610" s="26"/>
      <c r="O1610" s="26"/>
      <c r="P1610" s="26"/>
      <c r="Q1610" s="26"/>
      <c r="R1610" s="26"/>
      <c r="S1610" s="26"/>
      <c r="T1610" s="26"/>
      <c r="U1610" s="26"/>
      <c r="V1610" s="26"/>
      <c r="W1610" s="27"/>
    </row>
    <row r="1611" spans="1:23" ht="15.75" customHeight="1" x14ac:dyDescent="0.25">
      <c r="A1611" s="23"/>
      <c r="B1611" s="23" t="str">
        <f t="shared" si="7"/>
        <v/>
      </c>
      <c r="C1611" s="23"/>
      <c r="D1611" s="44"/>
      <c r="E1611" s="23"/>
      <c r="F1611" s="45"/>
      <c r="G1611" s="23"/>
      <c r="H1611" s="23"/>
      <c r="I1611" s="23"/>
      <c r="J1611" s="25"/>
      <c r="K1611" s="23"/>
      <c r="L1611" s="23"/>
      <c r="M1611" s="23"/>
      <c r="N1611" s="26"/>
      <c r="O1611" s="26"/>
      <c r="P1611" s="26"/>
      <c r="Q1611" s="26"/>
      <c r="R1611" s="26"/>
      <c r="S1611" s="26"/>
      <c r="T1611" s="26"/>
      <c r="U1611" s="26"/>
      <c r="V1611" s="26"/>
      <c r="W1611" s="27"/>
    </row>
    <row r="1612" spans="1:23" ht="15.75" customHeight="1" x14ac:dyDescent="0.25">
      <c r="A1612" s="23"/>
      <c r="B1612" s="23" t="str">
        <f t="shared" si="7"/>
        <v/>
      </c>
      <c r="C1612" s="23"/>
      <c r="D1612" s="44"/>
      <c r="E1612" s="23"/>
      <c r="F1612" s="45"/>
      <c r="G1612" s="23"/>
      <c r="H1612" s="23"/>
      <c r="I1612" s="23"/>
      <c r="J1612" s="25"/>
      <c r="K1612" s="23"/>
      <c r="L1612" s="23"/>
      <c r="M1612" s="23"/>
      <c r="N1612" s="26"/>
      <c r="O1612" s="26"/>
      <c r="P1612" s="26"/>
      <c r="Q1612" s="26"/>
      <c r="R1612" s="26"/>
      <c r="S1612" s="26"/>
      <c r="T1612" s="26"/>
      <c r="U1612" s="26"/>
      <c r="V1612" s="26"/>
      <c r="W1612" s="27"/>
    </row>
    <row r="1613" spans="1:23" ht="15.75" customHeight="1" x14ac:dyDescent="0.25">
      <c r="A1613" s="23"/>
      <c r="B1613" s="23" t="str">
        <f t="shared" si="7"/>
        <v/>
      </c>
      <c r="C1613" s="23"/>
      <c r="D1613" s="44"/>
      <c r="E1613" s="23"/>
      <c r="F1613" s="45"/>
      <c r="G1613" s="23"/>
      <c r="H1613" s="23"/>
      <c r="I1613" s="23"/>
      <c r="J1613" s="25"/>
      <c r="K1613" s="23"/>
      <c r="L1613" s="23"/>
      <c r="M1613" s="23"/>
      <c r="N1613" s="26"/>
      <c r="O1613" s="26"/>
      <c r="P1613" s="26"/>
      <c r="Q1613" s="26"/>
      <c r="R1613" s="26"/>
      <c r="S1613" s="26"/>
      <c r="T1613" s="26"/>
      <c r="U1613" s="26"/>
      <c r="V1613" s="26"/>
      <c r="W1613" s="27"/>
    </row>
    <row r="1614" spans="1:23" ht="15.75" customHeight="1" x14ac:dyDescent="0.25">
      <c r="A1614" s="23"/>
      <c r="B1614" s="23" t="str">
        <f t="shared" si="7"/>
        <v/>
      </c>
      <c r="C1614" s="23"/>
      <c r="D1614" s="44"/>
      <c r="E1614" s="23"/>
      <c r="F1614" s="45"/>
      <c r="G1614" s="23"/>
      <c r="H1614" s="23"/>
      <c r="I1614" s="23"/>
      <c r="J1614" s="25"/>
      <c r="K1614" s="23"/>
      <c r="L1614" s="23"/>
      <c r="M1614" s="23"/>
      <c r="N1614" s="26"/>
      <c r="O1614" s="26"/>
      <c r="P1614" s="26"/>
      <c r="Q1614" s="26"/>
      <c r="R1614" s="26"/>
      <c r="S1614" s="26"/>
      <c r="T1614" s="26"/>
      <c r="U1614" s="26"/>
      <c r="V1614" s="26"/>
      <c r="W1614" s="27"/>
    </row>
    <row r="1615" spans="1:23" ht="15.75" customHeight="1" x14ac:dyDescent="0.25">
      <c r="A1615" s="23"/>
      <c r="B1615" s="23" t="str">
        <f t="shared" si="7"/>
        <v/>
      </c>
      <c r="C1615" s="23"/>
      <c r="D1615" s="44"/>
      <c r="E1615" s="23"/>
      <c r="F1615" s="45"/>
      <c r="G1615" s="23"/>
      <c r="H1615" s="23"/>
      <c r="I1615" s="23"/>
      <c r="J1615" s="25"/>
      <c r="K1615" s="23"/>
      <c r="L1615" s="23"/>
      <c r="M1615" s="23"/>
      <c r="N1615" s="26"/>
      <c r="O1615" s="26"/>
      <c r="P1615" s="26"/>
      <c r="Q1615" s="26"/>
      <c r="R1615" s="26"/>
      <c r="S1615" s="26"/>
      <c r="T1615" s="26"/>
      <c r="U1615" s="26"/>
      <c r="V1615" s="26"/>
      <c r="W1615" s="27"/>
    </row>
    <row r="1616" spans="1:23" ht="15.75" customHeight="1" x14ac:dyDescent="0.25">
      <c r="A1616" s="23"/>
      <c r="B1616" s="23" t="str">
        <f t="shared" si="7"/>
        <v/>
      </c>
      <c r="C1616" s="23"/>
      <c r="D1616" s="44"/>
      <c r="E1616" s="23"/>
      <c r="F1616" s="45"/>
      <c r="G1616" s="23"/>
      <c r="H1616" s="23"/>
      <c r="I1616" s="23"/>
      <c r="J1616" s="25"/>
      <c r="K1616" s="23"/>
      <c r="L1616" s="23"/>
      <c r="M1616" s="23"/>
      <c r="N1616" s="26"/>
      <c r="O1616" s="26"/>
      <c r="P1616" s="26"/>
      <c r="Q1616" s="26"/>
      <c r="R1616" s="26"/>
      <c r="S1616" s="26"/>
      <c r="T1616" s="26"/>
      <c r="U1616" s="26"/>
      <c r="V1616" s="26"/>
      <c r="W1616" s="27"/>
    </row>
    <row r="1617" spans="1:23" ht="15.75" customHeight="1" x14ac:dyDescent="0.25">
      <c r="A1617" s="23"/>
      <c r="B1617" s="23" t="str">
        <f t="shared" si="7"/>
        <v/>
      </c>
      <c r="C1617" s="23"/>
      <c r="D1617" s="44"/>
      <c r="E1617" s="23"/>
      <c r="F1617" s="45"/>
      <c r="G1617" s="23"/>
      <c r="H1617" s="23"/>
      <c r="I1617" s="23"/>
      <c r="J1617" s="25"/>
      <c r="K1617" s="23"/>
      <c r="L1617" s="23"/>
      <c r="M1617" s="23"/>
      <c r="N1617" s="26"/>
      <c r="O1617" s="26"/>
      <c r="P1617" s="26"/>
      <c r="Q1617" s="26"/>
      <c r="R1617" s="26"/>
      <c r="S1617" s="26"/>
      <c r="T1617" s="26"/>
      <c r="U1617" s="26"/>
      <c r="V1617" s="26"/>
      <c r="W1617" s="27"/>
    </row>
    <row r="1618" spans="1:23" ht="15.75" customHeight="1" x14ac:dyDescent="0.25">
      <c r="A1618" s="23"/>
      <c r="B1618" s="23" t="str">
        <f t="shared" si="7"/>
        <v/>
      </c>
      <c r="C1618" s="23"/>
      <c r="D1618" s="44"/>
      <c r="E1618" s="23"/>
      <c r="F1618" s="45"/>
      <c r="G1618" s="23"/>
      <c r="H1618" s="23"/>
      <c r="I1618" s="23"/>
      <c r="J1618" s="25"/>
      <c r="K1618" s="23"/>
      <c r="L1618" s="23"/>
      <c r="M1618" s="23"/>
      <c r="N1618" s="26"/>
      <c r="O1618" s="26"/>
      <c r="P1618" s="26"/>
      <c r="Q1618" s="26"/>
      <c r="R1618" s="26"/>
      <c r="S1618" s="26"/>
      <c r="T1618" s="26"/>
      <c r="U1618" s="26"/>
      <c r="V1618" s="26"/>
      <c r="W1618" s="27"/>
    </row>
    <row r="1619" spans="1:23" ht="15.75" customHeight="1" x14ac:dyDescent="0.25">
      <c r="A1619" s="23"/>
      <c r="B1619" s="23" t="str">
        <f t="shared" si="7"/>
        <v/>
      </c>
      <c r="C1619" s="23"/>
      <c r="D1619" s="44"/>
      <c r="E1619" s="23"/>
      <c r="F1619" s="45"/>
      <c r="G1619" s="23"/>
      <c r="H1619" s="23"/>
      <c r="I1619" s="23"/>
      <c r="J1619" s="25"/>
      <c r="K1619" s="23"/>
      <c r="L1619" s="23"/>
      <c r="M1619" s="23"/>
      <c r="N1619" s="26"/>
      <c r="O1619" s="26"/>
      <c r="P1619" s="26"/>
      <c r="Q1619" s="26"/>
      <c r="R1619" s="26"/>
      <c r="S1619" s="26"/>
      <c r="T1619" s="26"/>
      <c r="U1619" s="26"/>
      <c r="V1619" s="26"/>
      <c r="W1619" s="27"/>
    </row>
    <row r="1620" spans="1:23" ht="15.75" customHeight="1" x14ac:dyDescent="0.25">
      <c r="A1620" s="23"/>
      <c r="B1620" s="23" t="str">
        <f t="shared" si="7"/>
        <v/>
      </c>
      <c r="C1620" s="23"/>
      <c r="D1620" s="44"/>
      <c r="E1620" s="23"/>
      <c r="F1620" s="45"/>
      <c r="G1620" s="23"/>
      <c r="H1620" s="23"/>
      <c r="I1620" s="23"/>
      <c r="J1620" s="25"/>
      <c r="K1620" s="23"/>
      <c r="L1620" s="23"/>
      <c r="M1620" s="23"/>
      <c r="N1620" s="26"/>
      <c r="O1620" s="26"/>
      <c r="P1620" s="26"/>
      <c r="Q1620" s="26"/>
      <c r="R1620" s="26"/>
      <c r="S1620" s="26"/>
      <c r="T1620" s="26"/>
      <c r="U1620" s="26"/>
      <c r="V1620" s="26"/>
      <c r="W1620" s="27"/>
    </row>
    <row r="1621" spans="1:23" ht="15.75" customHeight="1" x14ac:dyDescent="0.25">
      <c r="A1621" s="23"/>
      <c r="B1621" s="23" t="str">
        <f t="shared" si="7"/>
        <v/>
      </c>
      <c r="C1621" s="23"/>
      <c r="D1621" s="44"/>
      <c r="E1621" s="23"/>
      <c r="F1621" s="45"/>
      <c r="G1621" s="23"/>
      <c r="H1621" s="23"/>
      <c r="I1621" s="23"/>
      <c r="J1621" s="25"/>
      <c r="K1621" s="23"/>
      <c r="L1621" s="23"/>
      <c r="M1621" s="23"/>
      <c r="N1621" s="26"/>
      <c r="O1621" s="26"/>
      <c r="P1621" s="26"/>
      <c r="Q1621" s="26"/>
      <c r="R1621" s="26"/>
      <c r="S1621" s="26"/>
      <c r="T1621" s="26"/>
      <c r="U1621" s="26"/>
      <c r="V1621" s="26"/>
      <c r="W1621" s="27"/>
    </row>
    <row r="1622" spans="1:23" ht="15.75" customHeight="1" x14ac:dyDescent="0.25">
      <c r="A1622" s="23"/>
      <c r="B1622" s="23" t="str">
        <f t="shared" si="7"/>
        <v/>
      </c>
      <c r="C1622" s="23"/>
      <c r="D1622" s="44"/>
      <c r="E1622" s="23"/>
      <c r="F1622" s="45"/>
      <c r="G1622" s="23"/>
      <c r="H1622" s="23"/>
      <c r="I1622" s="23"/>
      <c r="J1622" s="25"/>
      <c r="K1622" s="23"/>
      <c r="L1622" s="23"/>
      <c r="M1622" s="23"/>
      <c r="N1622" s="26"/>
      <c r="O1622" s="26"/>
      <c r="P1622" s="26"/>
      <c r="Q1622" s="26"/>
      <c r="R1622" s="26"/>
      <c r="S1622" s="26"/>
      <c r="T1622" s="26"/>
      <c r="U1622" s="26"/>
      <c r="V1622" s="26"/>
      <c r="W1622" s="27"/>
    </row>
    <row r="1623" spans="1:23" ht="15.75" customHeight="1" x14ac:dyDescent="0.25">
      <c r="A1623" s="23"/>
      <c r="B1623" s="23" t="str">
        <f t="shared" si="7"/>
        <v/>
      </c>
      <c r="C1623" s="23"/>
      <c r="D1623" s="44"/>
      <c r="E1623" s="23"/>
      <c r="F1623" s="45"/>
      <c r="G1623" s="23"/>
      <c r="H1623" s="23"/>
      <c r="I1623" s="23"/>
      <c r="J1623" s="25"/>
      <c r="K1623" s="23"/>
      <c r="L1623" s="23"/>
      <c r="M1623" s="23"/>
      <c r="N1623" s="26"/>
      <c r="O1623" s="26"/>
      <c r="P1623" s="26"/>
      <c r="Q1623" s="26"/>
      <c r="R1623" s="26"/>
      <c r="S1623" s="26"/>
      <c r="T1623" s="26"/>
      <c r="U1623" s="26"/>
      <c r="V1623" s="26"/>
      <c r="W1623" s="27"/>
    </row>
    <row r="1624" spans="1:23" ht="15.75" customHeight="1" x14ac:dyDescent="0.25">
      <c r="A1624" s="23"/>
      <c r="B1624" s="23" t="str">
        <f t="shared" si="7"/>
        <v/>
      </c>
      <c r="C1624" s="23"/>
      <c r="D1624" s="44"/>
      <c r="E1624" s="23"/>
      <c r="F1624" s="45"/>
      <c r="G1624" s="23"/>
      <c r="H1624" s="23"/>
      <c r="I1624" s="23"/>
      <c r="J1624" s="25"/>
      <c r="K1624" s="23"/>
      <c r="L1624" s="23"/>
      <c r="M1624" s="23"/>
      <c r="N1624" s="26"/>
      <c r="O1624" s="26"/>
      <c r="P1624" s="26"/>
      <c r="Q1624" s="26"/>
      <c r="R1624" s="26"/>
      <c r="S1624" s="26"/>
      <c r="T1624" s="26"/>
      <c r="U1624" s="26"/>
      <c r="V1624" s="26"/>
      <c r="W1624" s="27"/>
    </row>
    <row r="1625" spans="1:23" ht="15.75" customHeight="1" x14ac:dyDescent="0.25">
      <c r="A1625" s="23"/>
      <c r="B1625" s="23" t="str">
        <f t="shared" si="7"/>
        <v/>
      </c>
      <c r="C1625" s="23"/>
      <c r="D1625" s="44"/>
      <c r="E1625" s="23"/>
      <c r="F1625" s="45"/>
      <c r="G1625" s="23"/>
      <c r="H1625" s="23"/>
      <c r="I1625" s="23"/>
      <c r="J1625" s="25"/>
      <c r="K1625" s="23"/>
      <c r="L1625" s="23"/>
      <c r="M1625" s="23"/>
      <c r="N1625" s="26"/>
      <c r="O1625" s="26"/>
      <c r="P1625" s="26"/>
      <c r="Q1625" s="26"/>
      <c r="R1625" s="26"/>
      <c r="S1625" s="26"/>
      <c r="T1625" s="26"/>
      <c r="U1625" s="26"/>
      <c r="V1625" s="26"/>
      <c r="W1625" s="27"/>
    </row>
    <row r="1626" spans="1:23" ht="15.75" customHeight="1" x14ac:dyDescent="0.25">
      <c r="A1626" s="23"/>
      <c r="B1626" s="23" t="str">
        <f t="shared" si="7"/>
        <v/>
      </c>
      <c r="C1626" s="23"/>
      <c r="D1626" s="44"/>
      <c r="E1626" s="23"/>
      <c r="F1626" s="45"/>
      <c r="G1626" s="23"/>
      <c r="H1626" s="23"/>
      <c r="I1626" s="23"/>
      <c r="J1626" s="25"/>
      <c r="K1626" s="23"/>
      <c r="L1626" s="23"/>
      <c r="M1626" s="23"/>
      <c r="N1626" s="26"/>
      <c r="O1626" s="26"/>
      <c r="P1626" s="26"/>
      <c r="Q1626" s="26"/>
      <c r="R1626" s="26"/>
      <c r="S1626" s="26"/>
      <c r="T1626" s="26"/>
      <c r="U1626" s="26"/>
      <c r="V1626" s="26"/>
      <c r="W1626" s="27"/>
    </row>
    <row r="1627" spans="1:23" ht="15.75" customHeight="1" x14ac:dyDescent="0.25">
      <c r="A1627" s="23"/>
      <c r="B1627" s="23" t="str">
        <f t="shared" si="7"/>
        <v/>
      </c>
      <c r="C1627" s="23"/>
      <c r="D1627" s="44"/>
      <c r="E1627" s="23"/>
      <c r="F1627" s="45"/>
      <c r="G1627" s="23"/>
      <c r="H1627" s="23"/>
      <c r="I1627" s="23"/>
      <c r="J1627" s="25"/>
      <c r="K1627" s="23"/>
      <c r="L1627" s="23"/>
      <c r="M1627" s="23"/>
      <c r="N1627" s="26"/>
      <c r="O1627" s="26"/>
      <c r="P1627" s="26"/>
      <c r="Q1627" s="26"/>
      <c r="R1627" s="26"/>
      <c r="S1627" s="26"/>
      <c r="T1627" s="26"/>
      <c r="U1627" s="26"/>
      <c r="V1627" s="26"/>
      <c r="W1627" s="27"/>
    </row>
    <row r="1628" spans="1:23" ht="15.75" customHeight="1" x14ac:dyDescent="0.25">
      <c r="A1628" s="23"/>
      <c r="B1628" s="23" t="str">
        <f t="shared" si="7"/>
        <v/>
      </c>
      <c r="C1628" s="23"/>
      <c r="D1628" s="44"/>
      <c r="E1628" s="23"/>
      <c r="F1628" s="45"/>
      <c r="G1628" s="23"/>
      <c r="H1628" s="23"/>
      <c r="I1628" s="23"/>
      <c r="J1628" s="25"/>
      <c r="K1628" s="23"/>
      <c r="L1628" s="23"/>
      <c r="M1628" s="23"/>
      <c r="N1628" s="26"/>
      <c r="O1628" s="26"/>
      <c r="P1628" s="26"/>
      <c r="Q1628" s="26"/>
      <c r="R1628" s="26"/>
      <c r="S1628" s="26"/>
      <c r="T1628" s="26"/>
      <c r="U1628" s="26"/>
      <c r="V1628" s="26"/>
      <c r="W1628" s="27"/>
    </row>
    <row r="1629" spans="1:23" ht="15.75" customHeight="1" x14ac:dyDescent="0.25">
      <c r="A1629" s="23"/>
      <c r="B1629" s="23" t="str">
        <f t="shared" si="7"/>
        <v/>
      </c>
      <c r="C1629" s="23"/>
      <c r="D1629" s="44"/>
      <c r="E1629" s="23"/>
      <c r="F1629" s="45"/>
      <c r="G1629" s="23"/>
      <c r="H1629" s="23"/>
      <c r="I1629" s="23"/>
      <c r="J1629" s="25"/>
      <c r="K1629" s="23"/>
      <c r="L1629" s="23"/>
      <c r="M1629" s="23"/>
      <c r="N1629" s="26"/>
      <c r="O1629" s="26"/>
      <c r="P1629" s="26"/>
      <c r="Q1629" s="26"/>
      <c r="R1629" s="26"/>
      <c r="S1629" s="26"/>
      <c r="T1629" s="26"/>
      <c r="U1629" s="26"/>
      <c r="V1629" s="26"/>
      <c r="W1629" s="27"/>
    </row>
    <row r="1630" spans="1:23" ht="15.75" customHeight="1" x14ac:dyDescent="0.25">
      <c r="A1630" s="23"/>
      <c r="B1630" s="23" t="str">
        <f t="shared" si="7"/>
        <v/>
      </c>
      <c r="C1630" s="23"/>
      <c r="D1630" s="44"/>
      <c r="E1630" s="23"/>
      <c r="F1630" s="45"/>
      <c r="G1630" s="23"/>
      <c r="H1630" s="23"/>
      <c r="I1630" s="23"/>
      <c r="J1630" s="25"/>
      <c r="K1630" s="23"/>
      <c r="L1630" s="23"/>
      <c r="M1630" s="23"/>
      <c r="N1630" s="26"/>
      <c r="O1630" s="26"/>
      <c r="P1630" s="26"/>
      <c r="Q1630" s="26"/>
      <c r="R1630" s="26"/>
      <c r="S1630" s="26"/>
      <c r="T1630" s="26"/>
      <c r="U1630" s="26"/>
      <c r="V1630" s="26"/>
      <c r="W1630" s="27"/>
    </row>
    <row r="1631" spans="1:23" ht="15.75" customHeight="1" x14ac:dyDescent="0.25">
      <c r="A1631" s="23"/>
      <c r="B1631" s="23" t="str">
        <f t="shared" si="7"/>
        <v/>
      </c>
      <c r="C1631" s="23"/>
      <c r="D1631" s="44"/>
      <c r="E1631" s="23"/>
      <c r="F1631" s="45"/>
      <c r="G1631" s="23"/>
      <c r="H1631" s="23"/>
      <c r="I1631" s="23"/>
      <c r="J1631" s="25"/>
      <c r="K1631" s="23"/>
      <c r="L1631" s="23"/>
      <c r="M1631" s="23"/>
      <c r="N1631" s="26"/>
      <c r="O1631" s="26"/>
      <c r="P1631" s="26"/>
      <c r="Q1631" s="26"/>
      <c r="R1631" s="26"/>
      <c r="S1631" s="26"/>
      <c r="T1631" s="26"/>
      <c r="U1631" s="26"/>
      <c r="V1631" s="26"/>
      <c r="W1631" s="27"/>
    </row>
    <row r="1632" spans="1:23" ht="15.75" customHeight="1" x14ac:dyDescent="0.25">
      <c r="A1632" s="23"/>
      <c r="B1632" s="23" t="str">
        <f t="shared" si="7"/>
        <v/>
      </c>
      <c r="C1632" s="23"/>
      <c r="D1632" s="44"/>
      <c r="E1632" s="23"/>
      <c r="F1632" s="45"/>
      <c r="G1632" s="23"/>
      <c r="H1632" s="23"/>
      <c r="I1632" s="23"/>
      <c r="J1632" s="25"/>
      <c r="K1632" s="23"/>
      <c r="L1632" s="23"/>
      <c r="M1632" s="23"/>
      <c r="N1632" s="26"/>
      <c r="O1632" s="26"/>
      <c r="P1632" s="26"/>
      <c r="Q1632" s="26"/>
      <c r="R1632" s="26"/>
      <c r="S1632" s="26"/>
      <c r="T1632" s="26"/>
      <c r="U1632" s="26"/>
      <c r="V1632" s="26"/>
      <c r="W1632" s="27"/>
    </row>
    <row r="1633" spans="1:23" ht="15.75" customHeight="1" x14ac:dyDescent="0.25">
      <c r="A1633" s="23"/>
      <c r="B1633" s="23" t="str">
        <f t="shared" si="7"/>
        <v/>
      </c>
      <c r="C1633" s="23"/>
      <c r="D1633" s="44"/>
      <c r="E1633" s="23"/>
      <c r="F1633" s="45"/>
      <c r="G1633" s="23"/>
      <c r="H1633" s="23"/>
      <c r="I1633" s="23"/>
      <c r="J1633" s="25"/>
      <c r="K1633" s="23"/>
      <c r="L1633" s="23"/>
      <c r="M1633" s="23"/>
      <c r="N1633" s="26"/>
      <c r="O1633" s="26"/>
      <c r="P1633" s="26"/>
      <c r="Q1633" s="26"/>
      <c r="R1633" s="26"/>
      <c r="S1633" s="26"/>
      <c r="T1633" s="26"/>
      <c r="U1633" s="26"/>
      <c r="V1633" s="26"/>
      <c r="W1633" s="27"/>
    </row>
    <row r="1634" spans="1:23" ht="15.75" customHeight="1" x14ac:dyDescent="0.25">
      <c r="A1634" s="23"/>
      <c r="B1634" s="23" t="str">
        <f t="shared" si="7"/>
        <v/>
      </c>
      <c r="C1634" s="23"/>
      <c r="D1634" s="44"/>
      <c r="E1634" s="23"/>
      <c r="F1634" s="45"/>
      <c r="G1634" s="23"/>
      <c r="H1634" s="23"/>
      <c r="I1634" s="23"/>
      <c r="J1634" s="25"/>
      <c r="K1634" s="23"/>
      <c r="L1634" s="23"/>
      <c r="M1634" s="23"/>
      <c r="N1634" s="26"/>
      <c r="O1634" s="26"/>
      <c r="P1634" s="26"/>
      <c r="Q1634" s="26"/>
      <c r="R1634" s="26"/>
      <c r="S1634" s="26"/>
      <c r="T1634" s="26"/>
      <c r="U1634" s="26"/>
      <c r="V1634" s="26"/>
      <c r="W1634" s="27"/>
    </row>
    <row r="1635" spans="1:23" ht="15.75" customHeight="1" x14ac:dyDescent="0.25">
      <c r="A1635" s="23"/>
      <c r="B1635" s="23" t="str">
        <f t="shared" si="7"/>
        <v/>
      </c>
      <c r="C1635" s="23"/>
      <c r="D1635" s="44"/>
      <c r="E1635" s="23"/>
      <c r="F1635" s="45"/>
      <c r="G1635" s="23"/>
      <c r="H1635" s="23"/>
      <c r="I1635" s="23"/>
      <c r="J1635" s="25"/>
      <c r="K1635" s="23"/>
      <c r="L1635" s="23"/>
      <c r="M1635" s="23"/>
      <c r="N1635" s="26"/>
      <c r="O1635" s="26"/>
      <c r="P1635" s="26"/>
      <c r="Q1635" s="26"/>
      <c r="R1635" s="26"/>
      <c r="S1635" s="26"/>
      <c r="T1635" s="26"/>
      <c r="U1635" s="26"/>
      <c r="V1635" s="26"/>
      <c r="W1635" s="27"/>
    </row>
    <row r="1636" spans="1:23" ht="15.75" customHeight="1" x14ac:dyDescent="0.25">
      <c r="A1636" s="23"/>
      <c r="B1636" s="23" t="str">
        <f t="shared" si="7"/>
        <v/>
      </c>
      <c r="C1636" s="23"/>
      <c r="D1636" s="44"/>
      <c r="E1636" s="23"/>
      <c r="F1636" s="45"/>
      <c r="G1636" s="23"/>
      <c r="H1636" s="23"/>
      <c r="I1636" s="23"/>
      <c r="J1636" s="25"/>
      <c r="K1636" s="23"/>
      <c r="L1636" s="23"/>
      <c r="M1636" s="23"/>
      <c r="N1636" s="26"/>
      <c r="O1636" s="26"/>
      <c r="P1636" s="26"/>
      <c r="Q1636" s="26"/>
      <c r="R1636" s="26"/>
      <c r="S1636" s="26"/>
      <c r="T1636" s="26"/>
      <c r="U1636" s="26"/>
      <c r="V1636" s="26"/>
      <c r="W1636" s="27"/>
    </row>
    <row r="1637" spans="1:23" ht="15.75" customHeight="1" x14ac:dyDescent="0.25">
      <c r="A1637" s="23"/>
      <c r="B1637" s="23" t="str">
        <f t="shared" si="7"/>
        <v/>
      </c>
      <c r="C1637" s="23"/>
      <c r="D1637" s="44"/>
      <c r="E1637" s="23"/>
      <c r="F1637" s="45"/>
      <c r="G1637" s="23"/>
      <c r="H1637" s="23"/>
      <c r="I1637" s="23"/>
      <c r="J1637" s="25"/>
      <c r="K1637" s="23"/>
      <c r="L1637" s="23"/>
      <c r="M1637" s="23"/>
      <c r="N1637" s="26"/>
      <c r="O1637" s="26"/>
      <c r="P1637" s="26"/>
      <c r="Q1637" s="26"/>
      <c r="R1637" s="26"/>
      <c r="S1637" s="26"/>
      <c r="T1637" s="26"/>
      <c r="U1637" s="26"/>
      <c r="V1637" s="26"/>
      <c r="W1637" s="27"/>
    </row>
    <row r="1638" spans="1:23" ht="15.75" customHeight="1" x14ac:dyDescent="0.25">
      <c r="A1638" s="23"/>
      <c r="B1638" s="23" t="str">
        <f t="shared" si="7"/>
        <v/>
      </c>
      <c r="C1638" s="23"/>
      <c r="D1638" s="44"/>
      <c r="E1638" s="23"/>
      <c r="F1638" s="45"/>
      <c r="G1638" s="23"/>
      <c r="H1638" s="23"/>
      <c r="I1638" s="23"/>
      <c r="J1638" s="25"/>
      <c r="K1638" s="23"/>
      <c r="L1638" s="23"/>
      <c r="M1638" s="23"/>
      <c r="N1638" s="26"/>
      <c r="O1638" s="26"/>
      <c r="P1638" s="26"/>
      <c r="Q1638" s="26"/>
      <c r="R1638" s="26"/>
      <c r="S1638" s="26"/>
      <c r="T1638" s="26"/>
      <c r="U1638" s="26"/>
      <c r="V1638" s="26"/>
      <c r="W1638" s="27"/>
    </row>
    <row r="1639" spans="1:23" ht="15.75" customHeight="1" x14ac:dyDescent="0.25">
      <c r="A1639" s="23"/>
      <c r="B1639" s="23" t="str">
        <f t="shared" si="7"/>
        <v/>
      </c>
      <c r="C1639" s="23"/>
      <c r="D1639" s="44"/>
      <c r="E1639" s="23"/>
      <c r="F1639" s="45"/>
      <c r="G1639" s="23"/>
      <c r="H1639" s="23"/>
      <c r="I1639" s="23"/>
      <c r="J1639" s="25"/>
      <c r="K1639" s="23"/>
      <c r="L1639" s="23"/>
      <c r="M1639" s="23"/>
      <c r="N1639" s="26"/>
      <c r="O1639" s="26"/>
      <c r="P1639" s="26"/>
      <c r="Q1639" s="26"/>
      <c r="R1639" s="26"/>
      <c r="S1639" s="26"/>
      <c r="T1639" s="26"/>
      <c r="U1639" s="26"/>
      <c r="V1639" s="26"/>
      <c r="W1639" s="27"/>
    </row>
    <row r="1640" spans="1:23" ht="15.75" customHeight="1" x14ac:dyDescent="0.25">
      <c r="A1640" s="23"/>
      <c r="B1640" s="23" t="str">
        <f t="shared" si="7"/>
        <v/>
      </c>
      <c r="C1640" s="23"/>
      <c r="D1640" s="44"/>
      <c r="E1640" s="23"/>
      <c r="F1640" s="45"/>
      <c r="G1640" s="23"/>
      <c r="H1640" s="23"/>
      <c r="I1640" s="23"/>
      <c r="J1640" s="25"/>
      <c r="K1640" s="23"/>
      <c r="L1640" s="23"/>
      <c r="M1640" s="23"/>
      <c r="N1640" s="26"/>
      <c r="O1640" s="26"/>
      <c r="P1640" s="26"/>
      <c r="Q1640" s="26"/>
      <c r="R1640" s="26"/>
      <c r="S1640" s="26"/>
      <c r="T1640" s="26"/>
      <c r="U1640" s="26"/>
      <c r="V1640" s="26"/>
      <c r="W1640" s="27"/>
    </row>
    <row r="1641" spans="1:23" ht="15.75" customHeight="1" x14ac:dyDescent="0.25">
      <c r="A1641" s="23"/>
      <c r="B1641" s="23" t="str">
        <f t="shared" si="7"/>
        <v/>
      </c>
      <c r="C1641" s="23"/>
      <c r="D1641" s="44"/>
      <c r="E1641" s="23"/>
      <c r="F1641" s="45"/>
      <c r="G1641" s="23"/>
      <c r="H1641" s="23"/>
      <c r="I1641" s="23"/>
      <c r="J1641" s="25"/>
      <c r="K1641" s="23"/>
      <c r="L1641" s="23"/>
      <c r="M1641" s="23"/>
      <c r="N1641" s="26"/>
      <c r="O1641" s="26"/>
      <c r="P1641" s="26"/>
      <c r="Q1641" s="26"/>
      <c r="R1641" s="26"/>
      <c r="S1641" s="26"/>
      <c r="T1641" s="26"/>
      <c r="U1641" s="26"/>
      <c r="V1641" s="26"/>
      <c r="W1641" s="27"/>
    </row>
    <row r="1642" spans="1:23" ht="15.75" customHeight="1" x14ac:dyDescent="0.25">
      <c r="A1642" s="23"/>
      <c r="B1642" s="23" t="str">
        <f t="shared" si="7"/>
        <v/>
      </c>
      <c r="C1642" s="23"/>
      <c r="D1642" s="44"/>
      <c r="E1642" s="23"/>
      <c r="F1642" s="45"/>
      <c r="G1642" s="23"/>
      <c r="H1642" s="23"/>
      <c r="I1642" s="23"/>
      <c r="J1642" s="25"/>
      <c r="K1642" s="23"/>
      <c r="L1642" s="23"/>
      <c r="M1642" s="23"/>
      <c r="N1642" s="26"/>
      <c r="O1642" s="26"/>
      <c r="P1642" s="26"/>
      <c r="Q1642" s="26"/>
      <c r="R1642" s="26"/>
      <c r="S1642" s="26"/>
      <c r="T1642" s="26"/>
      <c r="U1642" s="26"/>
      <c r="V1642" s="26"/>
      <c r="W1642" s="27"/>
    </row>
    <row r="1643" spans="1:23" ht="15.75" customHeight="1" x14ac:dyDescent="0.25">
      <c r="A1643" s="23"/>
      <c r="B1643" s="23" t="str">
        <f t="shared" si="7"/>
        <v/>
      </c>
      <c r="C1643" s="23"/>
      <c r="D1643" s="44"/>
      <c r="E1643" s="23"/>
      <c r="F1643" s="45"/>
      <c r="G1643" s="23"/>
      <c r="H1643" s="23"/>
      <c r="I1643" s="23"/>
      <c r="J1643" s="25"/>
      <c r="K1643" s="23"/>
      <c r="L1643" s="23"/>
      <c r="M1643" s="23"/>
      <c r="N1643" s="26"/>
      <c r="O1643" s="26"/>
      <c r="P1643" s="26"/>
      <c r="Q1643" s="26"/>
      <c r="R1643" s="26"/>
      <c r="S1643" s="26"/>
      <c r="T1643" s="26"/>
      <c r="U1643" s="26"/>
      <c r="V1643" s="26"/>
      <c r="W1643" s="27"/>
    </row>
    <row r="1644" spans="1:23" ht="15.75" customHeight="1" x14ac:dyDescent="0.25">
      <c r="A1644" s="23"/>
      <c r="B1644" s="23" t="str">
        <f t="shared" si="7"/>
        <v/>
      </c>
      <c r="C1644" s="23"/>
      <c r="D1644" s="44"/>
      <c r="E1644" s="23"/>
      <c r="F1644" s="45"/>
      <c r="G1644" s="23"/>
      <c r="H1644" s="23"/>
      <c r="I1644" s="23"/>
      <c r="J1644" s="25"/>
      <c r="K1644" s="23"/>
      <c r="L1644" s="23"/>
      <c r="M1644" s="23"/>
      <c r="N1644" s="26"/>
      <c r="O1644" s="26"/>
      <c r="P1644" s="26"/>
      <c r="Q1644" s="26"/>
      <c r="R1644" s="26"/>
      <c r="S1644" s="26"/>
      <c r="T1644" s="26"/>
      <c r="U1644" s="26"/>
      <c r="V1644" s="26"/>
      <c r="W1644" s="27"/>
    </row>
    <row r="1645" spans="1:23" ht="15.75" customHeight="1" x14ac:dyDescent="0.25">
      <c r="A1645" s="23"/>
      <c r="B1645" s="23" t="str">
        <f t="shared" si="7"/>
        <v/>
      </c>
      <c r="C1645" s="23"/>
      <c r="D1645" s="44"/>
      <c r="E1645" s="23"/>
      <c r="F1645" s="45"/>
      <c r="G1645" s="23"/>
      <c r="H1645" s="23"/>
      <c r="I1645" s="23"/>
      <c r="J1645" s="25"/>
      <c r="K1645" s="23"/>
      <c r="L1645" s="23"/>
      <c r="M1645" s="23"/>
      <c r="N1645" s="26"/>
      <c r="O1645" s="26"/>
      <c r="P1645" s="26"/>
      <c r="Q1645" s="26"/>
      <c r="R1645" s="26"/>
      <c r="S1645" s="26"/>
      <c r="T1645" s="26"/>
      <c r="U1645" s="26"/>
      <c r="V1645" s="26"/>
      <c r="W1645" s="27"/>
    </row>
    <row r="1646" spans="1:23" ht="15.75" customHeight="1" x14ac:dyDescent="0.25">
      <c r="A1646" s="23"/>
      <c r="B1646" s="23" t="str">
        <f t="shared" si="7"/>
        <v/>
      </c>
      <c r="C1646" s="23"/>
      <c r="D1646" s="44"/>
      <c r="E1646" s="23"/>
      <c r="F1646" s="45"/>
      <c r="G1646" s="23"/>
      <c r="H1646" s="23"/>
      <c r="I1646" s="23"/>
      <c r="J1646" s="25"/>
      <c r="K1646" s="23"/>
      <c r="L1646" s="23"/>
      <c r="M1646" s="23"/>
      <c r="N1646" s="26"/>
      <c r="O1646" s="26"/>
      <c r="P1646" s="26"/>
      <c r="Q1646" s="26"/>
      <c r="R1646" s="26"/>
      <c r="S1646" s="26"/>
      <c r="T1646" s="26"/>
      <c r="U1646" s="26"/>
      <c r="V1646" s="26"/>
      <c r="W1646" s="27"/>
    </row>
    <row r="1647" spans="1:23" ht="15.75" customHeight="1" x14ac:dyDescent="0.25">
      <c r="A1647" s="23"/>
      <c r="B1647" s="23" t="str">
        <f t="shared" si="7"/>
        <v/>
      </c>
      <c r="C1647" s="23"/>
      <c r="D1647" s="44"/>
      <c r="E1647" s="23"/>
      <c r="F1647" s="45"/>
      <c r="G1647" s="23"/>
      <c r="H1647" s="23"/>
      <c r="I1647" s="23"/>
      <c r="J1647" s="25"/>
      <c r="K1647" s="23"/>
      <c r="L1647" s="23"/>
      <c r="M1647" s="23"/>
      <c r="N1647" s="26"/>
      <c r="O1647" s="26"/>
      <c r="P1647" s="26"/>
      <c r="Q1647" s="26"/>
      <c r="R1647" s="26"/>
      <c r="S1647" s="26"/>
      <c r="T1647" s="26"/>
      <c r="U1647" s="26"/>
      <c r="V1647" s="26"/>
      <c r="W1647" s="27"/>
    </row>
    <row r="1648" spans="1:23" ht="15.75" customHeight="1" x14ac:dyDescent="0.25">
      <c r="A1648" s="23"/>
      <c r="B1648" s="23" t="str">
        <f t="shared" si="7"/>
        <v/>
      </c>
      <c r="C1648" s="23"/>
      <c r="D1648" s="44"/>
      <c r="E1648" s="23"/>
      <c r="F1648" s="45"/>
      <c r="G1648" s="23"/>
      <c r="H1648" s="23"/>
      <c r="I1648" s="23"/>
      <c r="J1648" s="25"/>
      <c r="K1648" s="23"/>
      <c r="L1648" s="23"/>
      <c r="M1648" s="23"/>
      <c r="N1648" s="26"/>
      <c r="O1648" s="26"/>
      <c r="P1648" s="26"/>
      <c r="Q1648" s="26"/>
      <c r="R1648" s="26"/>
      <c r="S1648" s="26"/>
      <c r="T1648" s="26"/>
      <c r="U1648" s="26"/>
      <c r="V1648" s="26"/>
      <c r="W1648" s="27"/>
    </row>
    <row r="1649" spans="1:23" ht="15.75" customHeight="1" x14ac:dyDescent="0.25">
      <c r="A1649" s="23"/>
      <c r="B1649" s="23" t="str">
        <f t="shared" si="7"/>
        <v/>
      </c>
      <c r="C1649" s="23"/>
      <c r="D1649" s="44"/>
      <c r="E1649" s="23"/>
      <c r="F1649" s="45"/>
      <c r="G1649" s="23"/>
      <c r="H1649" s="23"/>
      <c r="I1649" s="23"/>
      <c r="J1649" s="25"/>
      <c r="K1649" s="23"/>
      <c r="L1649" s="23"/>
      <c r="M1649" s="23"/>
      <c r="N1649" s="26"/>
      <c r="O1649" s="26"/>
      <c r="P1649" s="26"/>
      <c r="Q1649" s="26"/>
      <c r="R1649" s="26"/>
      <c r="S1649" s="26"/>
      <c r="T1649" s="26"/>
      <c r="U1649" s="26"/>
      <c r="V1649" s="26"/>
      <c r="W1649" s="27"/>
    </row>
    <row r="1650" spans="1:23" ht="15.75" customHeight="1" x14ac:dyDescent="0.25">
      <c r="A1650" s="23"/>
      <c r="B1650" s="23" t="str">
        <f t="shared" si="7"/>
        <v/>
      </c>
      <c r="C1650" s="23"/>
      <c r="D1650" s="44"/>
      <c r="E1650" s="23"/>
      <c r="F1650" s="45"/>
      <c r="G1650" s="23"/>
      <c r="H1650" s="23"/>
      <c r="I1650" s="23"/>
      <c r="J1650" s="25"/>
      <c r="K1650" s="23"/>
      <c r="L1650" s="23"/>
      <c r="M1650" s="23"/>
      <c r="N1650" s="26"/>
      <c r="O1650" s="26"/>
      <c r="P1650" s="26"/>
      <c r="Q1650" s="26"/>
      <c r="R1650" s="26"/>
      <c r="S1650" s="26"/>
      <c r="T1650" s="26"/>
      <c r="U1650" s="26"/>
      <c r="V1650" s="26"/>
      <c r="W1650" s="27"/>
    </row>
    <row r="1651" spans="1:23" ht="15.75" customHeight="1" x14ac:dyDescent="0.25">
      <c r="A1651" s="23"/>
      <c r="B1651" s="23" t="str">
        <f t="shared" si="7"/>
        <v/>
      </c>
      <c r="C1651" s="23"/>
      <c r="D1651" s="44"/>
      <c r="E1651" s="23"/>
      <c r="F1651" s="45"/>
      <c r="G1651" s="23"/>
      <c r="H1651" s="23"/>
      <c r="I1651" s="23"/>
      <c r="J1651" s="25"/>
      <c r="K1651" s="23"/>
      <c r="L1651" s="23"/>
      <c r="M1651" s="23"/>
      <c r="N1651" s="26"/>
      <c r="O1651" s="26"/>
      <c r="P1651" s="26"/>
      <c r="Q1651" s="26"/>
      <c r="R1651" s="26"/>
      <c r="S1651" s="26"/>
      <c r="T1651" s="26"/>
      <c r="U1651" s="26"/>
      <c r="V1651" s="26"/>
      <c r="W1651" s="27"/>
    </row>
    <row r="1652" spans="1:23" ht="15.75" customHeight="1" x14ac:dyDescent="0.25">
      <c r="A1652" s="23"/>
      <c r="B1652" s="23" t="str">
        <f t="shared" si="7"/>
        <v/>
      </c>
      <c r="C1652" s="23"/>
      <c r="D1652" s="44"/>
      <c r="E1652" s="23"/>
      <c r="F1652" s="45"/>
      <c r="G1652" s="23"/>
      <c r="H1652" s="23"/>
      <c r="I1652" s="23"/>
      <c r="J1652" s="25"/>
      <c r="K1652" s="23"/>
      <c r="L1652" s="23"/>
      <c r="M1652" s="23"/>
      <c r="N1652" s="26"/>
      <c r="O1652" s="26"/>
      <c r="P1652" s="26"/>
      <c r="Q1652" s="26"/>
      <c r="R1652" s="26"/>
      <c r="S1652" s="26"/>
      <c r="T1652" s="26"/>
      <c r="U1652" s="26"/>
      <c r="V1652" s="26"/>
      <c r="W1652" s="27"/>
    </row>
    <row r="1653" spans="1:23" ht="15.75" customHeight="1" x14ac:dyDescent="0.25">
      <c r="A1653" s="23"/>
      <c r="B1653" s="23" t="str">
        <f t="shared" si="7"/>
        <v/>
      </c>
      <c r="C1653" s="23"/>
      <c r="D1653" s="44"/>
      <c r="E1653" s="23"/>
      <c r="F1653" s="45"/>
      <c r="G1653" s="23"/>
      <c r="H1653" s="23"/>
      <c r="I1653" s="23"/>
      <c r="J1653" s="25"/>
      <c r="K1653" s="23"/>
      <c r="L1653" s="23"/>
      <c r="M1653" s="23"/>
      <c r="N1653" s="26"/>
      <c r="O1653" s="26"/>
      <c r="P1653" s="26"/>
      <c r="Q1653" s="26"/>
      <c r="R1653" s="26"/>
      <c r="S1653" s="26"/>
      <c r="T1653" s="26"/>
      <c r="U1653" s="26"/>
      <c r="V1653" s="26"/>
      <c r="W1653" s="27"/>
    </row>
    <row r="1654" spans="1:23" ht="15.75" customHeight="1" x14ac:dyDescent="0.25">
      <c r="A1654" s="23"/>
      <c r="B1654" s="23" t="str">
        <f t="shared" si="7"/>
        <v/>
      </c>
      <c r="C1654" s="23"/>
      <c r="D1654" s="44"/>
      <c r="E1654" s="23"/>
      <c r="F1654" s="45"/>
      <c r="G1654" s="23"/>
      <c r="H1654" s="23"/>
      <c r="I1654" s="23"/>
      <c r="J1654" s="25"/>
      <c r="K1654" s="23"/>
      <c r="L1654" s="23"/>
      <c r="M1654" s="23"/>
      <c r="N1654" s="26"/>
      <c r="O1654" s="26"/>
      <c r="P1654" s="26"/>
      <c r="Q1654" s="26"/>
      <c r="R1654" s="26"/>
      <c r="S1654" s="26"/>
      <c r="T1654" s="26"/>
      <c r="U1654" s="26"/>
      <c r="V1654" s="26"/>
      <c r="W1654" s="27"/>
    </row>
    <row r="1655" spans="1:23" ht="15.75" customHeight="1" x14ac:dyDescent="0.25">
      <c r="A1655" s="23"/>
      <c r="B1655" s="23" t="str">
        <f t="shared" si="7"/>
        <v/>
      </c>
      <c r="C1655" s="23"/>
      <c r="D1655" s="44"/>
      <c r="E1655" s="23"/>
      <c r="F1655" s="45"/>
      <c r="G1655" s="23"/>
      <c r="H1655" s="23"/>
      <c r="I1655" s="23"/>
      <c r="J1655" s="25"/>
      <c r="K1655" s="23"/>
      <c r="L1655" s="23"/>
      <c r="M1655" s="23"/>
      <c r="N1655" s="26"/>
      <c r="O1655" s="26"/>
      <c r="P1655" s="26"/>
      <c r="Q1655" s="26"/>
      <c r="R1655" s="26"/>
      <c r="S1655" s="26"/>
      <c r="T1655" s="26"/>
      <c r="U1655" s="26"/>
      <c r="V1655" s="26"/>
      <c r="W1655" s="27"/>
    </row>
    <row r="1656" spans="1:23" ht="15.75" customHeight="1" x14ac:dyDescent="0.25">
      <c r="A1656" s="23"/>
      <c r="B1656" s="23" t="str">
        <f t="shared" si="7"/>
        <v/>
      </c>
      <c r="C1656" s="23"/>
      <c r="D1656" s="44"/>
      <c r="E1656" s="23"/>
      <c r="F1656" s="45"/>
      <c r="G1656" s="23"/>
      <c r="H1656" s="23"/>
      <c r="I1656" s="23"/>
      <c r="J1656" s="25"/>
      <c r="K1656" s="23"/>
      <c r="L1656" s="23"/>
      <c r="M1656" s="23"/>
      <c r="N1656" s="26"/>
      <c r="O1656" s="26"/>
      <c r="P1656" s="26"/>
      <c r="Q1656" s="26"/>
      <c r="R1656" s="26"/>
      <c r="S1656" s="26"/>
      <c r="T1656" s="26"/>
      <c r="U1656" s="26"/>
      <c r="V1656" s="26"/>
      <c r="W1656" s="27"/>
    </row>
    <row r="1657" spans="1:23" ht="15.75" customHeight="1" x14ac:dyDescent="0.25">
      <c r="A1657" s="23"/>
      <c r="B1657" s="23" t="str">
        <f t="shared" si="7"/>
        <v/>
      </c>
      <c r="C1657" s="23"/>
      <c r="D1657" s="44"/>
      <c r="E1657" s="23"/>
      <c r="F1657" s="45"/>
      <c r="G1657" s="23"/>
      <c r="H1657" s="23"/>
      <c r="I1657" s="23"/>
      <c r="J1657" s="25"/>
      <c r="K1657" s="23"/>
      <c r="L1657" s="23"/>
      <c r="M1657" s="23"/>
      <c r="N1657" s="26"/>
      <c r="O1657" s="26"/>
      <c r="P1657" s="26"/>
      <c r="Q1657" s="26"/>
      <c r="R1657" s="26"/>
      <c r="S1657" s="26"/>
      <c r="T1657" s="26"/>
      <c r="U1657" s="26"/>
      <c r="V1657" s="26"/>
      <c r="W1657" s="27"/>
    </row>
    <row r="1658" spans="1:23" ht="15.75" customHeight="1" x14ac:dyDescent="0.25">
      <c r="A1658" s="23"/>
      <c r="B1658" s="23" t="str">
        <f t="shared" si="7"/>
        <v/>
      </c>
      <c r="C1658" s="23"/>
      <c r="D1658" s="44"/>
      <c r="E1658" s="23"/>
      <c r="F1658" s="45"/>
      <c r="G1658" s="23"/>
      <c r="H1658" s="23"/>
      <c r="I1658" s="23"/>
      <c r="J1658" s="25"/>
      <c r="K1658" s="23"/>
      <c r="L1658" s="23"/>
      <c r="M1658" s="23"/>
      <c r="N1658" s="26"/>
      <c r="O1658" s="26"/>
      <c r="P1658" s="26"/>
      <c r="Q1658" s="26"/>
      <c r="R1658" s="26"/>
      <c r="S1658" s="26"/>
      <c r="T1658" s="26"/>
      <c r="U1658" s="26"/>
      <c r="V1658" s="26"/>
      <c r="W1658" s="27"/>
    </row>
    <row r="1659" spans="1:23" ht="15.75" customHeight="1" x14ac:dyDescent="0.25">
      <c r="A1659" s="23"/>
      <c r="B1659" s="23" t="str">
        <f t="shared" si="7"/>
        <v/>
      </c>
      <c r="C1659" s="23"/>
      <c r="D1659" s="44"/>
      <c r="E1659" s="23"/>
      <c r="F1659" s="45"/>
      <c r="G1659" s="23"/>
      <c r="H1659" s="23"/>
      <c r="I1659" s="23"/>
      <c r="J1659" s="25"/>
      <c r="K1659" s="23"/>
      <c r="L1659" s="23"/>
      <c r="M1659" s="23"/>
      <c r="N1659" s="26"/>
      <c r="O1659" s="26"/>
      <c r="P1659" s="26"/>
      <c r="Q1659" s="26"/>
      <c r="R1659" s="26"/>
      <c r="S1659" s="26"/>
      <c r="T1659" s="26"/>
      <c r="U1659" s="26"/>
      <c r="V1659" s="26"/>
      <c r="W1659" s="27"/>
    </row>
    <row r="1660" spans="1:23" ht="15.75" customHeight="1" x14ac:dyDescent="0.25">
      <c r="A1660" s="23"/>
      <c r="B1660" s="23" t="str">
        <f t="shared" si="7"/>
        <v/>
      </c>
      <c r="C1660" s="23"/>
      <c r="D1660" s="44"/>
      <c r="E1660" s="23"/>
      <c r="F1660" s="45"/>
      <c r="G1660" s="23"/>
      <c r="H1660" s="23"/>
      <c r="I1660" s="23"/>
      <c r="J1660" s="25"/>
      <c r="K1660" s="23"/>
      <c r="L1660" s="23"/>
      <c r="M1660" s="23"/>
      <c r="N1660" s="26"/>
      <c r="O1660" s="26"/>
      <c r="P1660" s="26"/>
      <c r="Q1660" s="26"/>
      <c r="R1660" s="26"/>
      <c r="S1660" s="26"/>
      <c r="T1660" s="26"/>
      <c r="U1660" s="26"/>
      <c r="V1660" s="26"/>
      <c r="W1660" s="27"/>
    </row>
    <row r="1661" spans="1:23" ht="15.75" customHeight="1" x14ac:dyDescent="0.25">
      <c r="A1661" s="23"/>
      <c r="B1661" s="23" t="str">
        <f t="shared" si="7"/>
        <v/>
      </c>
      <c r="C1661" s="23"/>
      <c r="D1661" s="44"/>
      <c r="E1661" s="23"/>
      <c r="F1661" s="45"/>
      <c r="G1661" s="23"/>
      <c r="H1661" s="23"/>
      <c r="I1661" s="23"/>
      <c r="J1661" s="25"/>
      <c r="K1661" s="23"/>
      <c r="L1661" s="23"/>
      <c r="M1661" s="23"/>
      <c r="N1661" s="26"/>
      <c r="O1661" s="26"/>
      <c r="P1661" s="26"/>
      <c r="Q1661" s="26"/>
      <c r="R1661" s="26"/>
      <c r="S1661" s="26"/>
      <c r="T1661" s="26"/>
      <c r="U1661" s="26"/>
      <c r="V1661" s="26"/>
      <c r="W1661" s="27"/>
    </row>
    <row r="1662" spans="1:23" ht="15.75" customHeight="1" x14ac:dyDescent="0.25">
      <c r="A1662" s="23"/>
      <c r="B1662" s="23" t="str">
        <f t="shared" si="7"/>
        <v/>
      </c>
      <c r="C1662" s="23"/>
      <c r="D1662" s="44"/>
      <c r="E1662" s="23"/>
      <c r="F1662" s="45"/>
      <c r="G1662" s="23"/>
      <c r="H1662" s="23"/>
      <c r="I1662" s="23"/>
      <c r="J1662" s="25"/>
      <c r="K1662" s="23"/>
      <c r="L1662" s="23"/>
      <c r="M1662" s="23"/>
      <c r="N1662" s="26"/>
      <c r="O1662" s="26"/>
      <c r="P1662" s="26"/>
      <c r="Q1662" s="26"/>
      <c r="R1662" s="26"/>
      <c r="S1662" s="26"/>
      <c r="T1662" s="26"/>
      <c r="U1662" s="26"/>
      <c r="V1662" s="26"/>
      <c r="W1662" s="27"/>
    </row>
    <row r="1663" spans="1:23" ht="15.75" customHeight="1" x14ac:dyDescent="0.25">
      <c r="A1663" s="23"/>
      <c r="B1663" s="23" t="str">
        <f t="shared" si="7"/>
        <v/>
      </c>
      <c r="C1663" s="23"/>
      <c r="D1663" s="44"/>
      <c r="E1663" s="23"/>
      <c r="F1663" s="45"/>
      <c r="G1663" s="23"/>
      <c r="H1663" s="23"/>
      <c r="I1663" s="23"/>
      <c r="J1663" s="25"/>
      <c r="K1663" s="23"/>
      <c r="L1663" s="23"/>
      <c r="M1663" s="23"/>
      <c r="N1663" s="26"/>
      <c r="O1663" s="26"/>
      <c r="P1663" s="26"/>
      <c r="Q1663" s="26"/>
      <c r="R1663" s="26"/>
      <c r="S1663" s="26"/>
      <c r="T1663" s="26"/>
      <c r="U1663" s="26"/>
      <c r="V1663" s="26"/>
      <c r="W1663" s="27"/>
    </row>
    <row r="1664" spans="1:23" ht="15.75" customHeight="1" x14ac:dyDescent="0.25">
      <c r="A1664" s="23"/>
      <c r="B1664" s="23" t="str">
        <f t="shared" si="7"/>
        <v/>
      </c>
      <c r="C1664" s="23"/>
      <c r="D1664" s="44"/>
      <c r="E1664" s="23"/>
      <c r="F1664" s="45"/>
      <c r="G1664" s="23"/>
      <c r="H1664" s="23"/>
      <c r="I1664" s="23"/>
      <c r="J1664" s="25"/>
      <c r="K1664" s="23"/>
      <c r="L1664" s="23"/>
      <c r="M1664" s="23"/>
      <c r="N1664" s="26"/>
      <c r="O1664" s="26"/>
      <c r="P1664" s="26"/>
      <c r="Q1664" s="26"/>
      <c r="R1664" s="26"/>
      <c r="S1664" s="26"/>
      <c r="T1664" s="26"/>
      <c r="U1664" s="26"/>
      <c r="V1664" s="26"/>
      <c r="W1664" s="27"/>
    </row>
    <row r="1665" spans="1:23" ht="15.75" customHeight="1" x14ac:dyDescent="0.25">
      <c r="A1665" s="23"/>
      <c r="B1665" s="23" t="str">
        <f t="shared" si="7"/>
        <v/>
      </c>
      <c r="C1665" s="23"/>
      <c r="D1665" s="44"/>
      <c r="E1665" s="23"/>
      <c r="F1665" s="45"/>
      <c r="G1665" s="23"/>
      <c r="H1665" s="23"/>
      <c r="I1665" s="23"/>
      <c r="J1665" s="25"/>
      <c r="K1665" s="23"/>
      <c r="L1665" s="23"/>
      <c r="M1665" s="23"/>
      <c r="N1665" s="26"/>
      <c r="O1665" s="26"/>
      <c r="P1665" s="26"/>
      <c r="Q1665" s="26"/>
      <c r="R1665" s="26"/>
      <c r="S1665" s="26"/>
      <c r="T1665" s="26"/>
      <c r="U1665" s="26"/>
      <c r="V1665" s="26"/>
      <c r="W1665" s="27"/>
    </row>
    <row r="1666" spans="1:23" ht="15.75" customHeight="1" x14ac:dyDescent="0.25">
      <c r="A1666" s="23"/>
      <c r="B1666" s="23" t="str">
        <f t="shared" si="7"/>
        <v/>
      </c>
      <c r="C1666" s="23"/>
      <c r="D1666" s="44"/>
      <c r="E1666" s="23"/>
      <c r="F1666" s="45"/>
      <c r="G1666" s="23"/>
      <c r="H1666" s="23"/>
      <c r="I1666" s="23"/>
      <c r="J1666" s="25"/>
      <c r="K1666" s="23"/>
      <c r="L1666" s="23"/>
      <c r="M1666" s="23"/>
      <c r="N1666" s="26"/>
      <c r="O1666" s="26"/>
      <c r="P1666" s="26"/>
      <c r="Q1666" s="26"/>
      <c r="R1666" s="26"/>
      <c r="S1666" s="26"/>
      <c r="T1666" s="26"/>
      <c r="U1666" s="26"/>
      <c r="V1666" s="26"/>
      <c r="W1666" s="27"/>
    </row>
    <row r="1667" spans="1:23" ht="15.75" customHeight="1" x14ac:dyDescent="0.25">
      <c r="A1667" s="23"/>
      <c r="B1667" s="23" t="str">
        <f t="shared" si="7"/>
        <v/>
      </c>
      <c r="C1667" s="23"/>
      <c r="D1667" s="44"/>
      <c r="E1667" s="23"/>
      <c r="F1667" s="45"/>
      <c r="G1667" s="23"/>
      <c r="H1667" s="23"/>
      <c r="I1667" s="23"/>
      <c r="J1667" s="25"/>
      <c r="K1667" s="23"/>
      <c r="L1667" s="23"/>
      <c r="M1667" s="23"/>
      <c r="N1667" s="26"/>
      <c r="O1667" s="26"/>
      <c r="P1667" s="26"/>
      <c r="Q1667" s="26"/>
      <c r="R1667" s="26"/>
      <c r="S1667" s="26"/>
      <c r="T1667" s="26"/>
      <c r="U1667" s="26"/>
      <c r="V1667" s="26"/>
      <c r="W1667" s="27"/>
    </row>
    <row r="1668" spans="1:23" ht="15.75" customHeight="1" x14ac:dyDescent="0.25">
      <c r="A1668" s="23"/>
      <c r="B1668" s="23" t="str">
        <f t="shared" si="7"/>
        <v/>
      </c>
      <c r="C1668" s="23"/>
      <c r="D1668" s="44"/>
      <c r="E1668" s="23"/>
      <c r="F1668" s="45"/>
      <c r="G1668" s="23"/>
      <c r="H1668" s="23"/>
      <c r="I1668" s="23"/>
      <c r="J1668" s="25"/>
      <c r="K1668" s="23"/>
      <c r="L1668" s="23"/>
      <c r="M1668" s="23"/>
      <c r="N1668" s="26"/>
      <c r="O1668" s="26"/>
      <c r="P1668" s="26"/>
      <c r="Q1668" s="26"/>
      <c r="R1668" s="26"/>
      <c r="S1668" s="26"/>
      <c r="T1668" s="26"/>
      <c r="U1668" s="26"/>
      <c r="V1668" s="26"/>
      <c r="W1668" s="27"/>
    </row>
    <row r="1669" spans="1:23" ht="15.75" customHeight="1" x14ac:dyDescent="0.25">
      <c r="A1669" s="23"/>
      <c r="B1669" s="23" t="str">
        <f t="shared" si="7"/>
        <v/>
      </c>
      <c r="C1669" s="23"/>
      <c r="D1669" s="44"/>
      <c r="E1669" s="23"/>
      <c r="F1669" s="45"/>
      <c r="G1669" s="23"/>
      <c r="H1669" s="23"/>
      <c r="I1669" s="23"/>
      <c r="J1669" s="25"/>
      <c r="K1669" s="23"/>
      <c r="L1669" s="23"/>
      <c r="M1669" s="23"/>
      <c r="N1669" s="26"/>
      <c r="O1669" s="26"/>
      <c r="P1669" s="26"/>
      <c r="Q1669" s="26"/>
      <c r="R1669" s="26"/>
      <c r="S1669" s="26"/>
      <c r="T1669" s="26"/>
      <c r="U1669" s="26"/>
      <c r="V1669" s="26"/>
      <c r="W1669" s="27"/>
    </row>
    <row r="1670" spans="1:23" ht="15.75" customHeight="1" x14ac:dyDescent="0.25">
      <c r="A1670" s="23"/>
      <c r="B1670" s="23" t="str">
        <f t="shared" si="7"/>
        <v/>
      </c>
      <c r="C1670" s="23"/>
      <c r="D1670" s="44"/>
      <c r="E1670" s="23"/>
      <c r="F1670" s="45"/>
      <c r="G1670" s="23"/>
      <c r="H1670" s="23"/>
      <c r="I1670" s="23"/>
      <c r="J1670" s="25"/>
      <c r="K1670" s="23"/>
      <c r="L1670" s="23"/>
      <c r="M1670" s="23"/>
      <c r="N1670" s="26"/>
      <c r="O1670" s="26"/>
      <c r="P1670" s="26"/>
      <c r="Q1670" s="26"/>
      <c r="R1670" s="26"/>
      <c r="S1670" s="26"/>
      <c r="T1670" s="26"/>
      <c r="U1670" s="26"/>
      <c r="V1670" s="26"/>
      <c r="W1670" s="27"/>
    </row>
    <row r="1671" spans="1:23" ht="15.75" customHeight="1" x14ac:dyDescent="0.25">
      <c r="A1671" s="23"/>
      <c r="B1671" s="23" t="str">
        <f t="shared" si="7"/>
        <v/>
      </c>
      <c r="C1671" s="23"/>
      <c r="D1671" s="44"/>
      <c r="E1671" s="23"/>
      <c r="F1671" s="45"/>
      <c r="G1671" s="23"/>
      <c r="H1671" s="23"/>
      <c r="I1671" s="23"/>
      <c r="J1671" s="25"/>
      <c r="K1671" s="23"/>
      <c r="L1671" s="23"/>
      <c r="M1671" s="23"/>
      <c r="N1671" s="26"/>
      <c r="O1671" s="26"/>
      <c r="P1671" s="26"/>
      <c r="Q1671" s="26"/>
      <c r="R1671" s="26"/>
      <c r="S1671" s="26"/>
      <c r="T1671" s="26"/>
      <c r="U1671" s="26"/>
      <c r="V1671" s="26"/>
      <c r="W1671" s="27"/>
    </row>
    <row r="1672" spans="1:23" ht="15.75" customHeight="1" x14ac:dyDescent="0.25">
      <c r="A1672" s="23"/>
      <c r="B1672" s="23" t="str">
        <f t="shared" si="7"/>
        <v/>
      </c>
      <c r="C1672" s="23"/>
      <c r="D1672" s="44"/>
      <c r="E1672" s="23"/>
      <c r="F1672" s="45"/>
      <c r="G1672" s="23"/>
      <c r="H1672" s="23"/>
      <c r="I1672" s="23"/>
      <c r="J1672" s="25"/>
      <c r="K1672" s="23"/>
      <c r="L1672" s="23"/>
      <c r="M1672" s="23"/>
      <c r="N1672" s="26"/>
      <c r="O1672" s="26"/>
      <c r="P1672" s="26"/>
      <c r="Q1672" s="26"/>
      <c r="R1672" s="26"/>
      <c r="S1672" s="26"/>
      <c r="T1672" s="26"/>
      <c r="U1672" s="26"/>
      <c r="V1672" s="26"/>
      <c r="W1672" s="27"/>
    </row>
    <row r="1673" spans="1:23" ht="15.75" customHeight="1" x14ac:dyDescent="0.25">
      <c r="A1673" s="23"/>
      <c r="B1673" s="23" t="str">
        <f t="shared" si="7"/>
        <v/>
      </c>
      <c r="C1673" s="23"/>
      <c r="D1673" s="44"/>
      <c r="E1673" s="23"/>
      <c r="F1673" s="45"/>
      <c r="G1673" s="23"/>
      <c r="H1673" s="23"/>
      <c r="I1673" s="23"/>
      <c r="J1673" s="25"/>
      <c r="K1673" s="23"/>
      <c r="L1673" s="23"/>
      <c r="M1673" s="23"/>
      <c r="N1673" s="26"/>
      <c r="O1673" s="26"/>
      <c r="P1673" s="26"/>
      <c r="Q1673" s="26"/>
      <c r="R1673" s="26"/>
      <c r="S1673" s="26"/>
      <c r="T1673" s="26"/>
      <c r="U1673" s="26"/>
      <c r="V1673" s="26"/>
      <c r="W1673" s="27"/>
    </row>
    <row r="1674" spans="1:23" ht="15.75" customHeight="1" x14ac:dyDescent="0.25">
      <c r="A1674" s="23"/>
      <c r="B1674" s="23" t="str">
        <f t="shared" si="7"/>
        <v/>
      </c>
      <c r="C1674" s="23"/>
      <c r="D1674" s="44"/>
      <c r="E1674" s="23"/>
      <c r="F1674" s="45"/>
      <c r="G1674" s="23"/>
      <c r="H1674" s="23"/>
      <c r="I1674" s="23"/>
      <c r="J1674" s="25"/>
      <c r="K1674" s="23"/>
      <c r="L1674" s="23"/>
      <c r="M1674" s="23"/>
      <c r="N1674" s="26"/>
      <c r="O1674" s="26"/>
      <c r="P1674" s="26"/>
      <c r="Q1674" s="26"/>
      <c r="R1674" s="26"/>
      <c r="S1674" s="26"/>
      <c r="T1674" s="26"/>
      <c r="U1674" s="26"/>
      <c r="V1674" s="26"/>
      <c r="W1674" s="27"/>
    </row>
    <row r="1675" spans="1:23" ht="15.75" customHeight="1" x14ac:dyDescent="0.25">
      <c r="A1675" s="23"/>
      <c r="B1675" s="23" t="str">
        <f t="shared" si="7"/>
        <v/>
      </c>
      <c r="C1675" s="23"/>
      <c r="D1675" s="44"/>
      <c r="E1675" s="23"/>
      <c r="F1675" s="45"/>
      <c r="G1675" s="23"/>
      <c r="H1675" s="23"/>
      <c r="I1675" s="23"/>
      <c r="J1675" s="25"/>
      <c r="K1675" s="23"/>
      <c r="L1675" s="23"/>
      <c r="M1675" s="23"/>
      <c r="N1675" s="26"/>
      <c r="O1675" s="26"/>
      <c r="P1675" s="26"/>
      <c r="Q1675" s="26"/>
      <c r="R1675" s="26"/>
      <c r="S1675" s="26"/>
      <c r="T1675" s="26"/>
      <c r="U1675" s="26"/>
      <c r="V1675" s="26"/>
      <c r="W1675" s="27"/>
    </row>
    <row r="1676" spans="1:23" ht="15.75" customHeight="1" x14ac:dyDescent="0.25">
      <c r="A1676" s="23"/>
      <c r="B1676" s="23" t="str">
        <f t="shared" si="7"/>
        <v/>
      </c>
      <c r="C1676" s="23"/>
      <c r="D1676" s="44"/>
      <c r="E1676" s="23"/>
      <c r="F1676" s="45"/>
      <c r="G1676" s="23"/>
      <c r="H1676" s="23"/>
      <c r="I1676" s="23"/>
      <c r="J1676" s="25"/>
      <c r="K1676" s="23"/>
      <c r="L1676" s="23"/>
      <c r="M1676" s="23"/>
      <c r="N1676" s="26"/>
      <c r="O1676" s="26"/>
      <c r="P1676" s="26"/>
      <c r="Q1676" s="26"/>
      <c r="R1676" s="26"/>
      <c r="S1676" s="26"/>
      <c r="T1676" s="26"/>
      <c r="U1676" s="26"/>
      <c r="V1676" s="26"/>
      <c r="W1676" s="27"/>
    </row>
    <row r="1677" spans="1:23" ht="15.75" customHeight="1" x14ac:dyDescent="0.25">
      <c r="A1677" s="23"/>
      <c r="B1677" s="23" t="str">
        <f t="shared" si="7"/>
        <v/>
      </c>
      <c r="C1677" s="23"/>
      <c r="D1677" s="44"/>
      <c r="E1677" s="23"/>
      <c r="F1677" s="45"/>
      <c r="G1677" s="23"/>
      <c r="H1677" s="23"/>
      <c r="I1677" s="23"/>
      <c r="J1677" s="25"/>
      <c r="K1677" s="23"/>
      <c r="L1677" s="23"/>
      <c r="M1677" s="23"/>
      <c r="N1677" s="26"/>
      <c r="O1677" s="26"/>
      <c r="P1677" s="26"/>
      <c r="Q1677" s="26"/>
      <c r="R1677" s="26"/>
      <c r="S1677" s="26"/>
      <c r="T1677" s="26"/>
      <c r="U1677" s="26"/>
      <c r="V1677" s="26"/>
      <c r="W1677" s="27"/>
    </row>
    <row r="1678" spans="1:23" ht="15.75" customHeight="1" x14ac:dyDescent="0.25">
      <c r="A1678" s="23"/>
      <c r="B1678" s="23" t="str">
        <f t="shared" si="7"/>
        <v/>
      </c>
      <c r="C1678" s="23"/>
      <c r="D1678" s="44"/>
      <c r="E1678" s="23"/>
      <c r="F1678" s="45"/>
      <c r="G1678" s="23"/>
      <c r="H1678" s="23"/>
      <c r="I1678" s="23"/>
      <c r="J1678" s="25"/>
      <c r="K1678" s="23"/>
      <c r="L1678" s="23"/>
      <c r="M1678" s="23"/>
      <c r="N1678" s="26"/>
      <c r="O1678" s="26"/>
      <c r="P1678" s="26"/>
      <c r="Q1678" s="26"/>
      <c r="R1678" s="26"/>
      <c r="S1678" s="26"/>
      <c r="T1678" s="26"/>
      <c r="U1678" s="26"/>
      <c r="V1678" s="26"/>
      <c r="W1678" s="27"/>
    </row>
    <row r="1679" spans="1:23" ht="15.75" customHeight="1" x14ac:dyDescent="0.25">
      <c r="A1679" s="23"/>
      <c r="B1679" s="23" t="str">
        <f t="shared" si="7"/>
        <v/>
      </c>
      <c r="C1679" s="23"/>
      <c r="D1679" s="44"/>
      <c r="E1679" s="23"/>
      <c r="F1679" s="45"/>
      <c r="G1679" s="23"/>
      <c r="H1679" s="23"/>
      <c r="I1679" s="23"/>
      <c r="J1679" s="25"/>
      <c r="K1679" s="23"/>
      <c r="L1679" s="23"/>
      <c r="M1679" s="23"/>
      <c r="N1679" s="26"/>
      <c r="O1679" s="26"/>
      <c r="P1679" s="26"/>
      <c r="Q1679" s="26"/>
      <c r="R1679" s="26"/>
      <c r="S1679" s="26"/>
      <c r="T1679" s="26"/>
      <c r="U1679" s="26"/>
      <c r="V1679" s="26"/>
      <c r="W1679" s="27"/>
    </row>
    <row r="1680" spans="1:23" ht="15.75" customHeight="1" x14ac:dyDescent="0.25">
      <c r="A1680" s="23"/>
      <c r="B1680" s="23" t="str">
        <f t="shared" si="7"/>
        <v/>
      </c>
      <c r="C1680" s="23"/>
      <c r="D1680" s="44"/>
      <c r="E1680" s="23"/>
      <c r="F1680" s="45"/>
      <c r="G1680" s="23"/>
      <c r="H1680" s="23"/>
      <c r="I1680" s="23"/>
      <c r="J1680" s="25"/>
      <c r="K1680" s="23"/>
      <c r="L1680" s="23"/>
      <c r="M1680" s="23"/>
      <c r="N1680" s="26"/>
      <c r="O1680" s="26"/>
      <c r="P1680" s="26"/>
      <c r="Q1680" s="26"/>
      <c r="R1680" s="26"/>
      <c r="S1680" s="26"/>
      <c r="T1680" s="26"/>
      <c r="U1680" s="26"/>
      <c r="V1680" s="26"/>
      <c r="W1680" s="27"/>
    </row>
    <row r="1681" spans="1:23" ht="15.75" customHeight="1" x14ac:dyDescent="0.25">
      <c r="A1681" s="23"/>
      <c r="B1681" s="23" t="str">
        <f t="shared" si="7"/>
        <v/>
      </c>
      <c r="C1681" s="23"/>
      <c r="D1681" s="44"/>
      <c r="E1681" s="23"/>
      <c r="F1681" s="45"/>
      <c r="G1681" s="23"/>
      <c r="H1681" s="23"/>
      <c r="I1681" s="23"/>
      <c r="J1681" s="25"/>
      <c r="K1681" s="23"/>
      <c r="L1681" s="23"/>
      <c r="M1681" s="23"/>
      <c r="N1681" s="26"/>
      <c r="O1681" s="26"/>
      <c r="P1681" s="26"/>
      <c r="Q1681" s="26"/>
      <c r="R1681" s="26"/>
      <c r="S1681" s="26"/>
      <c r="T1681" s="26"/>
      <c r="U1681" s="26"/>
      <c r="V1681" s="26"/>
      <c r="W1681" s="27"/>
    </row>
    <row r="1682" spans="1:23" ht="15.75" customHeight="1" x14ac:dyDescent="0.25">
      <c r="A1682" s="23"/>
      <c r="B1682" s="23" t="str">
        <f t="shared" si="7"/>
        <v/>
      </c>
      <c r="C1682" s="23"/>
      <c r="D1682" s="44"/>
      <c r="E1682" s="23"/>
      <c r="F1682" s="45"/>
      <c r="G1682" s="23"/>
      <c r="H1682" s="23"/>
      <c r="I1682" s="23"/>
      <c r="J1682" s="25"/>
      <c r="K1682" s="23"/>
      <c r="L1682" s="23"/>
      <c r="M1682" s="23"/>
      <c r="N1682" s="26"/>
      <c r="O1682" s="26"/>
      <c r="P1682" s="26"/>
      <c r="Q1682" s="26"/>
      <c r="R1682" s="26"/>
      <c r="S1682" s="26"/>
      <c r="T1682" s="26"/>
      <c r="U1682" s="26"/>
      <c r="V1682" s="26"/>
      <c r="W1682" s="27"/>
    </row>
    <row r="1683" spans="1:23" ht="15.75" customHeight="1" x14ac:dyDescent="0.25">
      <c r="A1683" s="23"/>
      <c r="B1683" s="23" t="str">
        <f t="shared" si="7"/>
        <v/>
      </c>
      <c r="C1683" s="23"/>
      <c r="D1683" s="44"/>
      <c r="E1683" s="23"/>
      <c r="F1683" s="45"/>
      <c r="G1683" s="23"/>
      <c r="H1683" s="23"/>
      <c r="I1683" s="23"/>
      <c r="J1683" s="25"/>
      <c r="K1683" s="23"/>
      <c r="L1683" s="23"/>
      <c r="M1683" s="23"/>
      <c r="N1683" s="26"/>
      <c r="O1683" s="26"/>
      <c r="P1683" s="26"/>
      <c r="Q1683" s="26"/>
      <c r="R1683" s="26"/>
      <c r="S1683" s="26"/>
      <c r="T1683" s="26"/>
      <c r="U1683" s="26"/>
      <c r="V1683" s="26"/>
      <c r="W1683" s="27"/>
    </row>
    <row r="1684" spans="1:23" ht="15.75" customHeight="1" x14ac:dyDescent="0.25">
      <c r="A1684" s="23"/>
      <c r="B1684" s="23" t="str">
        <f t="shared" si="7"/>
        <v/>
      </c>
      <c r="C1684" s="23"/>
      <c r="D1684" s="44"/>
      <c r="E1684" s="23"/>
      <c r="F1684" s="45"/>
      <c r="G1684" s="23"/>
      <c r="H1684" s="23"/>
      <c r="I1684" s="23"/>
      <c r="J1684" s="25"/>
      <c r="K1684" s="23"/>
      <c r="L1684" s="23"/>
      <c r="M1684" s="23"/>
      <c r="N1684" s="26"/>
      <c r="O1684" s="26"/>
      <c r="P1684" s="26"/>
      <c r="Q1684" s="26"/>
      <c r="R1684" s="26"/>
      <c r="S1684" s="26"/>
      <c r="T1684" s="26"/>
      <c r="U1684" s="26"/>
      <c r="V1684" s="26"/>
      <c r="W1684" s="27"/>
    </row>
    <row r="1685" spans="1:23" ht="15.75" customHeight="1" x14ac:dyDescent="0.25">
      <c r="A1685" s="23"/>
      <c r="B1685" s="23" t="str">
        <f t="shared" si="7"/>
        <v/>
      </c>
      <c r="C1685" s="23"/>
      <c r="D1685" s="44"/>
      <c r="E1685" s="23"/>
      <c r="F1685" s="45"/>
      <c r="G1685" s="23"/>
      <c r="H1685" s="23"/>
      <c r="I1685" s="23"/>
      <c r="J1685" s="25"/>
      <c r="K1685" s="23"/>
      <c r="L1685" s="23"/>
      <c r="M1685" s="23"/>
      <c r="N1685" s="26"/>
      <c r="O1685" s="26"/>
      <c r="P1685" s="26"/>
      <c r="Q1685" s="26"/>
      <c r="R1685" s="26"/>
      <c r="S1685" s="26"/>
      <c r="T1685" s="26"/>
      <c r="U1685" s="26"/>
      <c r="V1685" s="26"/>
      <c r="W1685" s="27"/>
    </row>
    <row r="1686" spans="1:23" ht="15.75" customHeight="1" x14ac:dyDescent="0.25">
      <c r="A1686" s="23"/>
      <c r="B1686" s="23" t="str">
        <f t="shared" si="7"/>
        <v/>
      </c>
      <c r="C1686" s="23"/>
      <c r="D1686" s="44"/>
      <c r="E1686" s="23"/>
      <c r="F1686" s="45"/>
      <c r="G1686" s="23"/>
      <c r="H1686" s="23"/>
      <c r="I1686" s="23"/>
      <c r="J1686" s="25"/>
      <c r="K1686" s="23"/>
      <c r="L1686" s="23"/>
      <c r="M1686" s="23"/>
      <c r="N1686" s="26"/>
      <c r="O1686" s="26"/>
      <c r="P1686" s="26"/>
      <c r="Q1686" s="26"/>
      <c r="R1686" s="26"/>
      <c r="S1686" s="26"/>
      <c r="T1686" s="26"/>
      <c r="U1686" s="26"/>
      <c r="V1686" s="26"/>
      <c r="W1686" s="27"/>
    </row>
    <row r="1687" spans="1:23" ht="15.75" customHeight="1" x14ac:dyDescent="0.25">
      <c r="A1687" s="23"/>
      <c r="B1687" s="23" t="str">
        <f t="shared" si="7"/>
        <v/>
      </c>
      <c r="C1687" s="23"/>
      <c r="D1687" s="44"/>
      <c r="E1687" s="23"/>
      <c r="F1687" s="45"/>
      <c r="G1687" s="23"/>
      <c r="H1687" s="23"/>
      <c r="I1687" s="23"/>
      <c r="J1687" s="25"/>
      <c r="K1687" s="23"/>
      <c r="L1687" s="23"/>
      <c r="M1687" s="23"/>
      <c r="N1687" s="26"/>
      <c r="O1687" s="26"/>
      <c r="P1687" s="26"/>
      <c r="Q1687" s="26"/>
      <c r="R1687" s="26"/>
      <c r="S1687" s="26"/>
      <c r="T1687" s="26"/>
      <c r="U1687" s="26"/>
      <c r="V1687" s="26"/>
      <c r="W1687" s="27"/>
    </row>
    <row r="1688" spans="1:23" ht="15.75" customHeight="1" x14ac:dyDescent="0.25">
      <c r="A1688" s="23"/>
      <c r="B1688" s="23" t="str">
        <f t="shared" si="7"/>
        <v/>
      </c>
      <c r="C1688" s="23"/>
      <c r="D1688" s="44"/>
      <c r="E1688" s="23"/>
      <c r="F1688" s="45"/>
      <c r="G1688" s="23"/>
      <c r="H1688" s="23"/>
      <c r="I1688" s="23"/>
      <c r="J1688" s="25"/>
      <c r="K1688" s="23"/>
      <c r="L1688" s="23"/>
      <c r="M1688" s="23"/>
      <c r="N1688" s="26"/>
      <c r="O1688" s="26"/>
      <c r="P1688" s="26"/>
      <c r="Q1688" s="26"/>
      <c r="R1688" s="26"/>
      <c r="S1688" s="26"/>
      <c r="T1688" s="26"/>
      <c r="U1688" s="26"/>
      <c r="V1688" s="26"/>
      <c r="W1688" s="27"/>
    </row>
    <row r="1689" spans="1:23" ht="15.75" customHeight="1" x14ac:dyDescent="0.25">
      <c r="A1689" s="23"/>
      <c r="B1689" s="23" t="str">
        <f t="shared" si="7"/>
        <v/>
      </c>
      <c r="C1689" s="23"/>
      <c r="D1689" s="44"/>
      <c r="E1689" s="23"/>
      <c r="F1689" s="45"/>
      <c r="G1689" s="23"/>
      <c r="H1689" s="23"/>
      <c r="I1689" s="23"/>
      <c r="J1689" s="25"/>
      <c r="K1689" s="23"/>
      <c r="L1689" s="23"/>
      <c r="M1689" s="23"/>
      <c r="N1689" s="26"/>
      <c r="O1689" s="26"/>
      <c r="P1689" s="26"/>
      <c r="Q1689" s="26"/>
      <c r="R1689" s="26"/>
      <c r="S1689" s="26"/>
      <c r="T1689" s="26"/>
      <c r="U1689" s="26"/>
      <c r="V1689" s="26"/>
      <c r="W1689" s="27"/>
    </row>
    <row r="1690" spans="1:23" ht="15.75" customHeight="1" x14ac:dyDescent="0.25">
      <c r="A1690" s="23"/>
      <c r="B1690" s="23" t="str">
        <f t="shared" si="7"/>
        <v/>
      </c>
      <c r="C1690" s="23"/>
      <c r="D1690" s="44"/>
      <c r="E1690" s="23"/>
      <c r="F1690" s="45"/>
      <c r="G1690" s="23"/>
      <c r="H1690" s="23"/>
      <c r="I1690" s="23"/>
      <c r="J1690" s="25"/>
      <c r="K1690" s="23"/>
      <c r="L1690" s="23"/>
      <c r="M1690" s="23"/>
      <c r="N1690" s="26"/>
      <c r="O1690" s="26"/>
      <c r="P1690" s="26"/>
      <c r="Q1690" s="26"/>
      <c r="R1690" s="26"/>
      <c r="S1690" s="26"/>
      <c r="T1690" s="26"/>
      <c r="U1690" s="26"/>
      <c r="V1690" s="26"/>
      <c r="W1690" s="27"/>
    </row>
    <row r="1691" spans="1:23" ht="15.75" customHeight="1" x14ac:dyDescent="0.25">
      <c r="A1691" s="23"/>
      <c r="B1691" s="23" t="str">
        <f t="shared" si="7"/>
        <v/>
      </c>
      <c r="C1691" s="23"/>
      <c r="D1691" s="44"/>
      <c r="E1691" s="23"/>
      <c r="F1691" s="45"/>
      <c r="G1691" s="23"/>
      <c r="H1691" s="23"/>
      <c r="I1691" s="23"/>
      <c r="J1691" s="25"/>
      <c r="K1691" s="23"/>
      <c r="L1691" s="23"/>
      <c r="M1691" s="23"/>
      <c r="N1691" s="26"/>
      <c r="O1691" s="26"/>
      <c r="P1691" s="26"/>
      <c r="Q1691" s="26"/>
      <c r="R1691" s="26"/>
      <c r="S1691" s="26"/>
      <c r="T1691" s="26"/>
      <c r="U1691" s="26"/>
      <c r="V1691" s="26"/>
      <c r="W1691" s="27"/>
    </row>
    <row r="1692" spans="1:23" ht="15.75" customHeight="1" x14ac:dyDescent="0.25">
      <c r="A1692" s="23"/>
      <c r="B1692" s="23" t="str">
        <f t="shared" si="7"/>
        <v/>
      </c>
      <c r="C1692" s="23"/>
      <c r="D1692" s="44"/>
      <c r="E1692" s="23"/>
      <c r="F1692" s="45"/>
      <c r="G1692" s="23"/>
      <c r="H1692" s="23"/>
      <c r="I1692" s="23"/>
      <c r="J1692" s="25"/>
      <c r="K1692" s="23"/>
      <c r="L1692" s="23"/>
      <c r="M1692" s="23"/>
      <c r="N1692" s="26"/>
      <c r="O1692" s="26"/>
      <c r="P1692" s="26"/>
      <c r="Q1692" s="26"/>
      <c r="R1692" s="26"/>
      <c r="S1692" s="26"/>
      <c r="T1692" s="26"/>
      <c r="U1692" s="26"/>
      <c r="V1692" s="26"/>
      <c r="W1692" s="27"/>
    </row>
    <row r="1693" spans="1:23" ht="15.75" customHeight="1" x14ac:dyDescent="0.25">
      <c r="A1693" s="23"/>
      <c r="B1693" s="23" t="str">
        <f t="shared" si="7"/>
        <v/>
      </c>
      <c r="C1693" s="23"/>
      <c r="D1693" s="44"/>
      <c r="E1693" s="23"/>
      <c r="F1693" s="45"/>
      <c r="G1693" s="23"/>
      <c r="H1693" s="23"/>
      <c r="I1693" s="23"/>
      <c r="J1693" s="25"/>
      <c r="K1693" s="23"/>
      <c r="L1693" s="23"/>
      <c r="M1693" s="23"/>
      <c r="N1693" s="26"/>
      <c r="O1693" s="26"/>
      <c r="P1693" s="26"/>
      <c r="Q1693" s="26"/>
      <c r="R1693" s="26"/>
      <c r="S1693" s="26"/>
      <c r="T1693" s="26"/>
      <c r="U1693" s="26"/>
      <c r="V1693" s="26"/>
      <c r="W1693" s="27"/>
    </row>
    <row r="1694" spans="1:23" ht="15.75" customHeight="1" x14ac:dyDescent="0.25">
      <c r="A1694" s="23"/>
      <c r="B1694" s="23" t="str">
        <f t="shared" si="7"/>
        <v/>
      </c>
      <c r="C1694" s="23"/>
      <c r="D1694" s="44"/>
      <c r="E1694" s="23"/>
      <c r="F1694" s="45"/>
      <c r="G1694" s="23"/>
      <c r="H1694" s="23"/>
      <c r="I1694" s="23"/>
      <c r="J1694" s="25"/>
      <c r="K1694" s="23"/>
      <c r="L1694" s="23"/>
      <c r="M1694" s="23"/>
      <c r="N1694" s="26"/>
      <c r="O1694" s="26"/>
      <c r="P1694" s="26"/>
      <c r="Q1694" s="26"/>
      <c r="R1694" s="26"/>
      <c r="S1694" s="26"/>
      <c r="T1694" s="26"/>
      <c r="U1694" s="26"/>
      <c r="V1694" s="26"/>
      <c r="W1694" s="27"/>
    </row>
    <row r="1695" spans="1:23" ht="15.75" customHeight="1" x14ac:dyDescent="0.25">
      <c r="A1695" s="23"/>
      <c r="B1695" s="23" t="str">
        <f t="shared" si="7"/>
        <v/>
      </c>
      <c r="C1695" s="23"/>
      <c r="D1695" s="44"/>
      <c r="E1695" s="23"/>
      <c r="F1695" s="45"/>
      <c r="G1695" s="23"/>
      <c r="H1695" s="23"/>
      <c r="I1695" s="23"/>
      <c r="J1695" s="25"/>
      <c r="K1695" s="23"/>
      <c r="L1695" s="23"/>
      <c r="M1695" s="23"/>
      <c r="N1695" s="26"/>
      <c r="O1695" s="26"/>
      <c r="P1695" s="26"/>
      <c r="Q1695" s="26"/>
      <c r="R1695" s="26"/>
      <c r="S1695" s="26"/>
      <c r="T1695" s="26"/>
      <c r="U1695" s="26"/>
      <c r="V1695" s="26"/>
      <c r="W1695" s="27"/>
    </row>
    <row r="1696" spans="1:23" ht="15.75" customHeight="1" x14ac:dyDescent="0.25">
      <c r="A1696" s="23"/>
      <c r="B1696" s="23" t="str">
        <f t="shared" si="7"/>
        <v/>
      </c>
      <c r="C1696" s="23"/>
      <c r="D1696" s="44"/>
      <c r="E1696" s="23"/>
      <c r="F1696" s="45"/>
      <c r="G1696" s="23"/>
      <c r="H1696" s="23"/>
      <c r="I1696" s="23"/>
      <c r="J1696" s="25"/>
      <c r="K1696" s="23"/>
      <c r="L1696" s="23"/>
      <c r="M1696" s="23"/>
      <c r="N1696" s="26"/>
      <c r="O1696" s="26"/>
      <c r="P1696" s="26"/>
      <c r="Q1696" s="26"/>
      <c r="R1696" s="26"/>
      <c r="S1696" s="26"/>
      <c r="T1696" s="26"/>
      <c r="U1696" s="26"/>
      <c r="V1696" s="26"/>
      <c r="W1696" s="27"/>
    </row>
    <row r="1697" spans="1:23" ht="15.75" customHeight="1" x14ac:dyDescent="0.25">
      <c r="A1697" s="23"/>
      <c r="B1697" s="23" t="str">
        <f t="shared" si="7"/>
        <v/>
      </c>
      <c r="C1697" s="23"/>
      <c r="D1697" s="44"/>
      <c r="E1697" s="23"/>
      <c r="F1697" s="45"/>
      <c r="G1697" s="23"/>
      <c r="H1697" s="23"/>
      <c r="I1697" s="23"/>
      <c r="J1697" s="25"/>
      <c r="K1697" s="23"/>
      <c r="L1697" s="23"/>
      <c r="M1697" s="23"/>
      <c r="N1697" s="26"/>
      <c r="O1697" s="26"/>
      <c r="P1697" s="26"/>
      <c r="Q1697" s="26"/>
      <c r="R1697" s="26"/>
      <c r="S1697" s="26"/>
      <c r="T1697" s="26"/>
      <c r="U1697" s="26"/>
      <c r="V1697" s="26"/>
      <c r="W1697" s="27"/>
    </row>
    <row r="1698" spans="1:23" ht="15.75" customHeight="1" x14ac:dyDescent="0.25">
      <c r="A1698" s="23"/>
      <c r="B1698" s="23" t="str">
        <f t="shared" si="7"/>
        <v/>
      </c>
      <c r="C1698" s="23"/>
      <c r="D1698" s="44"/>
      <c r="E1698" s="23"/>
      <c r="F1698" s="45"/>
      <c r="G1698" s="23"/>
      <c r="H1698" s="23"/>
      <c r="I1698" s="23"/>
      <c r="J1698" s="25"/>
      <c r="K1698" s="23"/>
      <c r="L1698" s="23"/>
      <c r="M1698" s="23"/>
      <c r="N1698" s="26"/>
      <c r="O1698" s="26"/>
      <c r="P1698" s="26"/>
      <c r="Q1698" s="26"/>
      <c r="R1698" s="26"/>
      <c r="S1698" s="26"/>
      <c r="T1698" s="26"/>
      <c r="U1698" s="26"/>
      <c r="V1698" s="26"/>
      <c r="W1698" s="27"/>
    </row>
    <row r="1699" spans="1:23" ht="15.75" customHeight="1" x14ac:dyDescent="0.25">
      <c r="A1699" s="23"/>
      <c r="B1699" s="23" t="str">
        <f t="shared" si="7"/>
        <v/>
      </c>
      <c r="C1699" s="23"/>
      <c r="D1699" s="44"/>
      <c r="E1699" s="23"/>
      <c r="F1699" s="45"/>
      <c r="G1699" s="23"/>
      <c r="H1699" s="23"/>
      <c r="I1699" s="23"/>
      <c r="J1699" s="25"/>
      <c r="K1699" s="23"/>
      <c r="L1699" s="23"/>
      <c r="M1699" s="23"/>
      <c r="N1699" s="26"/>
      <c r="O1699" s="26"/>
      <c r="P1699" s="26"/>
      <c r="Q1699" s="26"/>
      <c r="R1699" s="26"/>
      <c r="S1699" s="26"/>
      <c r="T1699" s="26"/>
      <c r="U1699" s="26"/>
      <c r="V1699" s="26"/>
      <c r="W1699" s="27"/>
    </row>
    <row r="1700" spans="1:23" ht="15.75" customHeight="1" x14ac:dyDescent="0.25">
      <c r="A1700" s="23"/>
      <c r="B1700" s="23" t="str">
        <f t="shared" si="7"/>
        <v/>
      </c>
      <c r="C1700" s="23"/>
      <c r="D1700" s="44"/>
      <c r="E1700" s="23"/>
      <c r="F1700" s="45"/>
      <c r="G1700" s="23"/>
      <c r="H1700" s="23"/>
      <c r="I1700" s="23"/>
      <c r="J1700" s="25"/>
      <c r="K1700" s="23"/>
      <c r="L1700" s="23"/>
      <c r="M1700" s="23"/>
      <c r="N1700" s="26"/>
      <c r="O1700" s="26"/>
      <c r="P1700" s="26"/>
      <c r="Q1700" s="26"/>
      <c r="R1700" s="26"/>
      <c r="S1700" s="26"/>
      <c r="T1700" s="26"/>
      <c r="U1700" s="26"/>
      <c r="V1700" s="26"/>
      <c r="W1700" s="27"/>
    </row>
    <row r="1701" spans="1:23" ht="15.75" customHeight="1" x14ac:dyDescent="0.25">
      <c r="A1701" s="23"/>
      <c r="B1701" s="23" t="str">
        <f t="shared" si="7"/>
        <v/>
      </c>
      <c r="C1701" s="23"/>
      <c r="D1701" s="44"/>
      <c r="E1701" s="23"/>
      <c r="F1701" s="45"/>
      <c r="G1701" s="23"/>
      <c r="H1701" s="23"/>
      <c r="I1701" s="23"/>
      <c r="J1701" s="25"/>
      <c r="K1701" s="23"/>
      <c r="L1701" s="23"/>
      <c r="M1701" s="23"/>
      <c r="N1701" s="26"/>
      <c r="O1701" s="26"/>
      <c r="P1701" s="26"/>
      <c r="Q1701" s="26"/>
      <c r="R1701" s="26"/>
      <c r="S1701" s="26"/>
      <c r="T1701" s="26"/>
      <c r="U1701" s="26"/>
      <c r="V1701" s="26"/>
      <c r="W1701" s="27"/>
    </row>
    <row r="1702" spans="1:23" ht="15.75" customHeight="1" x14ac:dyDescent="0.25">
      <c r="A1702" s="23"/>
      <c r="B1702" s="23" t="str">
        <f t="shared" si="7"/>
        <v/>
      </c>
      <c r="C1702" s="23"/>
      <c r="D1702" s="44"/>
      <c r="E1702" s="23"/>
      <c r="F1702" s="45"/>
      <c r="G1702" s="23"/>
      <c r="H1702" s="23"/>
      <c r="I1702" s="23"/>
      <c r="J1702" s="25"/>
      <c r="K1702" s="23"/>
      <c r="L1702" s="23"/>
      <c r="M1702" s="23"/>
      <c r="N1702" s="26"/>
      <c r="O1702" s="26"/>
      <c r="P1702" s="26"/>
      <c r="Q1702" s="26"/>
      <c r="R1702" s="26"/>
      <c r="S1702" s="26"/>
      <c r="T1702" s="26"/>
      <c r="U1702" s="26"/>
      <c r="V1702" s="26"/>
      <c r="W1702" s="27"/>
    </row>
    <row r="1703" spans="1:23" ht="15.75" customHeight="1" x14ac:dyDescent="0.25">
      <c r="A1703" s="23"/>
      <c r="B1703" s="23" t="str">
        <f t="shared" si="7"/>
        <v/>
      </c>
      <c r="C1703" s="23"/>
      <c r="D1703" s="44"/>
      <c r="E1703" s="23"/>
      <c r="F1703" s="45"/>
      <c r="G1703" s="23"/>
      <c r="H1703" s="23"/>
      <c r="I1703" s="23"/>
      <c r="J1703" s="25"/>
      <c r="K1703" s="23"/>
      <c r="L1703" s="23"/>
      <c r="M1703" s="23"/>
      <c r="N1703" s="26"/>
      <c r="O1703" s="26"/>
      <c r="P1703" s="26"/>
      <c r="Q1703" s="26"/>
      <c r="R1703" s="26"/>
      <c r="S1703" s="26"/>
      <c r="T1703" s="26"/>
      <c r="U1703" s="26"/>
      <c r="V1703" s="26"/>
      <c r="W1703" s="27"/>
    </row>
    <row r="1704" spans="1:23" ht="15.75" customHeight="1" x14ac:dyDescent="0.25">
      <c r="A1704" s="23"/>
      <c r="B1704" s="23" t="str">
        <f t="shared" si="7"/>
        <v/>
      </c>
      <c r="C1704" s="23"/>
      <c r="D1704" s="44"/>
      <c r="E1704" s="23"/>
      <c r="F1704" s="45"/>
      <c r="G1704" s="23"/>
      <c r="H1704" s="23"/>
      <c r="I1704" s="23"/>
      <c r="J1704" s="25"/>
      <c r="K1704" s="23"/>
      <c r="L1704" s="23"/>
      <c r="M1704" s="23"/>
      <c r="N1704" s="26"/>
      <c r="O1704" s="26"/>
      <c r="P1704" s="26"/>
      <c r="Q1704" s="26"/>
      <c r="R1704" s="26"/>
      <c r="S1704" s="26"/>
      <c r="T1704" s="26"/>
      <c r="U1704" s="26"/>
      <c r="V1704" s="26"/>
      <c r="W1704" s="27"/>
    </row>
    <row r="1705" spans="1:23" ht="15.75" customHeight="1" x14ac:dyDescent="0.25">
      <c r="A1705" s="23"/>
      <c r="B1705" s="23" t="str">
        <f t="shared" si="7"/>
        <v/>
      </c>
      <c r="C1705" s="23"/>
      <c r="D1705" s="44"/>
      <c r="E1705" s="23"/>
      <c r="F1705" s="45"/>
      <c r="G1705" s="23"/>
      <c r="H1705" s="23"/>
      <c r="I1705" s="23"/>
      <c r="J1705" s="25"/>
      <c r="K1705" s="23"/>
      <c r="L1705" s="23"/>
      <c r="M1705" s="23"/>
      <c r="N1705" s="26"/>
      <c r="O1705" s="26"/>
      <c r="P1705" s="26"/>
      <c r="Q1705" s="26"/>
      <c r="R1705" s="26"/>
      <c r="S1705" s="26"/>
      <c r="T1705" s="26"/>
      <c r="U1705" s="26"/>
      <c r="V1705" s="26"/>
      <c r="W1705" s="27"/>
    </row>
    <row r="1706" spans="1:23" ht="15.75" customHeight="1" x14ac:dyDescent="0.25">
      <c r="A1706" s="23"/>
      <c r="B1706" s="23" t="str">
        <f t="shared" si="7"/>
        <v/>
      </c>
      <c r="C1706" s="23"/>
      <c r="D1706" s="44"/>
      <c r="E1706" s="23"/>
      <c r="F1706" s="45"/>
      <c r="G1706" s="23"/>
      <c r="H1706" s="23"/>
      <c r="I1706" s="23"/>
      <c r="J1706" s="25"/>
      <c r="K1706" s="23"/>
      <c r="L1706" s="23"/>
      <c r="M1706" s="23"/>
      <c r="N1706" s="26"/>
      <c r="O1706" s="26"/>
      <c r="P1706" s="26"/>
      <c r="Q1706" s="26"/>
      <c r="R1706" s="26"/>
      <c r="S1706" s="26"/>
      <c r="T1706" s="26"/>
      <c r="U1706" s="26"/>
      <c r="V1706" s="26"/>
      <c r="W1706" s="27"/>
    </row>
    <row r="1707" spans="1:23" ht="15.75" customHeight="1" x14ac:dyDescent="0.25">
      <c r="A1707" s="23"/>
      <c r="B1707" s="23" t="str">
        <f t="shared" si="7"/>
        <v/>
      </c>
      <c r="C1707" s="23"/>
      <c r="D1707" s="44"/>
      <c r="E1707" s="23"/>
      <c r="F1707" s="45"/>
      <c r="G1707" s="23"/>
      <c r="H1707" s="23"/>
      <c r="I1707" s="23"/>
      <c r="J1707" s="25"/>
      <c r="K1707" s="23"/>
      <c r="L1707" s="23"/>
      <c r="M1707" s="23"/>
      <c r="N1707" s="26"/>
      <c r="O1707" s="26"/>
      <c r="P1707" s="26"/>
      <c r="Q1707" s="26"/>
      <c r="R1707" s="26"/>
      <c r="S1707" s="26"/>
      <c r="T1707" s="26"/>
      <c r="U1707" s="26"/>
      <c r="V1707" s="26"/>
      <c r="W1707" s="27"/>
    </row>
    <row r="1708" spans="1:23" ht="15.75" customHeight="1" x14ac:dyDescent="0.25">
      <c r="A1708" s="23"/>
      <c r="B1708" s="23" t="str">
        <f t="shared" si="7"/>
        <v/>
      </c>
      <c r="C1708" s="23"/>
      <c r="D1708" s="44"/>
      <c r="E1708" s="23"/>
      <c r="F1708" s="45"/>
      <c r="G1708" s="23"/>
      <c r="H1708" s="23"/>
      <c r="I1708" s="23"/>
      <c r="J1708" s="25"/>
      <c r="K1708" s="23"/>
      <c r="L1708" s="23"/>
      <c r="M1708" s="23"/>
      <c r="N1708" s="26"/>
      <c r="O1708" s="26"/>
      <c r="P1708" s="26"/>
      <c r="Q1708" s="26"/>
      <c r="R1708" s="26"/>
      <c r="S1708" s="26"/>
      <c r="T1708" s="26"/>
      <c r="U1708" s="26"/>
      <c r="V1708" s="26"/>
      <c r="W1708" s="27"/>
    </row>
    <row r="1709" spans="1:23" ht="15.75" customHeight="1" x14ac:dyDescent="0.25">
      <c r="A1709" s="23"/>
      <c r="B1709" s="23" t="str">
        <f t="shared" si="7"/>
        <v/>
      </c>
      <c r="C1709" s="23"/>
      <c r="D1709" s="44"/>
      <c r="E1709" s="23"/>
      <c r="F1709" s="45"/>
      <c r="G1709" s="23"/>
      <c r="H1709" s="23"/>
      <c r="I1709" s="23"/>
      <c r="J1709" s="25"/>
      <c r="K1709" s="23"/>
      <c r="L1709" s="23"/>
      <c r="M1709" s="23"/>
      <c r="N1709" s="26"/>
      <c r="O1709" s="26"/>
      <c r="P1709" s="26"/>
      <c r="Q1709" s="26"/>
      <c r="R1709" s="26"/>
      <c r="S1709" s="26"/>
      <c r="T1709" s="26"/>
      <c r="U1709" s="26"/>
      <c r="V1709" s="26"/>
      <c r="W1709" s="27"/>
    </row>
    <row r="1710" spans="1:23" ht="15.75" customHeight="1" x14ac:dyDescent="0.25">
      <c r="A1710" s="23"/>
      <c r="B1710" s="23" t="str">
        <f t="shared" si="7"/>
        <v/>
      </c>
      <c r="C1710" s="23"/>
      <c r="D1710" s="44"/>
      <c r="E1710" s="23"/>
      <c r="F1710" s="45"/>
      <c r="G1710" s="23"/>
      <c r="H1710" s="23"/>
      <c r="I1710" s="23"/>
      <c r="J1710" s="25"/>
      <c r="K1710" s="23"/>
      <c r="L1710" s="23"/>
      <c r="M1710" s="23"/>
      <c r="N1710" s="26"/>
      <c r="O1710" s="26"/>
      <c r="P1710" s="26"/>
      <c r="Q1710" s="26"/>
      <c r="R1710" s="26"/>
      <c r="S1710" s="26"/>
      <c r="T1710" s="26"/>
      <c r="U1710" s="26"/>
      <c r="V1710" s="26"/>
      <c r="W1710" s="27"/>
    </row>
    <row r="1711" spans="1:23" ht="15.75" customHeight="1" x14ac:dyDescent="0.25">
      <c r="A1711" s="23"/>
      <c r="B1711" s="23" t="str">
        <f t="shared" si="7"/>
        <v/>
      </c>
      <c r="C1711" s="23"/>
      <c r="D1711" s="44"/>
      <c r="E1711" s="23"/>
      <c r="F1711" s="45"/>
      <c r="G1711" s="23"/>
      <c r="H1711" s="23"/>
      <c r="I1711" s="23"/>
      <c r="J1711" s="25"/>
      <c r="K1711" s="23"/>
      <c r="L1711" s="23"/>
      <c r="M1711" s="23"/>
      <c r="N1711" s="26"/>
      <c r="O1711" s="26"/>
      <c r="P1711" s="26"/>
      <c r="Q1711" s="26"/>
      <c r="R1711" s="26"/>
      <c r="S1711" s="26"/>
      <c r="T1711" s="26"/>
      <c r="U1711" s="26"/>
      <c r="V1711" s="26"/>
      <c r="W1711" s="27"/>
    </row>
    <row r="1712" spans="1:23" ht="15.75" customHeight="1" x14ac:dyDescent="0.25">
      <c r="A1712" s="23"/>
      <c r="B1712" s="23" t="str">
        <f t="shared" si="7"/>
        <v/>
      </c>
      <c r="C1712" s="23"/>
      <c r="D1712" s="44"/>
      <c r="E1712" s="23"/>
      <c r="F1712" s="45"/>
      <c r="G1712" s="23"/>
      <c r="H1712" s="23"/>
      <c r="I1712" s="23"/>
      <c r="J1712" s="25"/>
      <c r="K1712" s="23"/>
      <c r="L1712" s="23"/>
      <c r="M1712" s="23"/>
      <c r="N1712" s="26"/>
      <c r="O1712" s="26"/>
      <c r="P1712" s="26"/>
      <c r="Q1712" s="26"/>
      <c r="R1712" s="26"/>
      <c r="S1712" s="26"/>
      <c r="T1712" s="26"/>
      <c r="U1712" s="26"/>
      <c r="V1712" s="26"/>
      <c r="W1712" s="27"/>
    </row>
    <row r="1713" spans="1:23" ht="15.75" customHeight="1" x14ac:dyDescent="0.25">
      <c r="A1713" s="23"/>
      <c r="B1713" s="23" t="str">
        <f t="shared" si="7"/>
        <v/>
      </c>
      <c r="C1713" s="23"/>
      <c r="D1713" s="44"/>
      <c r="E1713" s="23"/>
      <c r="F1713" s="45"/>
      <c r="G1713" s="23"/>
      <c r="H1713" s="23"/>
      <c r="I1713" s="23"/>
      <c r="J1713" s="25"/>
      <c r="K1713" s="23"/>
      <c r="L1713" s="23"/>
      <c r="M1713" s="23"/>
      <c r="N1713" s="26"/>
      <c r="O1713" s="26"/>
      <c r="P1713" s="26"/>
      <c r="Q1713" s="26"/>
      <c r="R1713" s="26"/>
      <c r="S1713" s="26"/>
      <c r="T1713" s="26"/>
      <c r="U1713" s="26"/>
      <c r="V1713" s="26"/>
      <c r="W1713" s="27"/>
    </row>
    <row r="1714" spans="1:23" ht="15.75" customHeight="1" x14ac:dyDescent="0.25">
      <c r="A1714" s="23"/>
      <c r="B1714" s="23" t="str">
        <f t="shared" si="7"/>
        <v/>
      </c>
      <c r="C1714" s="23"/>
      <c r="D1714" s="44"/>
      <c r="E1714" s="23"/>
      <c r="F1714" s="45"/>
      <c r="G1714" s="23"/>
      <c r="H1714" s="23"/>
      <c r="I1714" s="23"/>
      <c r="J1714" s="25"/>
      <c r="K1714" s="23"/>
      <c r="L1714" s="23"/>
      <c r="M1714" s="23"/>
      <c r="N1714" s="26"/>
      <c r="O1714" s="26"/>
      <c r="P1714" s="26"/>
      <c r="Q1714" s="26"/>
      <c r="R1714" s="26"/>
      <c r="S1714" s="26"/>
      <c r="T1714" s="26"/>
      <c r="U1714" s="26"/>
      <c r="V1714" s="26"/>
      <c r="W1714" s="27"/>
    </row>
    <row r="1715" spans="1:23" ht="15.75" customHeight="1" x14ac:dyDescent="0.25">
      <c r="A1715" s="23"/>
      <c r="B1715" s="23" t="str">
        <f t="shared" si="7"/>
        <v/>
      </c>
      <c r="C1715" s="23"/>
      <c r="D1715" s="44"/>
      <c r="E1715" s="23"/>
      <c r="F1715" s="45"/>
      <c r="G1715" s="23"/>
      <c r="H1715" s="23"/>
      <c r="I1715" s="23"/>
      <c r="J1715" s="25"/>
      <c r="K1715" s="23"/>
      <c r="L1715" s="23"/>
      <c r="M1715" s="23"/>
      <c r="N1715" s="26"/>
      <c r="O1715" s="26"/>
      <c r="P1715" s="26"/>
      <c r="Q1715" s="26"/>
      <c r="R1715" s="26"/>
      <c r="S1715" s="26"/>
      <c r="T1715" s="26"/>
      <c r="U1715" s="26"/>
      <c r="V1715" s="26"/>
      <c r="W1715" s="27"/>
    </row>
    <row r="1716" spans="1:23" ht="15.75" customHeight="1" x14ac:dyDescent="0.25">
      <c r="A1716" s="23"/>
      <c r="B1716" s="23" t="str">
        <f t="shared" si="7"/>
        <v/>
      </c>
      <c r="C1716" s="23"/>
      <c r="D1716" s="44"/>
      <c r="E1716" s="23"/>
      <c r="F1716" s="45"/>
      <c r="G1716" s="23"/>
      <c r="H1716" s="23"/>
      <c r="I1716" s="23"/>
      <c r="J1716" s="25"/>
      <c r="K1716" s="23"/>
      <c r="L1716" s="23"/>
      <c r="M1716" s="23"/>
      <c r="N1716" s="26"/>
      <c r="O1716" s="26"/>
      <c r="P1716" s="26"/>
      <c r="Q1716" s="26"/>
      <c r="R1716" s="26"/>
      <c r="S1716" s="26"/>
      <c r="T1716" s="26"/>
      <c r="U1716" s="26"/>
      <c r="V1716" s="26"/>
      <c r="W1716" s="27"/>
    </row>
    <row r="1717" spans="1:23" ht="15.75" customHeight="1" x14ac:dyDescent="0.25">
      <c r="A1717" s="23"/>
      <c r="B1717" s="23" t="str">
        <f t="shared" si="7"/>
        <v/>
      </c>
      <c r="C1717" s="23"/>
      <c r="D1717" s="44"/>
      <c r="E1717" s="23"/>
      <c r="F1717" s="45"/>
      <c r="G1717" s="23"/>
      <c r="H1717" s="23"/>
      <c r="I1717" s="23"/>
      <c r="J1717" s="25"/>
      <c r="K1717" s="23"/>
      <c r="L1717" s="23"/>
      <c r="M1717" s="23"/>
      <c r="N1717" s="26"/>
      <c r="O1717" s="26"/>
      <c r="P1717" s="26"/>
      <c r="Q1717" s="26"/>
      <c r="R1717" s="26"/>
      <c r="S1717" s="26"/>
      <c r="T1717" s="26"/>
      <c r="U1717" s="26"/>
      <c r="V1717" s="26"/>
      <c r="W1717" s="27"/>
    </row>
    <row r="1718" spans="1:23" ht="15.75" customHeight="1" x14ac:dyDescent="0.25">
      <c r="A1718" s="23"/>
      <c r="B1718" s="23" t="str">
        <f t="shared" si="7"/>
        <v/>
      </c>
      <c r="C1718" s="23"/>
      <c r="D1718" s="44"/>
      <c r="E1718" s="23"/>
      <c r="F1718" s="45"/>
      <c r="G1718" s="23"/>
      <c r="H1718" s="23"/>
      <c r="I1718" s="23"/>
      <c r="J1718" s="25"/>
      <c r="K1718" s="23"/>
      <c r="L1718" s="23"/>
      <c r="M1718" s="23"/>
      <c r="N1718" s="26"/>
      <c r="O1718" s="26"/>
      <c r="P1718" s="26"/>
      <c r="Q1718" s="26"/>
      <c r="R1718" s="26"/>
      <c r="S1718" s="26"/>
      <c r="T1718" s="26"/>
      <c r="U1718" s="26"/>
      <c r="V1718" s="26"/>
      <c r="W1718" s="27"/>
    </row>
    <row r="1719" spans="1:23" ht="15.75" customHeight="1" x14ac:dyDescent="0.25">
      <c r="A1719" s="23"/>
      <c r="B1719" s="23" t="str">
        <f t="shared" si="7"/>
        <v/>
      </c>
      <c r="C1719" s="23"/>
      <c r="D1719" s="44"/>
      <c r="E1719" s="23"/>
      <c r="F1719" s="45"/>
      <c r="G1719" s="23"/>
      <c r="H1719" s="23"/>
      <c r="I1719" s="23"/>
      <c r="J1719" s="25"/>
      <c r="K1719" s="23"/>
      <c r="L1719" s="23"/>
      <c r="M1719" s="23"/>
      <c r="N1719" s="26"/>
      <c r="O1719" s="26"/>
      <c r="P1719" s="26"/>
      <c r="Q1719" s="26"/>
      <c r="R1719" s="26"/>
      <c r="S1719" s="26"/>
      <c r="T1719" s="26"/>
      <c r="U1719" s="26"/>
      <c r="V1719" s="26"/>
      <c r="W1719" s="27"/>
    </row>
    <row r="1720" spans="1:23" ht="15.75" customHeight="1" x14ac:dyDescent="0.25">
      <c r="A1720" s="23"/>
      <c r="B1720" s="23" t="str">
        <f t="shared" si="7"/>
        <v/>
      </c>
      <c r="C1720" s="23"/>
      <c r="D1720" s="44"/>
      <c r="E1720" s="23"/>
      <c r="F1720" s="45"/>
      <c r="G1720" s="23"/>
      <c r="H1720" s="23"/>
      <c r="I1720" s="23"/>
      <c r="J1720" s="25"/>
      <c r="K1720" s="23"/>
      <c r="L1720" s="23"/>
      <c r="M1720" s="23"/>
      <c r="N1720" s="26"/>
      <c r="O1720" s="26"/>
      <c r="P1720" s="26"/>
      <c r="Q1720" s="26"/>
      <c r="R1720" s="26"/>
      <c r="S1720" s="26"/>
      <c r="T1720" s="26"/>
      <c r="U1720" s="26"/>
      <c r="V1720" s="26"/>
      <c r="W1720" s="27"/>
    </row>
    <row r="1721" spans="1:23" ht="15.75" customHeight="1" x14ac:dyDescent="0.25">
      <c r="A1721" s="23"/>
      <c r="B1721" s="23" t="str">
        <f t="shared" si="7"/>
        <v/>
      </c>
      <c r="C1721" s="23"/>
      <c r="D1721" s="44"/>
      <c r="E1721" s="23"/>
      <c r="F1721" s="45"/>
      <c r="G1721" s="23"/>
      <c r="H1721" s="23"/>
      <c r="I1721" s="23"/>
      <c r="J1721" s="25"/>
      <c r="K1721" s="23"/>
      <c r="L1721" s="23"/>
      <c r="M1721" s="23"/>
      <c r="N1721" s="26"/>
      <c r="O1721" s="26"/>
      <c r="P1721" s="26"/>
      <c r="Q1721" s="26"/>
      <c r="R1721" s="26"/>
      <c r="S1721" s="26"/>
      <c r="T1721" s="26"/>
      <c r="U1721" s="26"/>
      <c r="V1721" s="26"/>
      <c r="W1721" s="27"/>
    </row>
    <row r="1722" spans="1:23" ht="15.75" customHeight="1" x14ac:dyDescent="0.25">
      <c r="A1722" s="23"/>
      <c r="B1722" s="23" t="str">
        <f t="shared" si="7"/>
        <v/>
      </c>
      <c r="C1722" s="23"/>
      <c r="D1722" s="44"/>
      <c r="E1722" s="23"/>
      <c r="F1722" s="45"/>
      <c r="G1722" s="23"/>
      <c r="H1722" s="23"/>
      <c r="I1722" s="23"/>
      <c r="J1722" s="25"/>
      <c r="K1722" s="23"/>
      <c r="L1722" s="23"/>
      <c r="M1722" s="23"/>
      <c r="N1722" s="26"/>
      <c r="O1722" s="26"/>
      <c r="P1722" s="26"/>
      <c r="Q1722" s="26"/>
      <c r="R1722" s="26"/>
      <c r="S1722" s="26"/>
      <c r="T1722" s="26"/>
      <c r="U1722" s="26"/>
      <c r="V1722" s="26"/>
      <c r="W1722" s="27"/>
    </row>
    <row r="1723" spans="1:23" ht="15.75" customHeight="1" x14ac:dyDescent="0.25">
      <c r="A1723" s="23"/>
      <c r="B1723" s="23" t="str">
        <f t="shared" si="7"/>
        <v/>
      </c>
      <c r="C1723" s="23"/>
      <c r="D1723" s="44"/>
      <c r="E1723" s="23"/>
      <c r="F1723" s="45"/>
      <c r="G1723" s="23"/>
      <c r="H1723" s="23"/>
      <c r="I1723" s="23"/>
      <c r="J1723" s="25"/>
      <c r="K1723" s="23"/>
      <c r="L1723" s="23"/>
      <c r="M1723" s="23"/>
      <c r="N1723" s="26"/>
      <c r="O1723" s="26"/>
      <c r="P1723" s="26"/>
      <c r="Q1723" s="26"/>
      <c r="R1723" s="26"/>
      <c r="S1723" s="26"/>
      <c r="T1723" s="26"/>
      <c r="U1723" s="26"/>
      <c r="V1723" s="26"/>
      <c r="W1723" s="27"/>
    </row>
    <row r="1724" spans="1:23" ht="15.75" customHeight="1" x14ac:dyDescent="0.25">
      <c r="A1724" s="23"/>
      <c r="B1724" s="23" t="str">
        <f t="shared" si="7"/>
        <v/>
      </c>
      <c r="C1724" s="23"/>
      <c r="D1724" s="44"/>
      <c r="E1724" s="23"/>
      <c r="F1724" s="45"/>
      <c r="G1724" s="23"/>
      <c r="H1724" s="23"/>
      <c r="I1724" s="23"/>
      <c r="J1724" s="25"/>
      <c r="K1724" s="23"/>
      <c r="L1724" s="23"/>
      <c r="M1724" s="23"/>
      <c r="N1724" s="26"/>
      <c r="O1724" s="26"/>
      <c r="P1724" s="26"/>
      <c r="Q1724" s="26"/>
      <c r="R1724" s="26"/>
      <c r="S1724" s="26"/>
      <c r="T1724" s="26"/>
      <c r="U1724" s="26"/>
      <c r="V1724" s="26"/>
      <c r="W1724" s="27"/>
    </row>
    <row r="1725" spans="1:23" ht="15.75" customHeight="1" x14ac:dyDescent="0.25">
      <c r="A1725" s="23"/>
      <c r="B1725" s="23" t="str">
        <f t="shared" si="7"/>
        <v/>
      </c>
      <c r="C1725" s="23"/>
      <c r="D1725" s="44"/>
      <c r="E1725" s="23"/>
      <c r="F1725" s="45"/>
      <c r="G1725" s="23"/>
      <c r="H1725" s="23"/>
      <c r="I1725" s="23"/>
      <c r="J1725" s="25"/>
      <c r="K1725" s="23"/>
      <c r="L1725" s="23"/>
      <c r="M1725" s="23"/>
      <c r="N1725" s="26"/>
      <c r="O1725" s="26"/>
      <c r="P1725" s="26"/>
      <c r="Q1725" s="26"/>
      <c r="R1725" s="26"/>
      <c r="S1725" s="26"/>
      <c r="T1725" s="26"/>
      <c r="U1725" s="26"/>
      <c r="V1725" s="26"/>
      <c r="W1725" s="27"/>
    </row>
    <row r="1726" spans="1:23" ht="15.75" customHeight="1" x14ac:dyDescent="0.25">
      <c r="A1726" s="23"/>
      <c r="B1726" s="23" t="str">
        <f t="shared" si="7"/>
        <v/>
      </c>
      <c r="C1726" s="23"/>
      <c r="D1726" s="44"/>
      <c r="E1726" s="23"/>
      <c r="F1726" s="45"/>
      <c r="G1726" s="23"/>
      <c r="H1726" s="23"/>
      <c r="I1726" s="23"/>
      <c r="J1726" s="25"/>
      <c r="K1726" s="23"/>
      <c r="L1726" s="23"/>
      <c r="M1726" s="23"/>
      <c r="N1726" s="26"/>
      <c r="O1726" s="26"/>
      <c r="P1726" s="26"/>
      <c r="Q1726" s="26"/>
      <c r="R1726" s="26"/>
      <c r="S1726" s="26"/>
      <c r="T1726" s="26"/>
      <c r="U1726" s="26"/>
      <c r="V1726" s="26"/>
      <c r="W1726" s="27"/>
    </row>
    <row r="1727" spans="1:23" ht="15.75" customHeight="1" x14ac:dyDescent="0.25">
      <c r="A1727" s="23"/>
      <c r="B1727" s="23" t="str">
        <f t="shared" si="7"/>
        <v/>
      </c>
      <c r="C1727" s="23"/>
      <c r="D1727" s="44"/>
      <c r="E1727" s="23"/>
      <c r="F1727" s="45"/>
      <c r="G1727" s="23"/>
      <c r="H1727" s="23"/>
      <c r="I1727" s="23"/>
      <c r="J1727" s="25"/>
      <c r="K1727" s="23"/>
      <c r="L1727" s="23"/>
      <c r="M1727" s="23"/>
      <c r="N1727" s="26"/>
      <c r="O1727" s="26"/>
      <c r="P1727" s="26"/>
      <c r="Q1727" s="26"/>
      <c r="R1727" s="26"/>
      <c r="S1727" s="26"/>
      <c r="T1727" s="26"/>
      <c r="U1727" s="26"/>
      <c r="V1727" s="26"/>
      <c r="W1727" s="27"/>
    </row>
    <row r="1728" spans="1:23" ht="15.75" customHeight="1" x14ac:dyDescent="0.25">
      <c r="A1728" s="23"/>
      <c r="B1728" s="23" t="str">
        <f t="shared" si="7"/>
        <v/>
      </c>
      <c r="C1728" s="23"/>
      <c r="D1728" s="44"/>
      <c r="E1728" s="23"/>
      <c r="F1728" s="45"/>
      <c r="G1728" s="23"/>
      <c r="H1728" s="23"/>
      <c r="I1728" s="23"/>
      <c r="J1728" s="25"/>
      <c r="K1728" s="23"/>
      <c r="L1728" s="23"/>
      <c r="M1728" s="23"/>
      <c r="N1728" s="26"/>
      <c r="O1728" s="26"/>
      <c r="P1728" s="26"/>
      <c r="Q1728" s="26"/>
      <c r="R1728" s="26"/>
      <c r="S1728" s="26"/>
      <c r="T1728" s="26"/>
      <c r="U1728" s="26"/>
      <c r="V1728" s="26"/>
      <c r="W1728" s="27"/>
    </row>
    <row r="1729" spans="1:23" ht="15.75" customHeight="1" x14ac:dyDescent="0.25">
      <c r="A1729" s="23"/>
      <c r="B1729" s="23" t="str">
        <f t="shared" si="7"/>
        <v/>
      </c>
      <c r="C1729" s="23"/>
      <c r="D1729" s="44"/>
      <c r="E1729" s="23"/>
      <c r="F1729" s="45"/>
      <c r="G1729" s="23"/>
      <c r="H1729" s="23"/>
      <c r="I1729" s="23"/>
      <c r="J1729" s="25"/>
      <c r="K1729" s="23"/>
      <c r="L1729" s="23"/>
      <c r="M1729" s="23"/>
      <c r="N1729" s="26"/>
      <c r="O1729" s="26"/>
      <c r="P1729" s="26"/>
      <c r="Q1729" s="26"/>
      <c r="R1729" s="26"/>
      <c r="S1729" s="26"/>
      <c r="T1729" s="26"/>
      <c r="U1729" s="26"/>
      <c r="V1729" s="26"/>
      <c r="W1729" s="27"/>
    </row>
    <row r="1730" spans="1:23" ht="15.75" customHeight="1" x14ac:dyDescent="0.25">
      <c r="A1730" s="23"/>
      <c r="B1730" s="23" t="str">
        <f t="shared" si="7"/>
        <v/>
      </c>
      <c r="C1730" s="23"/>
      <c r="D1730" s="44"/>
      <c r="E1730" s="23"/>
      <c r="F1730" s="45"/>
      <c r="G1730" s="23"/>
      <c r="H1730" s="23"/>
      <c r="I1730" s="23"/>
      <c r="J1730" s="25"/>
      <c r="K1730" s="23"/>
      <c r="L1730" s="23"/>
      <c r="M1730" s="23"/>
      <c r="N1730" s="26"/>
      <c r="O1730" s="26"/>
      <c r="P1730" s="26"/>
      <c r="Q1730" s="26"/>
      <c r="R1730" s="26"/>
      <c r="S1730" s="26"/>
      <c r="T1730" s="26"/>
      <c r="U1730" s="26"/>
      <c r="V1730" s="26"/>
      <c r="W1730" s="27"/>
    </row>
    <row r="1731" spans="1:23" ht="15.75" customHeight="1" x14ac:dyDescent="0.25">
      <c r="A1731" s="23"/>
      <c r="B1731" s="23" t="str">
        <f t="shared" si="7"/>
        <v/>
      </c>
      <c r="C1731" s="23"/>
      <c r="D1731" s="44"/>
      <c r="E1731" s="23"/>
      <c r="F1731" s="45"/>
      <c r="G1731" s="23"/>
      <c r="H1731" s="23"/>
      <c r="I1731" s="23"/>
      <c r="J1731" s="25"/>
      <c r="K1731" s="23"/>
      <c r="L1731" s="23"/>
      <c r="M1731" s="23"/>
      <c r="N1731" s="26"/>
      <c r="O1731" s="26"/>
      <c r="P1731" s="26"/>
      <c r="Q1731" s="26"/>
      <c r="R1731" s="26"/>
      <c r="S1731" s="26"/>
      <c r="T1731" s="26"/>
      <c r="U1731" s="26"/>
      <c r="V1731" s="26"/>
      <c r="W1731" s="27"/>
    </row>
    <row r="1732" spans="1:23" ht="15.75" customHeight="1" x14ac:dyDescent="0.25">
      <c r="A1732" s="23"/>
      <c r="B1732" s="23" t="str">
        <f t="shared" si="7"/>
        <v/>
      </c>
      <c r="C1732" s="23"/>
      <c r="D1732" s="44"/>
      <c r="E1732" s="23"/>
      <c r="F1732" s="45"/>
      <c r="G1732" s="23"/>
      <c r="H1732" s="23"/>
      <c r="I1732" s="23"/>
      <c r="J1732" s="25"/>
      <c r="K1732" s="23"/>
      <c r="L1732" s="23"/>
      <c r="M1732" s="23"/>
      <c r="N1732" s="26"/>
      <c r="O1732" s="26"/>
      <c r="P1732" s="26"/>
      <c r="Q1732" s="26"/>
      <c r="R1732" s="26"/>
      <c r="S1732" s="26"/>
      <c r="T1732" s="26"/>
      <c r="U1732" s="26"/>
      <c r="V1732" s="26"/>
      <c r="W1732" s="27"/>
    </row>
    <row r="1733" spans="1:23" ht="15.75" customHeight="1" x14ac:dyDescent="0.25">
      <c r="A1733" s="23"/>
      <c r="B1733" s="23" t="str">
        <f t="shared" si="7"/>
        <v/>
      </c>
      <c r="C1733" s="23"/>
      <c r="D1733" s="44"/>
      <c r="E1733" s="23"/>
      <c r="F1733" s="45"/>
      <c r="G1733" s="23"/>
      <c r="H1733" s="23"/>
      <c r="I1733" s="23"/>
      <c r="J1733" s="25"/>
      <c r="K1733" s="23"/>
      <c r="L1733" s="23"/>
      <c r="M1733" s="23"/>
      <c r="N1733" s="26"/>
      <c r="O1733" s="26"/>
      <c r="P1733" s="26"/>
      <c r="Q1733" s="26"/>
      <c r="R1733" s="26"/>
      <c r="S1733" s="26"/>
      <c r="T1733" s="26"/>
      <c r="U1733" s="26"/>
      <c r="V1733" s="26"/>
      <c r="W1733" s="27"/>
    </row>
    <row r="1734" spans="1:23" ht="15.75" customHeight="1" x14ac:dyDescent="0.25">
      <c r="A1734" s="23"/>
      <c r="B1734" s="23" t="str">
        <f t="shared" si="7"/>
        <v/>
      </c>
      <c r="C1734" s="23"/>
      <c r="D1734" s="44"/>
      <c r="E1734" s="23"/>
      <c r="F1734" s="45"/>
      <c r="G1734" s="23"/>
      <c r="H1734" s="23"/>
      <c r="I1734" s="23"/>
      <c r="J1734" s="25"/>
      <c r="K1734" s="23"/>
      <c r="L1734" s="23"/>
      <c r="M1734" s="23"/>
      <c r="N1734" s="26"/>
      <c r="O1734" s="26"/>
      <c r="P1734" s="26"/>
      <c r="Q1734" s="26"/>
      <c r="R1734" s="26"/>
      <c r="S1734" s="26"/>
      <c r="T1734" s="26"/>
      <c r="U1734" s="26"/>
      <c r="V1734" s="26"/>
      <c r="W1734" s="27"/>
    </row>
    <row r="1735" spans="1:23" ht="15.75" customHeight="1" x14ac:dyDescent="0.25">
      <c r="A1735" s="23"/>
      <c r="B1735" s="23" t="str">
        <f t="shared" si="7"/>
        <v/>
      </c>
      <c r="C1735" s="23"/>
      <c r="D1735" s="44"/>
      <c r="E1735" s="23"/>
      <c r="F1735" s="45"/>
      <c r="G1735" s="23"/>
      <c r="H1735" s="23"/>
      <c r="I1735" s="23"/>
      <c r="J1735" s="25"/>
      <c r="K1735" s="23"/>
      <c r="L1735" s="23"/>
      <c r="M1735" s="23"/>
      <c r="N1735" s="26"/>
      <c r="O1735" s="26"/>
      <c r="P1735" s="26"/>
      <c r="Q1735" s="26"/>
      <c r="R1735" s="26"/>
      <c r="S1735" s="26"/>
      <c r="T1735" s="26"/>
      <c r="U1735" s="26"/>
      <c r="V1735" s="26"/>
      <c r="W1735" s="27"/>
    </row>
    <row r="1736" spans="1:23" ht="15.75" customHeight="1" x14ac:dyDescent="0.25">
      <c r="A1736" s="23"/>
      <c r="B1736" s="23" t="str">
        <f t="shared" si="7"/>
        <v/>
      </c>
      <c r="C1736" s="23"/>
      <c r="D1736" s="44"/>
      <c r="E1736" s="23"/>
      <c r="F1736" s="45"/>
      <c r="G1736" s="23"/>
      <c r="H1736" s="23"/>
      <c r="I1736" s="23"/>
      <c r="J1736" s="25"/>
      <c r="K1736" s="23"/>
      <c r="L1736" s="23"/>
      <c r="M1736" s="23"/>
      <c r="N1736" s="26"/>
      <c r="O1736" s="26"/>
      <c r="P1736" s="26"/>
      <c r="Q1736" s="26"/>
      <c r="R1736" s="26"/>
      <c r="S1736" s="26"/>
      <c r="T1736" s="26"/>
      <c r="U1736" s="26"/>
      <c r="V1736" s="26"/>
      <c r="W1736" s="27"/>
    </row>
    <row r="1737" spans="1:23" ht="15.75" customHeight="1" x14ac:dyDescent="0.25">
      <c r="A1737" s="23"/>
      <c r="B1737" s="23" t="str">
        <f t="shared" si="7"/>
        <v/>
      </c>
      <c r="C1737" s="23"/>
      <c r="D1737" s="44"/>
      <c r="E1737" s="23"/>
      <c r="F1737" s="45"/>
      <c r="G1737" s="23"/>
      <c r="H1737" s="23"/>
      <c r="I1737" s="23"/>
      <c r="J1737" s="25"/>
      <c r="K1737" s="23"/>
      <c r="L1737" s="23"/>
      <c r="M1737" s="23"/>
      <c r="N1737" s="26"/>
      <c r="O1737" s="26"/>
      <c r="P1737" s="26"/>
      <c r="Q1737" s="26"/>
      <c r="R1737" s="26"/>
      <c r="S1737" s="26"/>
      <c r="T1737" s="26"/>
      <c r="U1737" s="26"/>
      <c r="V1737" s="26"/>
      <c r="W1737" s="27"/>
    </row>
    <row r="1738" spans="1:23" ht="15.75" customHeight="1" x14ac:dyDescent="0.25">
      <c r="A1738" s="23"/>
      <c r="B1738" s="23" t="str">
        <f t="shared" si="7"/>
        <v/>
      </c>
      <c r="C1738" s="23"/>
      <c r="D1738" s="44"/>
      <c r="E1738" s="23"/>
      <c r="F1738" s="45"/>
      <c r="G1738" s="23"/>
      <c r="H1738" s="23"/>
      <c r="I1738" s="23"/>
      <c r="J1738" s="25"/>
      <c r="K1738" s="23"/>
      <c r="L1738" s="23"/>
      <c r="M1738" s="23"/>
      <c r="N1738" s="26"/>
      <c r="O1738" s="26"/>
      <c r="P1738" s="26"/>
      <c r="Q1738" s="26"/>
      <c r="R1738" s="26"/>
      <c r="S1738" s="26"/>
      <c r="T1738" s="26"/>
      <c r="U1738" s="26"/>
      <c r="V1738" s="26"/>
      <c r="W1738" s="27"/>
    </row>
    <row r="1739" spans="1:23" ht="15.75" customHeight="1" x14ac:dyDescent="0.25">
      <c r="A1739" s="23"/>
      <c r="B1739" s="23" t="str">
        <f t="shared" si="7"/>
        <v/>
      </c>
      <c r="C1739" s="23"/>
      <c r="D1739" s="44"/>
      <c r="E1739" s="23"/>
      <c r="F1739" s="45"/>
      <c r="G1739" s="23"/>
      <c r="H1739" s="23"/>
      <c r="I1739" s="23"/>
      <c r="J1739" s="25"/>
      <c r="K1739" s="23"/>
      <c r="L1739" s="23"/>
      <c r="M1739" s="23"/>
      <c r="N1739" s="26"/>
      <c r="O1739" s="26"/>
      <c r="P1739" s="26"/>
      <c r="Q1739" s="26"/>
      <c r="R1739" s="26"/>
      <c r="S1739" s="26"/>
      <c r="T1739" s="26"/>
      <c r="U1739" s="26"/>
      <c r="V1739" s="26"/>
      <c r="W1739" s="27"/>
    </row>
    <row r="1740" spans="1:23" ht="15.75" customHeight="1" x14ac:dyDescent="0.25">
      <c r="A1740" s="23"/>
      <c r="B1740" s="23" t="str">
        <f t="shared" si="7"/>
        <v/>
      </c>
      <c r="C1740" s="23"/>
      <c r="D1740" s="44"/>
      <c r="E1740" s="23"/>
      <c r="F1740" s="45"/>
      <c r="G1740" s="23"/>
      <c r="H1740" s="23"/>
      <c r="I1740" s="23"/>
      <c r="J1740" s="25"/>
      <c r="K1740" s="23"/>
      <c r="L1740" s="23"/>
      <c r="M1740" s="23"/>
      <c r="N1740" s="26"/>
      <c r="O1740" s="26"/>
      <c r="P1740" s="26"/>
      <c r="Q1740" s="26"/>
      <c r="R1740" s="26"/>
      <c r="S1740" s="26"/>
      <c r="T1740" s="26"/>
      <c r="U1740" s="26"/>
      <c r="V1740" s="26"/>
      <c r="W1740" s="27"/>
    </row>
    <row r="1741" spans="1:23" ht="15.75" customHeight="1" x14ac:dyDescent="0.25">
      <c r="A1741" s="23"/>
      <c r="B1741" s="23" t="str">
        <f t="shared" si="7"/>
        <v/>
      </c>
      <c r="C1741" s="23"/>
      <c r="D1741" s="44"/>
      <c r="E1741" s="23"/>
      <c r="F1741" s="45"/>
      <c r="G1741" s="23"/>
      <c r="H1741" s="23"/>
      <c r="I1741" s="23"/>
      <c r="J1741" s="25"/>
      <c r="K1741" s="23"/>
      <c r="L1741" s="23"/>
      <c r="M1741" s="23"/>
      <c r="N1741" s="26"/>
      <c r="O1741" s="26"/>
      <c r="P1741" s="26"/>
      <c r="Q1741" s="26"/>
      <c r="R1741" s="26"/>
      <c r="S1741" s="26"/>
      <c r="T1741" s="26"/>
      <c r="U1741" s="26"/>
      <c r="V1741" s="26"/>
      <c r="W1741" s="27"/>
    </row>
    <row r="1742" spans="1:23" ht="15.75" customHeight="1" x14ac:dyDescent="0.25">
      <c r="A1742" s="23"/>
      <c r="B1742" s="23" t="str">
        <f t="shared" si="7"/>
        <v/>
      </c>
      <c r="C1742" s="23"/>
      <c r="D1742" s="44"/>
      <c r="E1742" s="23"/>
      <c r="F1742" s="45"/>
      <c r="G1742" s="23"/>
      <c r="H1742" s="23"/>
      <c r="I1742" s="23"/>
      <c r="J1742" s="25"/>
      <c r="K1742" s="23"/>
      <c r="L1742" s="23"/>
      <c r="M1742" s="23"/>
      <c r="N1742" s="26"/>
      <c r="O1742" s="26"/>
      <c r="P1742" s="26"/>
      <c r="Q1742" s="26"/>
      <c r="R1742" s="26"/>
      <c r="S1742" s="26"/>
      <c r="T1742" s="26"/>
      <c r="U1742" s="26"/>
      <c r="V1742" s="26"/>
      <c r="W1742" s="27"/>
    </row>
    <row r="1743" spans="1:23" ht="15.75" customHeight="1" x14ac:dyDescent="0.25">
      <c r="A1743" s="23"/>
      <c r="B1743" s="23" t="str">
        <f t="shared" si="7"/>
        <v/>
      </c>
      <c r="C1743" s="23"/>
      <c r="D1743" s="44"/>
      <c r="E1743" s="23"/>
      <c r="F1743" s="45"/>
      <c r="G1743" s="23"/>
      <c r="H1743" s="23"/>
      <c r="I1743" s="23"/>
      <c r="J1743" s="25"/>
      <c r="K1743" s="23"/>
      <c r="L1743" s="23"/>
      <c r="M1743" s="23"/>
      <c r="N1743" s="26"/>
      <c r="O1743" s="26"/>
      <c r="P1743" s="26"/>
      <c r="Q1743" s="26"/>
      <c r="R1743" s="26"/>
      <c r="S1743" s="26"/>
      <c r="T1743" s="26"/>
      <c r="U1743" s="26"/>
      <c r="V1743" s="26"/>
      <c r="W1743" s="27"/>
    </row>
    <row r="1744" spans="1:23" ht="15.75" customHeight="1" x14ac:dyDescent="0.25">
      <c r="A1744" s="23"/>
      <c r="B1744" s="23" t="str">
        <f t="shared" si="7"/>
        <v/>
      </c>
      <c r="C1744" s="23"/>
      <c r="D1744" s="44"/>
      <c r="E1744" s="23"/>
      <c r="F1744" s="45"/>
      <c r="G1744" s="23"/>
      <c r="H1744" s="23"/>
      <c r="I1744" s="23"/>
      <c r="J1744" s="25"/>
      <c r="K1744" s="23"/>
      <c r="L1744" s="23"/>
      <c r="M1744" s="23"/>
      <c r="N1744" s="26"/>
      <c r="O1744" s="26"/>
      <c r="P1744" s="26"/>
      <c r="Q1744" s="26"/>
      <c r="R1744" s="26"/>
      <c r="S1744" s="26"/>
      <c r="T1744" s="26"/>
      <c r="U1744" s="26"/>
      <c r="V1744" s="26"/>
      <c r="W1744" s="27"/>
    </row>
    <row r="1745" spans="1:23" ht="15.75" customHeight="1" x14ac:dyDescent="0.25">
      <c r="A1745" s="23"/>
      <c r="B1745" s="23" t="str">
        <f t="shared" si="7"/>
        <v/>
      </c>
      <c r="C1745" s="23"/>
      <c r="D1745" s="44"/>
      <c r="E1745" s="23"/>
      <c r="F1745" s="45"/>
      <c r="G1745" s="23"/>
      <c r="H1745" s="23"/>
      <c r="I1745" s="23"/>
      <c r="J1745" s="25"/>
      <c r="K1745" s="23"/>
      <c r="L1745" s="23"/>
      <c r="M1745" s="23"/>
      <c r="N1745" s="26"/>
      <c r="O1745" s="26"/>
      <c r="P1745" s="26"/>
      <c r="Q1745" s="26"/>
      <c r="R1745" s="26"/>
      <c r="S1745" s="26"/>
      <c r="T1745" s="26"/>
      <c r="U1745" s="26"/>
      <c r="V1745" s="26"/>
      <c r="W1745" s="27"/>
    </row>
    <row r="1746" spans="1:23" ht="15.75" customHeight="1" x14ac:dyDescent="0.25">
      <c r="A1746" s="23"/>
      <c r="B1746" s="23" t="str">
        <f t="shared" si="7"/>
        <v/>
      </c>
      <c r="C1746" s="23"/>
      <c r="D1746" s="44"/>
      <c r="E1746" s="23"/>
      <c r="F1746" s="45"/>
      <c r="G1746" s="23"/>
      <c r="H1746" s="23"/>
      <c r="I1746" s="23"/>
      <c r="J1746" s="25"/>
      <c r="K1746" s="23"/>
      <c r="L1746" s="23"/>
      <c r="M1746" s="23"/>
      <c r="N1746" s="26"/>
      <c r="O1746" s="26"/>
      <c r="P1746" s="26"/>
      <c r="Q1746" s="26"/>
      <c r="R1746" s="26"/>
      <c r="S1746" s="26"/>
      <c r="T1746" s="26"/>
      <c r="U1746" s="26"/>
      <c r="V1746" s="26"/>
      <c r="W1746" s="27"/>
    </row>
    <row r="1747" spans="1:23" ht="15.75" customHeight="1" x14ac:dyDescent="0.25">
      <c r="A1747" s="23"/>
      <c r="B1747" s="23" t="str">
        <f t="shared" si="7"/>
        <v/>
      </c>
      <c r="C1747" s="23"/>
      <c r="D1747" s="44"/>
      <c r="E1747" s="23"/>
      <c r="F1747" s="45"/>
      <c r="G1747" s="23"/>
      <c r="H1747" s="23"/>
      <c r="I1747" s="23"/>
      <c r="J1747" s="25"/>
      <c r="K1747" s="23"/>
      <c r="L1747" s="23"/>
      <c r="M1747" s="23"/>
      <c r="N1747" s="26"/>
      <c r="O1747" s="26"/>
      <c r="P1747" s="26"/>
      <c r="Q1747" s="26"/>
      <c r="R1747" s="26"/>
      <c r="S1747" s="26"/>
      <c r="T1747" s="26"/>
      <c r="U1747" s="26"/>
      <c r="V1747" s="26"/>
      <c r="W1747" s="27"/>
    </row>
    <row r="1748" spans="1:23" ht="15.75" customHeight="1" x14ac:dyDescent="0.25">
      <c r="A1748" s="23"/>
      <c r="B1748" s="23" t="str">
        <f t="shared" si="7"/>
        <v/>
      </c>
      <c r="C1748" s="23"/>
      <c r="D1748" s="44"/>
      <c r="E1748" s="23"/>
      <c r="F1748" s="45"/>
      <c r="G1748" s="23"/>
      <c r="H1748" s="23"/>
      <c r="I1748" s="23"/>
      <c r="J1748" s="25"/>
      <c r="K1748" s="23"/>
      <c r="L1748" s="23"/>
      <c r="M1748" s="23"/>
      <c r="N1748" s="26"/>
      <c r="O1748" s="26"/>
      <c r="P1748" s="26"/>
      <c r="Q1748" s="26"/>
      <c r="R1748" s="26"/>
      <c r="S1748" s="26"/>
      <c r="T1748" s="26"/>
      <c r="U1748" s="26"/>
      <c r="V1748" s="26"/>
      <c r="W1748" s="27"/>
    </row>
    <row r="1749" spans="1:23" ht="15.75" customHeight="1" x14ac:dyDescent="0.25">
      <c r="A1749" s="23"/>
      <c r="B1749" s="23" t="str">
        <f t="shared" si="7"/>
        <v/>
      </c>
      <c r="C1749" s="23"/>
      <c r="D1749" s="44"/>
      <c r="E1749" s="23"/>
      <c r="F1749" s="45"/>
      <c r="G1749" s="23"/>
      <c r="H1749" s="23"/>
      <c r="I1749" s="23"/>
      <c r="J1749" s="25"/>
      <c r="K1749" s="23"/>
      <c r="L1749" s="23"/>
      <c r="M1749" s="23"/>
      <c r="N1749" s="26"/>
      <c r="O1749" s="26"/>
      <c r="P1749" s="26"/>
      <c r="Q1749" s="26"/>
      <c r="R1749" s="26"/>
      <c r="S1749" s="26"/>
      <c r="T1749" s="26"/>
      <c r="U1749" s="26"/>
      <c r="V1749" s="26"/>
      <c r="W1749" s="27"/>
    </row>
    <row r="1750" spans="1:23" ht="15.75" customHeight="1" x14ac:dyDescent="0.25">
      <c r="A1750" s="23"/>
      <c r="B1750" s="23" t="str">
        <f t="shared" si="7"/>
        <v/>
      </c>
      <c r="C1750" s="23"/>
      <c r="D1750" s="44"/>
      <c r="E1750" s="23"/>
      <c r="F1750" s="45"/>
      <c r="G1750" s="23"/>
      <c r="H1750" s="23"/>
      <c r="I1750" s="23"/>
      <c r="J1750" s="25"/>
      <c r="K1750" s="23"/>
      <c r="L1750" s="23"/>
      <c r="M1750" s="23"/>
      <c r="N1750" s="26"/>
      <c r="O1750" s="26"/>
      <c r="P1750" s="26"/>
      <c r="Q1750" s="26"/>
      <c r="R1750" s="26"/>
      <c r="S1750" s="26"/>
      <c r="T1750" s="26"/>
      <c r="U1750" s="26"/>
      <c r="V1750" s="26"/>
      <c r="W1750" s="27"/>
    </row>
    <row r="1751" spans="1:23" ht="15.75" customHeight="1" x14ac:dyDescent="0.25">
      <c r="A1751" s="23"/>
      <c r="B1751" s="23" t="str">
        <f t="shared" si="7"/>
        <v/>
      </c>
      <c r="C1751" s="23"/>
      <c r="D1751" s="44"/>
      <c r="E1751" s="23"/>
      <c r="F1751" s="45"/>
      <c r="G1751" s="23"/>
      <c r="H1751" s="23"/>
      <c r="I1751" s="23"/>
      <c r="J1751" s="25"/>
      <c r="K1751" s="23"/>
      <c r="L1751" s="23"/>
      <c r="M1751" s="23"/>
      <c r="N1751" s="26"/>
      <c r="O1751" s="26"/>
      <c r="P1751" s="26"/>
      <c r="Q1751" s="26"/>
      <c r="R1751" s="26"/>
      <c r="S1751" s="26"/>
      <c r="T1751" s="26"/>
      <c r="U1751" s="26"/>
      <c r="V1751" s="26"/>
      <c r="W1751" s="27"/>
    </row>
    <row r="1752" spans="1:23" ht="15.75" customHeight="1" x14ac:dyDescent="0.25">
      <c r="A1752" s="23"/>
      <c r="B1752" s="23" t="str">
        <f t="shared" si="7"/>
        <v/>
      </c>
      <c r="C1752" s="23"/>
      <c r="D1752" s="44"/>
      <c r="E1752" s="23"/>
      <c r="F1752" s="45"/>
      <c r="G1752" s="23"/>
      <c r="H1752" s="23"/>
      <c r="I1752" s="23"/>
      <c r="J1752" s="25"/>
      <c r="K1752" s="23"/>
      <c r="L1752" s="23"/>
      <c r="M1752" s="23"/>
      <c r="N1752" s="26"/>
      <c r="O1752" s="26"/>
      <c r="P1752" s="26"/>
      <c r="Q1752" s="26"/>
      <c r="R1752" s="26"/>
      <c r="S1752" s="26"/>
      <c r="T1752" s="26"/>
      <c r="U1752" s="26"/>
      <c r="V1752" s="26"/>
      <c r="W1752" s="27"/>
    </row>
    <row r="1753" spans="1:23" ht="15.75" customHeight="1" x14ac:dyDescent="0.25">
      <c r="A1753" s="23"/>
      <c r="B1753" s="23" t="str">
        <f t="shared" si="7"/>
        <v/>
      </c>
      <c r="C1753" s="23"/>
      <c r="D1753" s="44"/>
      <c r="E1753" s="23"/>
      <c r="F1753" s="45"/>
      <c r="G1753" s="23"/>
      <c r="H1753" s="23"/>
      <c r="I1753" s="23"/>
      <c r="J1753" s="25"/>
      <c r="K1753" s="23"/>
      <c r="L1753" s="23"/>
      <c r="M1753" s="23"/>
      <c r="N1753" s="26"/>
      <c r="O1753" s="26"/>
      <c r="P1753" s="26"/>
      <c r="Q1753" s="26"/>
      <c r="R1753" s="26"/>
      <c r="S1753" s="26"/>
      <c r="T1753" s="26"/>
      <c r="U1753" s="26"/>
      <c r="V1753" s="26"/>
      <c r="W1753" s="27"/>
    </row>
    <row r="1754" spans="1:23" ht="15.75" customHeight="1" x14ac:dyDescent="0.25">
      <c r="A1754" s="23"/>
      <c r="B1754" s="23" t="str">
        <f t="shared" si="7"/>
        <v/>
      </c>
      <c r="C1754" s="23"/>
      <c r="D1754" s="44"/>
      <c r="E1754" s="23"/>
      <c r="F1754" s="45"/>
      <c r="G1754" s="23"/>
      <c r="H1754" s="23"/>
      <c r="I1754" s="23"/>
      <c r="J1754" s="25"/>
      <c r="K1754" s="23"/>
      <c r="L1754" s="23"/>
      <c r="M1754" s="23"/>
      <c r="N1754" s="26"/>
      <c r="O1754" s="26"/>
      <c r="P1754" s="26"/>
      <c r="Q1754" s="26"/>
      <c r="R1754" s="26"/>
      <c r="S1754" s="26"/>
      <c r="T1754" s="26"/>
      <c r="U1754" s="26"/>
      <c r="V1754" s="26"/>
      <c r="W1754" s="27"/>
    </row>
    <row r="1755" spans="1:23" ht="15.75" customHeight="1" x14ac:dyDescent="0.25">
      <c r="A1755" s="23"/>
      <c r="B1755" s="23" t="str">
        <f t="shared" si="7"/>
        <v/>
      </c>
      <c r="C1755" s="23"/>
      <c r="D1755" s="44"/>
      <c r="E1755" s="23"/>
      <c r="F1755" s="45"/>
      <c r="G1755" s="23"/>
      <c r="H1755" s="23"/>
      <c r="I1755" s="23"/>
      <c r="J1755" s="25"/>
      <c r="K1755" s="23"/>
      <c r="L1755" s="23"/>
      <c r="M1755" s="23"/>
      <c r="N1755" s="26"/>
      <c r="O1755" s="26"/>
      <c r="P1755" s="26"/>
      <c r="Q1755" s="26"/>
      <c r="R1755" s="26"/>
      <c r="S1755" s="26"/>
      <c r="T1755" s="26"/>
      <c r="U1755" s="26"/>
      <c r="V1755" s="26"/>
      <c r="W1755" s="27"/>
    </row>
    <row r="1756" spans="1:23" ht="15.75" customHeight="1" x14ac:dyDescent="0.25">
      <c r="A1756" s="23"/>
      <c r="B1756" s="23" t="str">
        <f t="shared" si="7"/>
        <v/>
      </c>
      <c r="C1756" s="23"/>
      <c r="D1756" s="44"/>
      <c r="E1756" s="23"/>
      <c r="F1756" s="45"/>
      <c r="G1756" s="23"/>
      <c r="H1756" s="23"/>
      <c r="I1756" s="23"/>
      <c r="J1756" s="25"/>
      <c r="K1756" s="23"/>
      <c r="L1756" s="23"/>
      <c r="M1756" s="23"/>
      <c r="N1756" s="26"/>
      <c r="O1756" s="26"/>
      <c r="P1756" s="26"/>
      <c r="Q1756" s="26"/>
      <c r="R1756" s="26"/>
      <c r="S1756" s="26"/>
      <c r="T1756" s="26"/>
      <c r="U1756" s="26"/>
      <c r="V1756" s="26"/>
      <c r="W1756" s="27"/>
    </row>
    <row r="1757" spans="1:23" ht="15.75" customHeight="1" x14ac:dyDescent="0.25">
      <c r="A1757" s="23"/>
      <c r="B1757" s="23" t="str">
        <f t="shared" si="7"/>
        <v/>
      </c>
      <c r="C1757" s="23"/>
      <c r="D1757" s="44"/>
      <c r="E1757" s="23"/>
      <c r="F1757" s="45"/>
      <c r="G1757" s="23"/>
      <c r="H1757" s="23"/>
      <c r="I1757" s="23"/>
      <c r="J1757" s="25"/>
      <c r="K1757" s="23"/>
      <c r="L1757" s="23"/>
      <c r="M1757" s="23"/>
      <c r="N1757" s="26"/>
      <c r="O1757" s="26"/>
      <c r="P1757" s="26"/>
      <c r="Q1757" s="26"/>
      <c r="R1757" s="26"/>
      <c r="S1757" s="26"/>
      <c r="T1757" s="26"/>
      <c r="U1757" s="26"/>
      <c r="V1757" s="26"/>
      <c r="W1757" s="27"/>
    </row>
    <row r="1758" spans="1:23" ht="15.75" customHeight="1" x14ac:dyDescent="0.25">
      <c r="A1758" s="23"/>
      <c r="B1758" s="23" t="str">
        <f t="shared" si="7"/>
        <v/>
      </c>
      <c r="C1758" s="23"/>
      <c r="D1758" s="44"/>
      <c r="E1758" s="23"/>
      <c r="F1758" s="45"/>
      <c r="G1758" s="23"/>
      <c r="H1758" s="23"/>
      <c r="I1758" s="23"/>
      <c r="J1758" s="25"/>
      <c r="K1758" s="23"/>
      <c r="L1758" s="23"/>
      <c r="M1758" s="23"/>
      <c r="N1758" s="26"/>
      <c r="O1758" s="26"/>
      <c r="P1758" s="26"/>
      <c r="Q1758" s="26"/>
      <c r="R1758" s="26"/>
      <c r="S1758" s="26"/>
      <c r="T1758" s="26"/>
      <c r="U1758" s="26"/>
      <c r="V1758" s="26"/>
      <c r="W1758" s="27"/>
    </row>
    <row r="1759" spans="1:23" ht="15.75" customHeight="1" x14ac:dyDescent="0.25">
      <c r="A1759" s="23"/>
      <c r="B1759" s="23" t="str">
        <f t="shared" si="7"/>
        <v/>
      </c>
      <c r="C1759" s="23"/>
      <c r="D1759" s="44"/>
      <c r="E1759" s="23"/>
      <c r="F1759" s="45"/>
      <c r="G1759" s="23"/>
      <c r="H1759" s="23"/>
      <c r="I1759" s="23"/>
      <c r="J1759" s="25"/>
      <c r="K1759" s="23"/>
      <c r="L1759" s="23"/>
      <c r="M1759" s="23"/>
      <c r="N1759" s="26"/>
      <c r="O1759" s="26"/>
      <c r="P1759" s="26"/>
      <c r="Q1759" s="26"/>
      <c r="R1759" s="26"/>
      <c r="S1759" s="26"/>
      <c r="T1759" s="26"/>
      <c r="U1759" s="26"/>
      <c r="V1759" s="26"/>
      <c r="W1759" s="27"/>
    </row>
    <row r="1760" spans="1:23" ht="15.75" customHeight="1" x14ac:dyDescent="0.25">
      <c r="A1760" s="23"/>
      <c r="B1760" s="23" t="str">
        <f t="shared" si="7"/>
        <v/>
      </c>
      <c r="C1760" s="23"/>
      <c r="D1760" s="44"/>
      <c r="E1760" s="23"/>
      <c r="F1760" s="45"/>
      <c r="G1760" s="23"/>
      <c r="H1760" s="23"/>
      <c r="I1760" s="23"/>
      <c r="J1760" s="25"/>
      <c r="K1760" s="23"/>
      <c r="L1760" s="23"/>
      <c r="M1760" s="23"/>
      <c r="N1760" s="26"/>
      <c r="O1760" s="26"/>
      <c r="P1760" s="26"/>
      <c r="Q1760" s="26"/>
      <c r="R1760" s="26"/>
      <c r="S1760" s="26"/>
      <c r="T1760" s="26"/>
      <c r="U1760" s="26"/>
      <c r="V1760" s="26"/>
      <c r="W1760" s="27"/>
    </row>
    <row r="1761" spans="1:23" ht="15.75" customHeight="1" x14ac:dyDescent="0.25">
      <c r="A1761" s="23"/>
      <c r="B1761" s="23" t="str">
        <f t="shared" si="7"/>
        <v/>
      </c>
      <c r="C1761" s="23"/>
      <c r="D1761" s="44"/>
      <c r="E1761" s="23"/>
      <c r="F1761" s="45"/>
      <c r="G1761" s="23"/>
      <c r="H1761" s="23"/>
      <c r="I1761" s="23"/>
      <c r="J1761" s="25"/>
      <c r="K1761" s="23"/>
      <c r="L1761" s="23"/>
      <c r="M1761" s="23"/>
      <c r="N1761" s="26"/>
      <c r="O1761" s="26"/>
      <c r="P1761" s="26"/>
      <c r="Q1761" s="26"/>
      <c r="R1761" s="26"/>
      <c r="S1761" s="26"/>
      <c r="T1761" s="26"/>
      <c r="U1761" s="26"/>
      <c r="V1761" s="26"/>
      <c r="W1761" s="27"/>
    </row>
    <row r="1762" spans="1:23" ht="15.75" customHeight="1" x14ac:dyDescent="0.25">
      <c r="A1762" s="23"/>
      <c r="B1762" s="23" t="str">
        <f t="shared" si="7"/>
        <v/>
      </c>
      <c r="C1762" s="23"/>
      <c r="D1762" s="44"/>
      <c r="E1762" s="23"/>
      <c r="F1762" s="45"/>
      <c r="G1762" s="23"/>
      <c r="H1762" s="23"/>
      <c r="I1762" s="23"/>
      <c r="J1762" s="25"/>
      <c r="K1762" s="23"/>
      <c r="L1762" s="23"/>
      <c r="M1762" s="23"/>
      <c r="N1762" s="26"/>
      <c r="O1762" s="26"/>
      <c r="P1762" s="26"/>
      <c r="Q1762" s="26"/>
      <c r="R1762" s="26"/>
      <c r="S1762" s="26"/>
      <c r="T1762" s="26"/>
      <c r="U1762" s="26"/>
      <c r="V1762" s="26"/>
      <c r="W1762" s="27"/>
    </row>
    <row r="1763" spans="1:23" ht="15.75" customHeight="1" x14ac:dyDescent="0.25">
      <c r="A1763" s="23"/>
      <c r="B1763" s="23" t="str">
        <f t="shared" si="7"/>
        <v/>
      </c>
      <c r="C1763" s="23"/>
      <c r="D1763" s="44"/>
      <c r="E1763" s="23"/>
      <c r="F1763" s="45"/>
      <c r="G1763" s="23"/>
      <c r="H1763" s="23"/>
      <c r="I1763" s="23"/>
      <c r="J1763" s="25"/>
      <c r="K1763" s="23"/>
      <c r="L1763" s="23"/>
      <c r="M1763" s="23"/>
      <c r="N1763" s="26"/>
      <c r="O1763" s="26"/>
      <c r="P1763" s="26"/>
      <c r="Q1763" s="26"/>
      <c r="R1763" s="26"/>
      <c r="S1763" s="26"/>
      <c r="T1763" s="26"/>
      <c r="U1763" s="26"/>
      <c r="V1763" s="26"/>
      <c r="W1763" s="27"/>
    </row>
    <row r="1764" spans="1:23" ht="15.75" customHeight="1" x14ac:dyDescent="0.25">
      <c r="A1764" s="23"/>
      <c r="B1764" s="23" t="str">
        <f t="shared" si="7"/>
        <v/>
      </c>
      <c r="C1764" s="23"/>
      <c r="D1764" s="44"/>
      <c r="E1764" s="23"/>
      <c r="F1764" s="45"/>
      <c r="G1764" s="23"/>
      <c r="H1764" s="23"/>
      <c r="I1764" s="23"/>
      <c r="J1764" s="25"/>
      <c r="K1764" s="23"/>
      <c r="L1764" s="23"/>
      <c r="M1764" s="23"/>
      <c r="N1764" s="26"/>
      <c r="O1764" s="26"/>
      <c r="P1764" s="26"/>
      <c r="Q1764" s="26"/>
      <c r="R1764" s="26"/>
      <c r="S1764" s="26"/>
      <c r="T1764" s="26"/>
      <c r="U1764" s="26"/>
      <c r="V1764" s="26"/>
      <c r="W1764" s="27"/>
    </row>
    <row r="1765" spans="1:23" ht="15.75" customHeight="1" x14ac:dyDescent="0.25">
      <c r="A1765" s="23"/>
      <c r="B1765" s="23" t="str">
        <f t="shared" si="7"/>
        <v/>
      </c>
      <c r="C1765" s="23"/>
      <c r="D1765" s="44"/>
      <c r="E1765" s="23"/>
      <c r="F1765" s="45"/>
      <c r="G1765" s="23"/>
      <c r="H1765" s="23"/>
      <c r="I1765" s="23"/>
      <c r="J1765" s="25"/>
      <c r="K1765" s="23"/>
      <c r="L1765" s="23"/>
      <c r="M1765" s="23"/>
      <c r="N1765" s="26"/>
      <c r="O1765" s="26"/>
      <c r="P1765" s="26"/>
      <c r="Q1765" s="26"/>
      <c r="R1765" s="26"/>
      <c r="S1765" s="26"/>
      <c r="T1765" s="26"/>
      <c r="U1765" s="26"/>
      <c r="V1765" s="26"/>
      <c r="W1765" s="27"/>
    </row>
    <row r="1766" spans="1:23" ht="15.75" customHeight="1" x14ac:dyDescent="0.25">
      <c r="A1766" s="23"/>
      <c r="B1766" s="23" t="str">
        <f t="shared" si="7"/>
        <v/>
      </c>
      <c r="C1766" s="23"/>
      <c r="D1766" s="44"/>
      <c r="E1766" s="23"/>
      <c r="F1766" s="45"/>
      <c r="G1766" s="23"/>
      <c r="H1766" s="23"/>
      <c r="I1766" s="23"/>
      <c r="J1766" s="25"/>
      <c r="K1766" s="23"/>
      <c r="L1766" s="23"/>
      <c r="M1766" s="23"/>
      <c r="N1766" s="26"/>
      <c r="O1766" s="26"/>
      <c r="P1766" s="26"/>
      <c r="Q1766" s="26"/>
      <c r="R1766" s="26"/>
      <c r="S1766" s="26"/>
      <c r="T1766" s="26"/>
      <c r="U1766" s="26"/>
      <c r="V1766" s="26"/>
      <c r="W1766" s="27"/>
    </row>
    <row r="1767" spans="1:23" ht="15.75" customHeight="1" x14ac:dyDescent="0.25">
      <c r="A1767" s="23"/>
      <c r="B1767" s="23" t="str">
        <f t="shared" si="7"/>
        <v/>
      </c>
      <c r="C1767" s="23"/>
      <c r="D1767" s="44"/>
      <c r="E1767" s="23"/>
      <c r="F1767" s="45"/>
      <c r="G1767" s="23"/>
      <c r="H1767" s="23"/>
      <c r="I1767" s="23"/>
      <c r="J1767" s="25"/>
      <c r="K1767" s="23"/>
      <c r="L1767" s="23"/>
      <c r="M1767" s="23"/>
      <c r="N1767" s="26"/>
      <c r="O1767" s="26"/>
      <c r="P1767" s="26"/>
      <c r="Q1767" s="26"/>
      <c r="R1767" s="26"/>
      <c r="S1767" s="26"/>
      <c r="T1767" s="26"/>
      <c r="U1767" s="26"/>
      <c r="V1767" s="26"/>
      <c r="W1767" s="27"/>
    </row>
    <row r="1768" spans="1:23" ht="15.75" customHeight="1" x14ac:dyDescent="0.25">
      <c r="A1768" s="23"/>
      <c r="B1768" s="23" t="str">
        <f t="shared" si="7"/>
        <v/>
      </c>
      <c r="C1768" s="23"/>
      <c r="D1768" s="44"/>
      <c r="E1768" s="23"/>
      <c r="F1768" s="45"/>
      <c r="G1768" s="23"/>
      <c r="H1768" s="23"/>
      <c r="I1768" s="23"/>
      <c r="J1768" s="25"/>
      <c r="K1768" s="23"/>
      <c r="L1768" s="23"/>
      <c r="M1768" s="23"/>
      <c r="N1768" s="26"/>
      <c r="O1768" s="26"/>
      <c r="P1768" s="26"/>
      <c r="Q1768" s="26"/>
      <c r="R1768" s="26"/>
      <c r="S1768" s="26"/>
      <c r="T1768" s="26"/>
      <c r="U1768" s="26"/>
      <c r="V1768" s="26"/>
      <c r="W1768" s="27"/>
    </row>
    <row r="1769" spans="1:23" ht="15.75" customHeight="1" x14ac:dyDescent="0.25">
      <c r="A1769" s="23"/>
      <c r="B1769" s="23" t="str">
        <f t="shared" si="7"/>
        <v/>
      </c>
      <c r="C1769" s="23"/>
      <c r="D1769" s="44"/>
      <c r="E1769" s="23"/>
      <c r="F1769" s="45"/>
      <c r="G1769" s="23"/>
      <c r="H1769" s="23"/>
      <c r="I1769" s="23"/>
      <c r="J1769" s="25"/>
      <c r="K1769" s="23"/>
      <c r="L1769" s="23"/>
      <c r="M1769" s="23"/>
      <c r="N1769" s="26"/>
      <c r="O1769" s="26"/>
      <c r="P1769" s="26"/>
      <c r="Q1769" s="26"/>
      <c r="R1769" s="26"/>
      <c r="S1769" s="26"/>
      <c r="T1769" s="26"/>
      <c r="U1769" s="26"/>
      <c r="V1769" s="26"/>
      <c r="W1769" s="27"/>
    </row>
    <row r="1770" spans="1:23" ht="15.75" customHeight="1" x14ac:dyDescent="0.25">
      <c r="A1770" s="23"/>
      <c r="B1770" s="23" t="str">
        <f t="shared" si="7"/>
        <v/>
      </c>
      <c r="C1770" s="23"/>
      <c r="D1770" s="44"/>
      <c r="E1770" s="23"/>
      <c r="F1770" s="45"/>
      <c r="G1770" s="23"/>
      <c r="H1770" s="23"/>
      <c r="I1770" s="23"/>
      <c r="J1770" s="25"/>
      <c r="K1770" s="23"/>
      <c r="L1770" s="23"/>
      <c r="M1770" s="23"/>
      <c r="N1770" s="26"/>
      <c r="O1770" s="26"/>
      <c r="P1770" s="26"/>
      <c r="Q1770" s="26"/>
      <c r="R1770" s="26"/>
      <c r="S1770" s="26"/>
      <c r="T1770" s="26"/>
      <c r="U1770" s="26"/>
      <c r="V1770" s="26"/>
      <c r="W1770" s="27"/>
    </row>
    <row r="1771" spans="1:23" ht="15.75" customHeight="1" x14ac:dyDescent="0.25">
      <c r="A1771" s="23"/>
      <c r="B1771" s="23" t="str">
        <f t="shared" si="7"/>
        <v/>
      </c>
      <c r="C1771" s="23"/>
      <c r="D1771" s="44"/>
      <c r="E1771" s="23"/>
      <c r="F1771" s="45"/>
      <c r="G1771" s="23"/>
      <c r="H1771" s="23"/>
      <c r="I1771" s="23"/>
      <c r="J1771" s="25"/>
      <c r="K1771" s="23"/>
      <c r="L1771" s="23"/>
      <c r="M1771" s="23"/>
      <c r="N1771" s="26"/>
      <c r="O1771" s="26"/>
      <c r="P1771" s="26"/>
      <c r="Q1771" s="26"/>
      <c r="R1771" s="26"/>
      <c r="S1771" s="26"/>
      <c r="T1771" s="26"/>
      <c r="U1771" s="26"/>
      <c r="V1771" s="26"/>
      <c r="W1771" s="27"/>
    </row>
    <row r="1772" spans="1:23" ht="15.75" customHeight="1" x14ac:dyDescent="0.25">
      <c r="A1772" s="23"/>
      <c r="B1772" s="23" t="str">
        <f t="shared" si="7"/>
        <v/>
      </c>
      <c r="C1772" s="23"/>
      <c r="D1772" s="44"/>
      <c r="E1772" s="23"/>
      <c r="F1772" s="45"/>
      <c r="G1772" s="23"/>
      <c r="H1772" s="23"/>
      <c r="I1772" s="23"/>
      <c r="J1772" s="25"/>
      <c r="K1772" s="23"/>
      <c r="L1772" s="23"/>
      <c r="M1772" s="23"/>
      <c r="N1772" s="26"/>
      <c r="O1772" s="26"/>
      <c r="P1772" s="26"/>
      <c r="Q1772" s="26"/>
      <c r="R1772" s="26"/>
      <c r="S1772" s="26"/>
      <c r="T1772" s="26"/>
      <c r="U1772" s="26"/>
      <c r="V1772" s="26"/>
      <c r="W1772" s="27"/>
    </row>
    <row r="1773" spans="1:23" ht="15.75" customHeight="1" x14ac:dyDescent="0.25">
      <c r="A1773" s="23"/>
      <c r="B1773" s="23" t="str">
        <f t="shared" si="7"/>
        <v/>
      </c>
      <c r="C1773" s="23"/>
      <c r="D1773" s="44"/>
      <c r="E1773" s="23"/>
      <c r="F1773" s="45"/>
      <c r="G1773" s="23"/>
      <c r="H1773" s="23"/>
      <c r="I1773" s="23"/>
      <c r="J1773" s="25"/>
      <c r="K1773" s="23"/>
      <c r="L1773" s="23"/>
      <c r="M1773" s="23"/>
      <c r="N1773" s="26"/>
      <c r="O1773" s="26"/>
      <c r="P1773" s="26"/>
      <c r="Q1773" s="26"/>
      <c r="R1773" s="26"/>
      <c r="S1773" s="26"/>
      <c r="T1773" s="26"/>
      <c r="U1773" s="26"/>
      <c r="V1773" s="26"/>
      <c r="W1773" s="27"/>
    </row>
    <row r="1774" spans="1:23" ht="15.75" customHeight="1" x14ac:dyDescent="0.25">
      <c r="A1774" s="23"/>
      <c r="B1774" s="23" t="str">
        <f t="shared" si="7"/>
        <v/>
      </c>
      <c r="C1774" s="23"/>
      <c r="D1774" s="44"/>
      <c r="E1774" s="23"/>
      <c r="F1774" s="45"/>
      <c r="G1774" s="23"/>
      <c r="H1774" s="23"/>
      <c r="I1774" s="23"/>
      <c r="J1774" s="25"/>
      <c r="K1774" s="23"/>
      <c r="L1774" s="23"/>
      <c r="M1774" s="23"/>
      <c r="N1774" s="26"/>
      <c r="O1774" s="26"/>
      <c r="P1774" s="26"/>
      <c r="Q1774" s="26"/>
      <c r="R1774" s="26"/>
      <c r="S1774" s="26"/>
      <c r="T1774" s="26"/>
      <c r="U1774" s="26"/>
      <c r="V1774" s="26"/>
      <c r="W1774" s="27"/>
    </row>
    <row r="1775" spans="1:23" ht="15.75" customHeight="1" x14ac:dyDescent="0.25">
      <c r="A1775" s="23"/>
      <c r="B1775" s="23" t="str">
        <f t="shared" si="7"/>
        <v/>
      </c>
      <c r="C1775" s="23"/>
      <c r="D1775" s="44"/>
      <c r="E1775" s="23"/>
      <c r="F1775" s="45"/>
      <c r="G1775" s="23"/>
      <c r="H1775" s="23"/>
      <c r="I1775" s="23"/>
      <c r="J1775" s="25"/>
      <c r="K1775" s="23"/>
      <c r="L1775" s="23"/>
      <c r="M1775" s="23"/>
      <c r="N1775" s="26"/>
      <c r="O1775" s="26"/>
      <c r="P1775" s="26"/>
      <c r="Q1775" s="26"/>
      <c r="R1775" s="26"/>
      <c r="S1775" s="26"/>
      <c r="T1775" s="26"/>
      <c r="U1775" s="26"/>
      <c r="V1775" s="26"/>
      <c r="W1775" s="27"/>
    </row>
    <row r="1776" spans="1:23" ht="15.75" customHeight="1" x14ac:dyDescent="0.25">
      <c r="A1776" s="23"/>
      <c r="B1776" s="23" t="str">
        <f t="shared" si="7"/>
        <v/>
      </c>
      <c r="C1776" s="23"/>
      <c r="D1776" s="44"/>
      <c r="E1776" s="23"/>
      <c r="F1776" s="45"/>
      <c r="G1776" s="23"/>
      <c r="H1776" s="23"/>
      <c r="I1776" s="23"/>
      <c r="J1776" s="25"/>
      <c r="K1776" s="23"/>
      <c r="L1776" s="23"/>
      <c r="M1776" s="23"/>
      <c r="N1776" s="26"/>
      <c r="O1776" s="26"/>
      <c r="P1776" s="26"/>
      <c r="Q1776" s="26"/>
      <c r="R1776" s="26"/>
      <c r="S1776" s="26"/>
      <c r="T1776" s="26"/>
      <c r="U1776" s="26"/>
      <c r="V1776" s="26"/>
      <c r="W1776" s="27"/>
    </row>
    <row r="1777" spans="1:23" ht="15.75" customHeight="1" x14ac:dyDescent="0.25">
      <c r="A1777" s="23"/>
      <c r="B1777" s="23" t="str">
        <f t="shared" si="7"/>
        <v/>
      </c>
      <c r="C1777" s="23"/>
      <c r="D1777" s="44"/>
      <c r="E1777" s="23"/>
      <c r="F1777" s="45"/>
      <c r="G1777" s="23"/>
      <c r="H1777" s="23"/>
      <c r="I1777" s="23"/>
      <c r="J1777" s="25"/>
      <c r="K1777" s="23"/>
      <c r="L1777" s="23"/>
      <c r="M1777" s="23"/>
      <c r="N1777" s="26"/>
      <c r="O1777" s="26"/>
      <c r="P1777" s="26"/>
      <c r="Q1777" s="26"/>
      <c r="R1777" s="26"/>
      <c r="S1777" s="26"/>
      <c r="T1777" s="26"/>
      <c r="U1777" s="26"/>
      <c r="V1777" s="26"/>
      <c r="W1777" s="27"/>
    </row>
    <row r="1778" spans="1:23" ht="15.75" customHeight="1" x14ac:dyDescent="0.25">
      <c r="A1778" s="23"/>
      <c r="B1778" s="23" t="str">
        <f t="shared" si="7"/>
        <v/>
      </c>
      <c r="C1778" s="23"/>
      <c r="D1778" s="44"/>
      <c r="E1778" s="23"/>
      <c r="F1778" s="45"/>
      <c r="G1778" s="23"/>
      <c r="H1778" s="23"/>
      <c r="I1778" s="23"/>
      <c r="J1778" s="25"/>
      <c r="K1778" s="23"/>
      <c r="L1778" s="23"/>
      <c r="M1778" s="23"/>
      <c r="N1778" s="26"/>
      <c r="O1778" s="26"/>
      <c r="P1778" s="26"/>
      <c r="Q1778" s="26"/>
      <c r="R1778" s="26"/>
      <c r="S1778" s="26"/>
      <c r="T1778" s="26"/>
      <c r="U1778" s="26"/>
      <c r="V1778" s="26"/>
      <c r="W1778" s="27"/>
    </row>
    <row r="1779" spans="1:23" ht="15.75" customHeight="1" x14ac:dyDescent="0.25">
      <c r="A1779" s="23"/>
      <c r="B1779" s="23" t="str">
        <f t="shared" si="7"/>
        <v/>
      </c>
      <c r="C1779" s="23"/>
      <c r="D1779" s="44"/>
      <c r="E1779" s="23"/>
      <c r="F1779" s="45"/>
      <c r="G1779" s="23"/>
      <c r="H1779" s="23"/>
      <c r="I1779" s="23"/>
      <c r="J1779" s="25"/>
      <c r="K1779" s="23"/>
      <c r="L1779" s="23"/>
      <c r="M1779" s="23"/>
      <c r="N1779" s="26"/>
      <c r="O1779" s="26"/>
      <c r="P1779" s="26"/>
      <c r="Q1779" s="26"/>
      <c r="R1779" s="26"/>
      <c r="S1779" s="26"/>
      <c r="T1779" s="26"/>
      <c r="U1779" s="26"/>
      <c r="V1779" s="26"/>
      <c r="W1779" s="27"/>
    </row>
    <row r="1780" spans="1:23" ht="15.75" customHeight="1" x14ac:dyDescent="0.25">
      <c r="A1780" s="23"/>
      <c r="B1780" s="23" t="str">
        <f t="shared" si="7"/>
        <v/>
      </c>
      <c r="C1780" s="23"/>
      <c r="D1780" s="44"/>
      <c r="E1780" s="23"/>
      <c r="F1780" s="45"/>
      <c r="G1780" s="23"/>
      <c r="H1780" s="23"/>
      <c r="I1780" s="23"/>
      <c r="J1780" s="25"/>
      <c r="K1780" s="23"/>
      <c r="L1780" s="23"/>
      <c r="M1780" s="23"/>
      <c r="N1780" s="26"/>
      <c r="O1780" s="26"/>
      <c r="P1780" s="26"/>
      <c r="Q1780" s="26"/>
      <c r="R1780" s="26"/>
      <c r="S1780" s="26"/>
      <c r="T1780" s="26"/>
      <c r="U1780" s="26"/>
      <c r="V1780" s="26"/>
      <c r="W1780" s="27"/>
    </row>
    <row r="1781" spans="1:23" ht="15.75" customHeight="1" x14ac:dyDescent="0.25">
      <c r="A1781" s="23"/>
      <c r="B1781" s="23" t="str">
        <f t="shared" si="7"/>
        <v/>
      </c>
      <c r="C1781" s="23"/>
      <c r="D1781" s="44"/>
      <c r="E1781" s="23"/>
      <c r="F1781" s="45"/>
      <c r="G1781" s="23"/>
      <c r="H1781" s="23"/>
      <c r="I1781" s="23"/>
      <c r="J1781" s="25"/>
      <c r="K1781" s="23"/>
      <c r="L1781" s="23"/>
      <c r="M1781" s="23"/>
      <c r="N1781" s="26"/>
      <c r="O1781" s="26"/>
      <c r="P1781" s="26"/>
      <c r="Q1781" s="26"/>
      <c r="R1781" s="26"/>
      <c r="S1781" s="26"/>
      <c r="T1781" s="26"/>
      <c r="U1781" s="26"/>
      <c r="V1781" s="26"/>
      <c r="W1781" s="27"/>
    </row>
    <row r="1782" spans="1:23" ht="15.75" customHeight="1" x14ac:dyDescent="0.25">
      <c r="A1782" s="23"/>
      <c r="B1782" s="23" t="str">
        <f t="shared" si="7"/>
        <v/>
      </c>
      <c r="C1782" s="23"/>
      <c r="D1782" s="44"/>
      <c r="E1782" s="23"/>
      <c r="F1782" s="45"/>
      <c r="G1782" s="23"/>
      <c r="H1782" s="23"/>
      <c r="I1782" s="23"/>
      <c r="J1782" s="25"/>
      <c r="K1782" s="23"/>
      <c r="L1782" s="23"/>
      <c r="M1782" s="23"/>
      <c r="N1782" s="26"/>
      <c r="O1782" s="26"/>
      <c r="P1782" s="26"/>
      <c r="Q1782" s="26"/>
      <c r="R1782" s="26"/>
      <c r="S1782" s="26"/>
      <c r="T1782" s="26"/>
      <c r="U1782" s="26"/>
      <c r="V1782" s="26"/>
      <c r="W1782" s="27"/>
    </row>
    <row r="1783" spans="1:23" ht="15.75" customHeight="1" x14ac:dyDescent="0.25">
      <c r="A1783" s="23"/>
      <c r="B1783" s="23" t="str">
        <f t="shared" si="7"/>
        <v/>
      </c>
      <c r="C1783" s="23"/>
      <c r="D1783" s="44"/>
      <c r="E1783" s="23"/>
      <c r="F1783" s="45"/>
      <c r="G1783" s="23"/>
      <c r="H1783" s="23"/>
      <c r="I1783" s="23"/>
      <c r="J1783" s="25"/>
      <c r="K1783" s="23"/>
      <c r="L1783" s="23"/>
      <c r="M1783" s="23"/>
      <c r="N1783" s="26"/>
      <c r="O1783" s="26"/>
      <c r="P1783" s="26"/>
      <c r="Q1783" s="26"/>
      <c r="R1783" s="26"/>
      <c r="S1783" s="26"/>
      <c r="T1783" s="26"/>
      <c r="U1783" s="26"/>
      <c r="V1783" s="26"/>
      <c r="W1783" s="27"/>
    </row>
    <row r="1784" spans="1:23" ht="15.75" customHeight="1" x14ac:dyDescent="0.25">
      <c r="A1784" s="23"/>
      <c r="B1784" s="23" t="str">
        <f t="shared" si="7"/>
        <v/>
      </c>
      <c r="C1784" s="23"/>
      <c r="D1784" s="44"/>
      <c r="E1784" s="23"/>
      <c r="F1784" s="45"/>
      <c r="G1784" s="23"/>
      <c r="H1784" s="23"/>
      <c r="I1784" s="23"/>
      <c r="J1784" s="25"/>
      <c r="K1784" s="23"/>
      <c r="L1784" s="23"/>
      <c r="M1784" s="23"/>
      <c r="N1784" s="26"/>
      <c r="O1784" s="26"/>
      <c r="P1784" s="26"/>
      <c r="Q1784" s="26"/>
      <c r="R1784" s="26"/>
      <c r="S1784" s="26"/>
      <c r="T1784" s="26"/>
      <c r="U1784" s="26"/>
      <c r="V1784" s="26"/>
      <c r="W1784" s="27"/>
    </row>
    <row r="1785" spans="1:23" ht="15.75" customHeight="1" x14ac:dyDescent="0.25">
      <c r="A1785" s="23"/>
      <c r="B1785" s="23" t="str">
        <f t="shared" si="7"/>
        <v/>
      </c>
      <c r="C1785" s="23"/>
      <c r="D1785" s="44"/>
      <c r="E1785" s="23"/>
      <c r="F1785" s="45"/>
      <c r="G1785" s="23"/>
      <c r="H1785" s="23"/>
      <c r="I1785" s="23"/>
      <c r="J1785" s="25"/>
      <c r="K1785" s="23"/>
      <c r="L1785" s="23"/>
      <c r="M1785" s="23"/>
      <c r="N1785" s="26"/>
      <c r="O1785" s="26"/>
      <c r="P1785" s="26"/>
      <c r="Q1785" s="26"/>
      <c r="R1785" s="26"/>
      <c r="S1785" s="26"/>
      <c r="T1785" s="26"/>
      <c r="U1785" s="26"/>
      <c r="V1785" s="26"/>
      <c r="W1785" s="27"/>
    </row>
    <row r="1786" spans="1:23" ht="15.75" customHeight="1" x14ac:dyDescent="0.25">
      <c r="A1786" s="23"/>
      <c r="B1786" s="23" t="str">
        <f t="shared" si="7"/>
        <v/>
      </c>
      <c r="C1786" s="23"/>
      <c r="D1786" s="44"/>
      <c r="E1786" s="23"/>
      <c r="F1786" s="45"/>
      <c r="G1786" s="23"/>
      <c r="H1786" s="23"/>
      <c r="I1786" s="23"/>
      <c r="J1786" s="25"/>
      <c r="K1786" s="23"/>
      <c r="L1786" s="23"/>
      <c r="M1786" s="23"/>
      <c r="N1786" s="26"/>
      <c r="O1786" s="26"/>
      <c r="P1786" s="26"/>
      <c r="Q1786" s="26"/>
      <c r="R1786" s="26"/>
      <c r="S1786" s="26"/>
      <c r="T1786" s="26"/>
      <c r="U1786" s="26"/>
      <c r="V1786" s="26"/>
      <c r="W1786" s="27"/>
    </row>
    <row r="1787" spans="1:23" ht="15.75" customHeight="1" x14ac:dyDescent="0.25">
      <c r="A1787" s="23"/>
      <c r="B1787" s="23" t="str">
        <f t="shared" si="7"/>
        <v/>
      </c>
      <c r="C1787" s="23"/>
      <c r="D1787" s="44"/>
      <c r="E1787" s="23"/>
      <c r="F1787" s="45"/>
      <c r="G1787" s="23"/>
      <c r="H1787" s="23"/>
      <c r="I1787" s="23"/>
      <c r="J1787" s="25"/>
      <c r="K1787" s="23"/>
      <c r="L1787" s="23"/>
      <c r="M1787" s="23"/>
      <c r="N1787" s="26"/>
      <c r="O1787" s="26"/>
      <c r="P1787" s="26"/>
      <c r="Q1787" s="26"/>
      <c r="R1787" s="26"/>
      <c r="S1787" s="26"/>
      <c r="T1787" s="26"/>
      <c r="U1787" s="26"/>
      <c r="V1787" s="26"/>
      <c r="W1787" s="27"/>
    </row>
    <row r="1788" spans="1:23" ht="15.75" customHeight="1" x14ac:dyDescent="0.25">
      <c r="A1788" s="23"/>
      <c r="B1788" s="23" t="str">
        <f t="shared" si="7"/>
        <v/>
      </c>
      <c r="C1788" s="23"/>
      <c r="D1788" s="44"/>
      <c r="E1788" s="23"/>
      <c r="F1788" s="45"/>
      <c r="G1788" s="23"/>
      <c r="H1788" s="23"/>
      <c r="I1788" s="23"/>
      <c r="J1788" s="25"/>
      <c r="K1788" s="23"/>
      <c r="L1788" s="23"/>
      <c r="M1788" s="23"/>
      <c r="N1788" s="26"/>
      <c r="O1788" s="26"/>
      <c r="P1788" s="26"/>
      <c r="Q1788" s="26"/>
      <c r="R1788" s="26"/>
      <c r="S1788" s="26"/>
      <c r="T1788" s="26"/>
      <c r="U1788" s="26"/>
      <c r="V1788" s="26"/>
      <c r="W1788" s="27"/>
    </row>
    <row r="1789" spans="1:23" ht="15.75" customHeight="1" x14ac:dyDescent="0.25">
      <c r="A1789" s="23"/>
      <c r="B1789" s="23" t="str">
        <f t="shared" si="7"/>
        <v/>
      </c>
      <c r="C1789" s="23"/>
      <c r="D1789" s="44"/>
      <c r="E1789" s="23"/>
      <c r="F1789" s="45"/>
      <c r="G1789" s="23"/>
      <c r="H1789" s="23"/>
      <c r="I1789" s="23"/>
      <c r="J1789" s="25"/>
      <c r="K1789" s="23"/>
      <c r="L1789" s="23"/>
      <c r="M1789" s="23"/>
      <c r="N1789" s="26"/>
      <c r="O1789" s="26"/>
      <c r="P1789" s="26"/>
      <c r="Q1789" s="26"/>
      <c r="R1789" s="26"/>
      <c r="S1789" s="26"/>
      <c r="T1789" s="26"/>
      <c r="U1789" s="26"/>
      <c r="V1789" s="26"/>
      <c r="W1789" s="27"/>
    </row>
    <row r="1790" spans="1:23" ht="15.75" customHeight="1" x14ac:dyDescent="0.25">
      <c r="A1790" s="23"/>
      <c r="B1790" s="23" t="str">
        <f t="shared" si="7"/>
        <v/>
      </c>
      <c r="C1790" s="23"/>
      <c r="D1790" s="44"/>
      <c r="E1790" s="23"/>
      <c r="F1790" s="45"/>
      <c r="G1790" s="23"/>
      <c r="H1790" s="23"/>
      <c r="I1790" s="23"/>
      <c r="J1790" s="25"/>
      <c r="K1790" s="23"/>
      <c r="L1790" s="23"/>
      <c r="M1790" s="23"/>
      <c r="N1790" s="26"/>
      <c r="O1790" s="26"/>
      <c r="P1790" s="26"/>
      <c r="Q1790" s="26"/>
      <c r="R1790" s="26"/>
      <c r="S1790" s="26"/>
      <c r="T1790" s="26"/>
      <c r="U1790" s="26"/>
      <c r="V1790" s="26"/>
      <c r="W1790" s="27"/>
    </row>
    <row r="1791" spans="1:23" ht="15.75" customHeight="1" x14ac:dyDescent="0.25">
      <c r="A1791" s="23"/>
      <c r="B1791" s="23" t="str">
        <f t="shared" si="7"/>
        <v/>
      </c>
      <c r="C1791" s="23"/>
      <c r="D1791" s="44"/>
      <c r="E1791" s="23"/>
      <c r="F1791" s="45"/>
      <c r="G1791" s="23"/>
      <c r="H1791" s="23"/>
      <c r="I1791" s="23"/>
      <c r="J1791" s="25"/>
      <c r="K1791" s="23"/>
      <c r="L1791" s="23"/>
      <c r="M1791" s="23"/>
      <c r="N1791" s="26"/>
      <c r="O1791" s="26"/>
      <c r="P1791" s="26"/>
      <c r="Q1791" s="26"/>
      <c r="R1791" s="26"/>
      <c r="S1791" s="26"/>
      <c r="T1791" s="26"/>
      <c r="U1791" s="26"/>
      <c r="V1791" s="26"/>
      <c r="W1791" s="27"/>
    </row>
    <row r="1792" spans="1:23" ht="15.75" customHeight="1" x14ac:dyDescent="0.25">
      <c r="A1792" s="23"/>
      <c r="B1792" s="23" t="str">
        <f t="shared" si="7"/>
        <v/>
      </c>
      <c r="C1792" s="23"/>
      <c r="D1792" s="44"/>
      <c r="E1792" s="23"/>
      <c r="F1792" s="45"/>
      <c r="G1792" s="23"/>
      <c r="H1792" s="23"/>
      <c r="I1792" s="23"/>
      <c r="J1792" s="25"/>
      <c r="K1792" s="23"/>
      <c r="L1792" s="23"/>
      <c r="M1792" s="23"/>
      <c r="N1792" s="26"/>
      <c r="O1792" s="26"/>
      <c r="P1792" s="26"/>
      <c r="Q1792" s="26"/>
      <c r="R1792" s="26"/>
      <c r="S1792" s="26"/>
      <c r="T1792" s="26"/>
      <c r="U1792" s="26"/>
      <c r="V1792" s="26"/>
      <c r="W1792" s="27"/>
    </row>
    <row r="1793" spans="1:23" ht="15.75" customHeight="1" x14ac:dyDescent="0.25">
      <c r="A1793" s="23"/>
      <c r="B1793" s="23" t="str">
        <f t="shared" si="7"/>
        <v/>
      </c>
      <c r="C1793" s="23"/>
      <c r="D1793" s="44"/>
      <c r="E1793" s="23"/>
      <c r="F1793" s="45"/>
      <c r="G1793" s="23"/>
      <c r="H1793" s="23"/>
      <c r="I1793" s="23"/>
      <c r="J1793" s="25"/>
      <c r="K1793" s="23"/>
      <c r="L1793" s="23"/>
      <c r="M1793" s="23"/>
      <c r="N1793" s="26"/>
      <c r="O1793" s="26"/>
      <c r="P1793" s="26"/>
      <c r="Q1793" s="26"/>
      <c r="R1793" s="26"/>
      <c r="S1793" s="26"/>
      <c r="T1793" s="26"/>
      <c r="U1793" s="26"/>
      <c r="V1793" s="26"/>
      <c r="W1793" s="27"/>
    </row>
    <row r="1794" spans="1:23" ht="15.75" customHeight="1" x14ac:dyDescent="0.25">
      <c r="A1794" s="23"/>
      <c r="B1794" s="23" t="str">
        <f t="shared" si="7"/>
        <v/>
      </c>
      <c r="C1794" s="23"/>
      <c r="D1794" s="44"/>
      <c r="E1794" s="23"/>
      <c r="F1794" s="45"/>
      <c r="G1794" s="23"/>
      <c r="H1794" s="23"/>
      <c r="I1794" s="23"/>
      <c r="J1794" s="25"/>
      <c r="K1794" s="23"/>
      <c r="L1794" s="23"/>
      <c r="M1794" s="23"/>
      <c r="N1794" s="26"/>
      <c r="O1794" s="26"/>
      <c r="P1794" s="26"/>
      <c r="Q1794" s="26"/>
      <c r="R1794" s="26"/>
      <c r="S1794" s="26"/>
      <c r="T1794" s="26"/>
      <c r="U1794" s="26"/>
      <c r="V1794" s="26"/>
      <c r="W1794" s="27"/>
    </row>
    <row r="1795" spans="1:23" ht="15.75" customHeight="1" x14ac:dyDescent="0.25">
      <c r="A1795" s="23"/>
      <c r="B1795" s="23" t="str">
        <f t="shared" si="7"/>
        <v/>
      </c>
      <c r="C1795" s="23"/>
      <c r="D1795" s="44"/>
      <c r="E1795" s="23"/>
      <c r="F1795" s="45"/>
      <c r="G1795" s="23"/>
      <c r="H1795" s="23"/>
      <c r="I1795" s="23"/>
      <c r="J1795" s="25"/>
      <c r="K1795" s="23"/>
      <c r="L1795" s="23"/>
      <c r="M1795" s="23"/>
      <c r="N1795" s="26"/>
      <c r="O1795" s="26"/>
      <c r="P1795" s="26"/>
      <c r="Q1795" s="26"/>
      <c r="R1795" s="26"/>
      <c r="S1795" s="26"/>
      <c r="T1795" s="26"/>
      <c r="U1795" s="26"/>
      <c r="V1795" s="26"/>
      <c r="W1795" s="27"/>
    </row>
    <row r="1796" spans="1:23" ht="15.75" customHeight="1" x14ac:dyDescent="0.25">
      <c r="A1796" s="23"/>
      <c r="B1796" s="23" t="str">
        <f t="shared" si="7"/>
        <v/>
      </c>
      <c r="C1796" s="23"/>
      <c r="D1796" s="44"/>
      <c r="E1796" s="23"/>
      <c r="F1796" s="45"/>
      <c r="G1796" s="23"/>
      <c r="H1796" s="23"/>
      <c r="I1796" s="23"/>
      <c r="J1796" s="25"/>
      <c r="K1796" s="23"/>
      <c r="L1796" s="23"/>
      <c r="M1796" s="23"/>
      <c r="N1796" s="26"/>
      <c r="O1796" s="26"/>
      <c r="P1796" s="26"/>
      <c r="Q1796" s="26"/>
      <c r="R1796" s="26"/>
      <c r="S1796" s="26"/>
      <c r="T1796" s="26"/>
      <c r="U1796" s="26"/>
      <c r="V1796" s="26"/>
      <c r="W1796" s="27"/>
    </row>
    <row r="1797" spans="1:23" ht="15.75" customHeight="1" x14ac:dyDescent="0.25">
      <c r="A1797" s="23"/>
      <c r="B1797" s="23" t="str">
        <f t="shared" si="7"/>
        <v/>
      </c>
      <c r="C1797" s="23"/>
      <c r="D1797" s="44"/>
      <c r="E1797" s="23"/>
      <c r="F1797" s="45"/>
      <c r="G1797" s="23"/>
      <c r="H1797" s="23"/>
      <c r="I1797" s="23"/>
      <c r="J1797" s="25"/>
      <c r="K1797" s="23"/>
      <c r="L1797" s="23"/>
      <c r="M1797" s="23"/>
      <c r="N1797" s="26"/>
      <c r="O1797" s="26"/>
      <c r="P1797" s="26"/>
      <c r="Q1797" s="26"/>
      <c r="R1797" s="26"/>
      <c r="S1797" s="26"/>
      <c r="T1797" s="26"/>
      <c r="U1797" s="26"/>
      <c r="V1797" s="26"/>
      <c r="W1797" s="27"/>
    </row>
    <row r="1798" spans="1:23" ht="15.75" customHeight="1" x14ac:dyDescent="0.25">
      <c r="A1798" s="23"/>
      <c r="B1798" s="23" t="str">
        <f t="shared" si="7"/>
        <v/>
      </c>
      <c r="C1798" s="23"/>
      <c r="D1798" s="44"/>
      <c r="E1798" s="23"/>
      <c r="F1798" s="45"/>
      <c r="G1798" s="23"/>
      <c r="H1798" s="23"/>
      <c r="I1798" s="23"/>
      <c r="J1798" s="25"/>
      <c r="K1798" s="23"/>
      <c r="L1798" s="23"/>
      <c r="M1798" s="23"/>
      <c r="N1798" s="26"/>
      <c r="O1798" s="26"/>
      <c r="P1798" s="26"/>
      <c r="Q1798" s="26"/>
      <c r="R1798" s="26"/>
      <c r="S1798" s="26"/>
      <c r="T1798" s="26"/>
      <c r="U1798" s="26"/>
      <c r="V1798" s="26"/>
      <c r="W1798" s="27"/>
    </row>
    <row r="1799" spans="1:23" ht="15.75" customHeight="1" x14ac:dyDescent="0.25">
      <c r="A1799" s="23"/>
      <c r="B1799" s="23" t="str">
        <f t="shared" si="7"/>
        <v/>
      </c>
      <c r="C1799" s="23"/>
      <c r="D1799" s="44"/>
      <c r="E1799" s="23"/>
      <c r="F1799" s="45"/>
      <c r="G1799" s="23"/>
      <c r="H1799" s="23"/>
      <c r="I1799" s="23"/>
      <c r="J1799" s="25"/>
      <c r="K1799" s="23"/>
      <c r="L1799" s="23"/>
      <c r="M1799" s="23"/>
      <c r="N1799" s="26"/>
      <c r="O1799" s="26"/>
      <c r="P1799" s="26"/>
      <c r="Q1799" s="26"/>
      <c r="R1799" s="26"/>
      <c r="S1799" s="26"/>
      <c r="T1799" s="26"/>
      <c r="U1799" s="26"/>
      <c r="V1799" s="26"/>
      <c r="W1799" s="27"/>
    </row>
    <row r="1800" spans="1:23" ht="15.75" customHeight="1" x14ac:dyDescent="0.25">
      <c r="A1800" s="23"/>
      <c r="B1800" s="23" t="str">
        <f t="shared" si="7"/>
        <v/>
      </c>
      <c r="C1800" s="23"/>
      <c r="D1800" s="44"/>
      <c r="E1800" s="23"/>
      <c r="F1800" s="45"/>
      <c r="G1800" s="23"/>
      <c r="H1800" s="23"/>
      <c r="I1800" s="23"/>
      <c r="J1800" s="25"/>
      <c r="K1800" s="23"/>
      <c r="L1800" s="23"/>
      <c r="M1800" s="23"/>
      <c r="N1800" s="26"/>
      <c r="O1800" s="26"/>
      <c r="P1800" s="26"/>
      <c r="Q1800" s="26"/>
      <c r="R1800" s="26"/>
      <c r="S1800" s="26"/>
      <c r="T1800" s="26"/>
      <c r="U1800" s="26"/>
      <c r="V1800" s="26"/>
      <c r="W1800" s="27"/>
    </row>
    <row r="1801" spans="1:23" ht="15.75" customHeight="1" x14ac:dyDescent="0.25">
      <c r="A1801" s="23"/>
      <c r="B1801" s="23" t="str">
        <f t="shared" si="7"/>
        <v/>
      </c>
      <c r="C1801" s="23"/>
      <c r="D1801" s="44"/>
      <c r="E1801" s="23"/>
      <c r="F1801" s="45"/>
      <c r="G1801" s="23"/>
      <c r="H1801" s="23"/>
      <c r="I1801" s="23"/>
      <c r="J1801" s="25"/>
      <c r="K1801" s="23"/>
      <c r="L1801" s="23"/>
      <c r="M1801" s="23"/>
      <c r="N1801" s="26"/>
      <c r="O1801" s="26"/>
      <c r="P1801" s="26"/>
      <c r="Q1801" s="26"/>
      <c r="R1801" s="26"/>
      <c r="S1801" s="26"/>
      <c r="T1801" s="26"/>
      <c r="U1801" s="26"/>
      <c r="V1801" s="26"/>
      <c r="W1801" s="27"/>
    </row>
    <row r="1802" spans="1:23" ht="15.75" customHeight="1" x14ac:dyDescent="0.25">
      <c r="A1802" s="23"/>
      <c r="B1802" s="23" t="str">
        <f t="shared" si="7"/>
        <v/>
      </c>
      <c r="C1802" s="23"/>
      <c r="D1802" s="44"/>
      <c r="E1802" s="23"/>
      <c r="F1802" s="45"/>
      <c r="G1802" s="23"/>
      <c r="H1802" s="23"/>
      <c r="I1802" s="23"/>
      <c r="J1802" s="25"/>
      <c r="K1802" s="23"/>
      <c r="L1802" s="23"/>
      <c r="M1802" s="23"/>
      <c r="N1802" s="26"/>
      <c r="O1802" s="26"/>
      <c r="P1802" s="26"/>
      <c r="Q1802" s="26"/>
      <c r="R1802" s="26"/>
      <c r="S1802" s="26"/>
      <c r="T1802" s="26"/>
      <c r="U1802" s="26"/>
      <c r="V1802" s="26"/>
      <c r="W1802" s="27"/>
    </row>
    <row r="1803" spans="1:23" ht="15.75" customHeight="1" x14ac:dyDescent="0.25">
      <c r="A1803" s="23"/>
      <c r="B1803" s="23" t="str">
        <f t="shared" si="7"/>
        <v/>
      </c>
      <c r="C1803" s="23"/>
      <c r="D1803" s="44"/>
      <c r="E1803" s="23"/>
      <c r="F1803" s="45"/>
      <c r="G1803" s="23"/>
      <c r="H1803" s="23"/>
      <c r="I1803" s="23"/>
      <c r="J1803" s="25"/>
      <c r="K1803" s="23"/>
      <c r="L1803" s="23"/>
      <c r="M1803" s="23"/>
      <c r="N1803" s="26"/>
      <c r="O1803" s="26"/>
      <c r="P1803" s="26"/>
      <c r="Q1803" s="26"/>
      <c r="R1803" s="26"/>
      <c r="S1803" s="26"/>
      <c r="T1803" s="26"/>
      <c r="U1803" s="26"/>
      <c r="V1803" s="26"/>
      <c r="W1803" s="27"/>
    </row>
    <row r="1804" spans="1:23" ht="15.75" customHeight="1" x14ac:dyDescent="0.25">
      <c r="A1804" s="23"/>
      <c r="B1804" s="23" t="str">
        <f t="shared" si="7"/>
        <v/>
      </c>
      <c r="C1804" s="23"/>
      <c r="D1804" s="44"/>
      <c r="E1804" s="23"/>
      <c r="F1804" s="45"/>
      <c r="G1804" s="23"/>
      <c r="H1804" s="23"/>
      <c r="I1804" s="23"/>
      <c r="J1804" s="25"/>
      <c r="K1804" s="23"/>
      <c r="L1804" s="23"/>
      <c r="M1804" s="23"/>
      <c r="N1804" s="26"/>
      <c r="O1804" s="26"/>
      <c r="P1804" s="26"/>
      <c r="Q1804" s="26"/>
      <c r="R1804" s="26"/>
      <c r="S1804" s="26"/>
      <c r="T1804" s="26"/>
      <c r="U1804" s="26"/>
      <c r="V1804" s="26"/>
      <c r="W1804" s="27"/>
    </row>
    <row r="1805" spans="1:23" ht="15.75" customHeight="1" x14ac:dyDescent="0.25">
      <c r="A1805" s="23"/>
      <c r="B1805" s="23" t="str">
        <f t="shared" si="7"/>
        <v/>
      </c>
      <c r="C1805" s="23"/>
      <c r="D1805" s="44"/>
      <c r="E1805" s="23"/>
      <c r="F1805" s="45"/>
      <c r="G1805" s="23"/>
      <c r="H1805" s="23"/>
      <c r="I1805" s="23"/>
      <c r="J1805" s="25"/>
      <c r="K1805" s="23"/>
      <c r="L1805" s="23"/>
      <c r="M1805" s="23"/>
      <c r="N1805" s="26"/>
      <c r="O1805" s="26"/>
      <c r="P1805" s="26"/>
      <c r="Q1805" s="26"/>
      <c r="R1805" s="26"/>
      <c r="S1805" s="26"/>
      <c r="T1805" s="26"/>
      <c r="U1805" s="26"/>
      <c r="V1805" s="26"/>
      <c r="W1805" s="27"/>
    </row>
    <row r="1806" spans="1:23" ht="15.75" customHeight="1" x14ac:dyDescent="0.25">
      <c r="A1806" s="23"/>
      <c r="B1806" s="23" t="str">
        <f t="shared" si="7"/>
        <v/>
      </c>
      <c r="C1806" s="23"/>
      <c r="D1806" s="44"/>
      <c r="E1806" s="23"/>
      <c r="F1806" s="45"/>
      <c r="G1806" s="23"/>
      <c r="H1806" s="23"/>
      <c r="I1806" s="23"/>
      <c r="J1806" s="25"/>
      <c r="K1806" s="23"/>
      <c r="L1806" s="23"/>
      <c r="M1806" s="23"/>
      <c r="N1806" s="26"/>
      <c r="O1806" s="26"/>
      <c r="P1806" s="26"/>
      <c r="Q1806" s="26"/>
      <c r="R1806" s="26"/>
      <c r="S1806" s="26"/>
      <c r="T1806" s="26"/>
      <c r="U1806" s="26"/>
      <c r="V1806" s="26"/>
      <c r="W1806" s="27"/>
    </row>
    <row r="1807" spans="1:23" ht="15.75" customHeight="1" x14ac:dyDescent="0.25">
      <c r="A1807" s="23"/>
      <c r="B1807" s="23" t="str">
        <f t="shared" ref="B1807:B2001" si="8">MID(X1807,17,30)</f>
        <v/>
      </c>
      <c r="C1807" s="23"/>
      <c r="D1807" s="44"/>
      <c r="E1807" s="23"/>
      <c r="F1807" s="45"/>
      <c r="G1807" s="23"/>
      <c r="H1807" s="23"/>
      <c r="I1807" s="23"/>
      <c r="J1807" s="25"/>
      <c r="K1807" s="23"/>
      <c r="L1807" s="23"/>
      <c r="M1807" s="23"/>
      <c r="N1807" s="26"/>
      <c r="O1807" s="26"/>
      <c r="P1807" s="26"/>
      <c r="Q1807" s="26"/>
      <c r="R1807" s="26"/>
      <c r="S1807" s="26"/>
      <c r="T1807" s="26"/>
      <c r="U1807" s="26"/>
      <c r="V1807" s="26"/>
      <c r="W1807" s="27"/>
    </row>
    <row r="1808" spans="1:23" ht="15.75" customHeight="1" x14ac:dyDescent="0.25">
      <c r="A1808" s="23"/>
      <c r="B1808" s="23" t="str">
        <f t="shared" si="8"/>
        <v/>
      </c>
      <c r="C1808" s="23"/>
      <c r="D1808" s="44"/>
      <c r="E1808" s="23"/>
      <c r="F1808" s="45"/>
      <c r="G1808" s="23"/>
      <c r="H1808" s="23"/>
      <c r="I1808" s="23"/>
      <c r="J1808" s="25"/>
      <c r="K1808" s="23"/>
      <c r="L1808" s="23"/>
      <c r="M1808" s="23"/>
      <c r="N1808" s="26"/>
      <c r="O1808" s="26"/>
      <c r="P1808" s="26"/>
      <c r="Q1808" s="26"/>
      <c r="R1808" s="26"/>
      <c r="S1808" s="26"/>
      <c r="T1808" s="26"/>
      <c r="U1808" s="26"/>
      <c r="V1808" s="26"/>
      <c r="W1808" s="27"/>
    </row>
    <row r="1809" spans="1:23" ht="15.75" customHeight="1" x14ac:dyDescent="0.25">
      <c r="A1809" s="23"/>
      <c r="B1809" s="23" t="str">
        <f t="shared" si="8"/>
        <v/>
      </c>
      <c r="C1809" s="23"/>
      <c r="D1809" s="44"/>
      <c r="E1809" s="23"/>
      <c r="F1809" s="45"/>
      <c r="G1809" s="23"/>
      <c r="H1809" s="23"/>
      <c r="I1809" s="23"/>
      <c r="J1809" s="25"/>
      <c r="K1809" s="23"/>
      <c r="L1809" s="23"/>
      <c r="M1809" s="23"/>
      <c r="N1809" s="26"/>
      <c r="O1809" s="26"/>
      <c r="P1809" s="26"/>
      <c r="Q1809" s="26"/>
      <c r="R1809" s="26"/>
      <c r="S1809" s="26"/>
      <c r="T1809" s="26"/>
      <c r="U1809" s="26"/>
      <c r="V1809" s="26"/>
      <c r="W1809" s="27"/>
    </row>
    <row r="1810" spans="1:23" ht="15.75" customHeight="1" x14ac:dyDescent="0.25">
      <c r="A1810" s="23"/>
      <c r="B1810" s="23" t="str">
        <f t="shared" si="8"/>
        <v/>
      </c>
      <c r="C1810" s="23"/>
      <c r="D1810" s="44"/>
      <c r="E1810" s="23"/>
      <c r="F1810" s="45"/>
      <c r="G1810" s="23"/>
      <c r="H1810" s="23"/>
      <c r="I1810" s="23"/>
      <c r="J1810" s="25"/>
      <c r="K1810" s="23"/>
      <c r="L1810" s="23"/>
      <c r="M1810" s="23"/>
      <c r="N1810" s="26"/>
      <c r="O1810" s="26"/>
      <c r="P1810" s="26"/>
      <c r="Q1810" s="26"/>
      <c r="R1810" s="26"/>
      <c r="S1810" s="26"/>
      <c r="T1810" s="26"/>
      <c r="U1810" s="26"/>
      <c r="V1810" s="26"/>
      <c r="W1810" s="27"/>
    </row>
    <row r="1811" spans="1:23" ht="15.75" customHeight="1" x14ac:dyDescent="0.25">
      <c r="A1811" s="23"/>
      <c r="B1811" s="23" t="str">
        <f t="shared" si="8"/>
        <v/>
      </c>
      <c r="C1811" s="23"/>
      <c r="D1811" s="44"/>
      <c r="E1811" s="23"/>
      <c r="F1811" s="45"/>
      <c r="G1811" s="23"/>
      <c r="H1811" s="23"/>
      <c r="I1811" s="23"/>
      <c r="J1811" s="25"/>
      <c r="K1811" s="23"/>
      <c r="L1811" s="23"/>
      <c r="M1811" s="23"/>
      <c r="N1811" s="26"/>
      <c r="O1811" s="26"/>
      <c r="P1811" s="26"/>
      <c r="Q1811" s="26"/>
      <c r="R1811" s="26"/>
      <c r="S1811" s="26"/>
      <c r="T1811" s="26"/>
      <c r="U1811" s="26"/>
      <c r="V1811" s="26"/>
      <c r="W1811" s="27"/>
    </row>
    <row r="1812" spans="1:23" ht="15.75" customHeight="1" x14ac:dyDescent="0.25">
      <c r="A1812" s="23"/>
      <c r="B1812" s="23" t="str">
        <f t="shared" si="8"/>
        <v/>
      </c>
      <c r="C1812" s="23"/>
      <c r="D1812" s="44"/>
      <c r="E1812" s="23"/>
      <c r="F1812" s="45"/>
      <c r="G1812" s="23"/>
      <c r="H1812" s="23"/>
      <c r="I1812" s="23"/>
      <c r="J1812" s="25"/>
      <c r="K1812" s="23"/>
      <c r="L1812" s="23"/>
      <c r="M1812" s="23"/>
      <c r="N1812" s="26"/>
      <c r="O1812" s="26"/>
      <c r="P1812" s="26"/>
      <c r="Q1812" s="26"/>
      <c r="R1812" s="26"/>
      <c r="S1812" s="26"/>
      <c r="T1812" s="26"/>
      <c r="U1812" s="26"/>
      <c r="V1812" s="26"/>
      <c r="W1812" s="27"/>
    </row>
    <row r="1813" spans="1:23" ht="15.75" customHeight="1" x14ac:dyDescent="0.25">
      <c r="A1813" s="23"/>
      <c r="B1813" s="23" t="str">
        <f t="shared" si="8"/>
        <v/>
      </c>
      <c r="C1813" s="23"/>
      <c r="D1813" s="44"/>
      <c r="E1813" s="23"/>
      <c r="F1813" s="45"/>
      <c r="G1813" s="23"/>
      <c r="H1813" s="23"/>
      <c r="I1813" s="23"/>
      <c r="J1813" s="25"/>
      <c r="K1813" s="23"/>
      <c r="L1813" s="23"/>
      <c r="M1813" s="23"/>
      <c r="N1813" s="26"/>
      <c r="O1813" s="26"/>
      <c r="P1813" s="26"/>
      <c r="Q1813" s="26"/>
      <c r="R1813" s="26"/>
      <c r="S1813" s="26"/>
      <c r="T1813" s="26"/>
      <c r="U1813" s="26"/>
      <c r="V1813" s="26"/>
      <c r="W1813" s="27"/>
    </row>
    <row r="1814" spans="1:23" ht="15.75" customHeight="1" x14ac:dyDescent="0.25">
      <c r="A1814" s="23"/>
      <c r="B1814" s="23" t="str">
        <f t="shared" si="8"/>
        <v/>
      </c>
      <c r="C1814" s="23"/>
      <c r="D1814" s="44"/>
      <c r="E1814" s="23"/>
      <c r="F1814" s="45"/>
      <c r="G1814" s="23"/>
      <c r="H1814" s="23"/>
      <c r="I1814" s="23"/>
      <c r="J1814" s="25"/>
      <c r="K1814" s="23"/>
      <c r="L1814" s="23"/>
      <c r="M1814" s="23"/>
      <c r="N1814" s="26"/>
      <c r="O1814" s="26"/>
      <c r="P1814" s="26"/>
      <c r="Q1814" s="26"/>
      <c r="R1814" s="26"/>
      <c r="S1814" s="26"/>
      <c r="T1814" s="26"/>
      <c r="U1814" s="26"/>
      <c r="V1814" s="26"/>
      <c r="W1814" s="27"/>
    </row>
    <row r="1815" spans="1:23" ht="15.75" customHeight="1" x14ac:dyDescent="0.25">
      <c r="A1815" s="23"/>
      <c r="B1815" s="23" t="str">
        <f t="shared" si="8"/>
        <v/>
      </c>
      <c r="C1815" s="23"/>
      <c r="D1815" s="44"/>
      <c r="E1815" s="23"/>
      <c r="F1815" s="45"/>
      <c r="G1815" s="23"/>
      <c r="H1815" s="23"/>
      <c r="I1815" s="23"/>
      <c r="J1815" s="25"/>
      <c r="K1815" s="23"/>
      <c r="L1815" s="23"/>
      <c r="M1815" s="23"/>
      <c r="N1815" s="26"/>
      <c r="O1815" s="26"/>
      <c r="P1815" s="26"/>
      <c r="Q1815" s="26"/>
      <c r="R1815" s="26"/>
      <c r="S1815" s="26"/>
      <c r="T1815" s="26"/>
      <c r="U1815" s="26"/>
      <c r="V1815" s="26"/>
      <c r="W1815" s="27"/>
    </row>
    <row r="1816" spans="1:23" ht="15.75" customHeight="1" x14ac:dyDescent="0.25">
      <c r="A1816" s="23"/>
      <c r="B1816" s="23" t="str">
        <f t="shared" si="8"/>
        <v/>
      </c>
      <c r="C1816" s="23"/>
      <c r="D1816" s="44"/>
      <c r="E1816" s="23"/>
      <c r="F1816" s="45"/>
      <c r="G1816" s="23"/>
      <c r="H1816" s="23"/>
      <c r="I1816" s="23"/>
      <c r="J1816" s="25"/>
      <c r="K1816" s="23"/>
      <c r="L1816" s="23"/>
      <c r="M1816" s="23"/>
      <c r="N1816" s="26"/>
      <c r="O1816" s="26"/>
      <c r="P1816" s="26"/>
      <c r="Q1816" s="26"/>
      <c r="R1816" s="26"/>
      <c r="S1816" s="26"/>
      <c r="T1816" s="26"/>
      <c r="U1816" s="26"/>
      <c r="V1816" s="26"/>
      <c r="W1816" s="27"/>
    </row>
    <row r="1817" spans="1:23" ht="15.75" customHeight="1" x14ac:dyDescent="0.25">
      <c r="A1817" s="23"/>
      <c r="B1817" s="23" t="str">
        <f t="shared" si="8"/>
        <v/>
      </c>
      <c r="C1817" s="23"/>
      <c r="D1817" s="44"/>
      <c r="E1817" s="23"/>
      <c r="F1817" s="45"/>
      <c r="G1817" s="23"/>
      <c r="H1817" s="23"/>
      <c r="I1817" s="23"/>
      <c r="J1817" s="25"/>
      <c r="K1817" s="23"/>
      <c r="L1817" s="23"/>
      <c r="M1817" s="23"/>
      <c r="N1817" s="26"/>
      <c r="O1817" s="26"/>
      <c r="P1817" s="26"/>
      <c r="Q1817" s="26"/>
      <c r="R1817" s="26"/>
      <c r="S1817" s="26"/>
      <c r="T1817" s="26"/>
      <c r="U1817" s="26"/>
      <c r="V1817" s="26"/>
      <c r="W1817" s="27"/>
    </row>
    <row r="1818" spans="1:23" ht="15.75" customHeight="1" x14ac:dyDescent="0.25">
      <c r="A1818" s="23"/>
      <c r="B1818" s="23" t="str">
        <f t="shared" si="8"/>
        <v/>
      </c>
      <c r="C1818" s="23"/>
      <c r="D1818" s="44"/>
      <c r="E1818" s="23"/>
      <c r="F1818" s="45"/>
      <c r="G1818" s="23"/>
      <c r="H1818" s="23"/>
      <c r="I1818" s="23"/>
      <c r="J1818" s="25"/>
      <c r="K1818" s="23"/>
      <c r="L1818" s="23"/>
      <c r="M1818" s="23"/>
      <c r="N1818" s="26"/>
      <c r="O1818" s="26"/>
      <c r="P1818" s="26"/>
      <c r="Q1818" s="26"/>
      <c r="R1818" s="26"/>
      <c r="S1818" s="26"/>
      <c r="T1818" s="26"/>
      <c r="U1818" s="26"/>
      <c r="V1818" s="26"/>
      <c r="W1818" s="27"/>
    </row>
    <row r="1819" spans="1:23" ht="15.75" customHeight="1" x14ac:dyDescent="0.25">
      <c r="A1819" s="23"/>
      <c r="B1819" s="23" t="str">
        <f t="shared" si="8"/>
        <v/>
      </c>
      <c r="C1819" s="23"/>
      <c r="D1819" s="44"/>
      <c r="E1819" s="23"/>
      <c r="F1819" s="45"/>
      <c r="G1819" s="23"/>
      <c r="H1819" s="23"/>
      <c r="I1819" s="23"/>
      <c r="J1819" s="25"/>
      <c r="K1819" s="23"/>
      <c r="L1819" s="23"/>
      <c r="M1819" s="23"/>
      <c r="N1819" s="26"/>
      <c r="O1819" s="26"/>
      <c r="P1819" s="26"/>
      <c r="Q1819" s="26"/>
      <c r="R1819" s="26"/>
      <c r="S1819" s="26"/>
      <c r="T1819" s="26"/>
      <c r="U1819" s="26"/>
      <c r="V1819" s="26"/>
      <c r="W1819" s="27"/>
    </row>
    <row r="1820" spans="1:23" ht="15.75" customHeight="1" x14ac:dyDescent="0.25">
      <c r="A1820" s="23"/>
      <c r="B1820" s="23" t="str">
        <f t="shared" si="8"/>
        <v/>
      </c>
      <c r="C1820" s="23"/>
      <c r="D1820" s="44"/>
      <c r="E1820" s="23"/>
      <c r="F1820" s="45"/>
      <c r="G1820" s="23"/>
      <c r="H1820" s="23"/>
      <c r="I1820" s="23"/>
      <c r="J1820" s="25"/>
      <c r="K1820" s="23"/>
      <c r="L1820" s="23"/>
      <c r="M1820" s="23"/>
      <c r="N1820" s="26"/>
      <c r="O1820" s="26"/>
      <c r="P1820" s="26"/>
      <c r="Q1820" s="26"/>
      <c r="R1820" s="26"/>
      <c r="S1820" s="26"/>
      <c r="T1820" s="26"/>
      <c r="U1820" s="26"/>
      <c r="V1820" s="26"/>
      <c r="W1820" s="27"/>
    </row>
    <row r="1821" spans="1:23" ht="15.75" customHeight="1" x14ac:dyDescent="0.25">
      <c r="A1821" s="23"/>
      <c r="B1821" s="23" t="str">
        <f t="shared" si="8"/>
        <v/>
      </c>
      <c r="C1821" s="23"/>
      <c r="D1821" s="44"/>
      <c r="E1821" s="23"/>
      <c r="F1821" s="45"/>
      <c r="G1821" s="23"/>
      <c r="H1821" s="23"/>
      <c r="I1821" s="23"/>
      <c r="J1821" s="25"/>
      <c r="K1821" s="23"/>
      <c r="L1821" s="23"/>
      <c r="M1821" s="23"/>
      <c r="N1821" s="26"/>
      <c r="O1821" s="26"/>
      <c r="P1821" s="26"/>
      <c r="Q1821" s="26"/>
      <c r="R1821" s="26"/>
      <c r="S1821" s="26"/>
      <c r="T1821" s="26"/>
      <c r="U1821" s="26"/>
      <c r="V1821" s="26"/>
      <c r="W1821" s="27"/>
    </row>
    <row r="1822" spans="1:23" ht="15.75" customHeight="1" x14ac:dyDescent="0.25">
      <c r="A1822" s="23"/>
      <c r="B1822" s="23" t="str">
        <f t="shared" si="8"/>
        <v/>
      </c>
      <c r="C1822" s="23"/>
      <c r="D1822" s="44"/>
      <c r="E1822" s="23"/>
      <c r="F1822" s="45"/>
      <c r="G1822" s="23"/>
      <c r="H1822" s="23"/>
      <c r="I1822" s="23"/>
      <c r="J1822" s="25"/>
      <c r="K1822" s="23"/>
      <c r="L1822" s="23"/>
      <c r="M1822" s="23"/>
      <c r="N1822" s="26"/>
      <c r="O1822" s="26"/>
      <c r="P1822" s="26"/>
      <c r="Q1822" s="26"/>
      <c r="R1822" s="26"/>
      <c r="S1822" s="26"/>
      <c r="T1822" s="26"/>
      <c r="U1822" s="26"/>
      <c r="V1822" s="26"/>
      <c r="W1822" s="27"/>
    </row>
    <row r="1823" spans="1:23" ht="15.75" customHeight="1" x14ac:dyDescent="0.25">
      <c r="A1823" s="23"/>
      <c r="B1823" s="23" t="str">
        <f t="shared" si="8"/>
        <v/>
      </c>
      <c r="C1823" s="23"/>
      <c r="D1823" s="44"/>
      <c r="E1823" s="23"/>
      <c r="F1823" s="45"/>
      <c r="G1823" s="23"/>
      <c r="H1823" s="23"/>
      <c r="I1823" s="23"/>
      <c r="J1823" s="25"/>
      <c r="K1823" s="23"/>
      <c r="L1823" s="23"/>
      <c r="M1823" s="23"/>
      <c r="N1823" s="26"/>
      <c r="O1823" s="26"/>
      <c r="P1823" s="26"/>
      <c r="Q1823" s="26"/>
      <c r="R1823" s="26"/>
      <c r="S1823" s="26"/>
      <c r="T1823" s="26"/>
      <c r="U1823" s="26"/>
      <c r="V1823" s="26"/>
      <c r="W1823" s="27"/>
    </row>
    <row r="1824" spans="1:23" ht="15.75" customHeight="1" x14ac:dyDescent="0.25">
      <c r="A1824" s="23"/>
      <c r="B1824" s="23" t="str">
        <f t="shared" si="8"/>
        <v/>
      </c>
      <c r="C1824" s="23"/>
      <c r="D1824" s="44"/>
      <c r="E1824" s="23"/>
      <c r="F1824" s="45"/>
      <c r="G1824" s="23"/>
      <c r="H1824" s="23"/>
      <c r="I1824" s="23"/>
      <c r="J1824" s="25"/>
      <c r="K1824" s="23"/>
      <c r="L1824" s="23"/>
      <c r="M1824" s="23"/>
      <c r="N1824" s="26"/>
      <c r="O1824" s="26"/>
      <c r="P1824" s="26"/>
      <c r="Q1824" s="26"/>
      <c r="R1824" s="26"/>
      <c r="S1824" s="26"/>
      <c r="T1824" s="26"/>
      <c r="U1824" s="26"/>
      <c r="V1824" s="26"/>
      <c r="W1824" s="27"/>
    </row>
    <row r="1825" spans="1:23" ht="15.75" customHeight="1" x14ac:dyDescent="0.25">
      <c r="A1825" s="23"/>
      <c r="B1825" s="23" t="str">
        <f t="shared" si="8"/>
        <v/>
      </c>
      <c r="C1825" s="23"/>
      <c r="D1825" s="44"/>
      <c r="E1825" s="23"/>
      <c r="F1825" s="45"/>
      <c r="G1825" s="23"/>
      <c r="H1825" s="23"/>
      <c r="I1825" s="23"/>
      <c r="J1825" s="25"/>
      <c r="K1825" s="23"/>
      <c r="L1825" s="23"/>
      <c r="M1825" s="23"/>
      <c r="N1825" s="26"/>
      <c r="O1825" s="26"/>
      <c r="P1825" s="26"/>
      <c r="Q1825" s="26"/>
      <c r="R1825" s="26"/>
      <c r="S1825" s="26"/>
      <c r="T1825" s="26"/>
      <c r="U1825" s="26"/>
      <c r="V1825" s="26"/>
      <c r="W1825" s="27"/>
    </row>
    <row r="1826" spans="1:23" ht="15.75" customHeight="1" x14ac:dyDescent="0.25">
      <c r="A1826" s="23"/>
      <c r="B1826" s="23" t="str">
        <f t="shared" si="8"/>
        <v/>
      </c>
      <c r="C1826" s="23"/>
      <c r="D1826" s="44"/>
      <c r="E1826" s="23"/>
      <c r="F1826" s="45"/>
      <c r="G1826" s="23"/>
      <c r="H1826" s="23"/>
      <c r="I1826" s="23"/>
      <c r="J1826" s="25"/>
      <c r="K1826" s="23"/>
      <c r="L1826" s="23"/>
      <c r="M1826" s="23"/>
      <c r="N1826" s="26"/>
      <c r="O1826" s="26"/>
      <c r="P1826" s="26"/>
      <c r="Q1826" s="26"/>
      <c r="R1826" s="26"/>
      <c r="S1826" s="26"/>
      <c r="T1826" s="26"/>
      <c r="U1826" s="26"/>
      <c r="V1826" s="26"/>
      <c r="W1826" s="27"/>
    </row>
    <row r="1827" spans="1:23" ht="15.75" customHeight="1" x14ac:dyDescent="0.25">
      <c r="A1827" s="23"/>
      <c r="B1827" s="23" t="str">
        <f t="shared" si="8"/>
        <v/>
      </c>
      <c r="C1827" s="23"/>
      <c r="D1827" s="44"/>
      <c r="E1827" s="23"/>
      <c r="F1827" s="45"/>
      <c r="G1827" s="23"/>
      <c r="H1827" s="23"/>
      <c r="I1827" s="23"/>
      <c r="J1827" s="25"/>
      <c r="K1827" s="23"/>
      <c r="L1827" s="23"/>
      <c r="M1827" s="23"/>
      <c r="N1827" s="26"/>
      <c r="O1827" s="26"/>
      <c r="P1827" s="26"/>
      <c r="Q1827" s="26"/>
      <c r="R1827" s="26"/>
      <c r="S1827" s="26"/>
      <c r="T1827" s="26"/>
      <c r="U1827" s="26"/>
      <c r="V1827" s="26"/>
      <c r="W1827" s="27"/>
    </row>
    <row r="1828" spans="1:23" ht="15.75" customHeight="1" x14ac:dyDescent="0.25">
      <c r="A1828" s="23"/>
      <c r="B1828" s="23" t="str">
        <f t="shared" si="8"/>
        <v/>
      </c>
      <c r="C1828" s="23"/>
      <c r="D1828" s="44"/>
      <c r="E1828" s="23"/>
      <c r="F1828" s="45"/>
      <c r="G1828" s="23"/>
      <c r="H1828" s="23"/>
      <c r="I1828" s="23"/>
      <c r="J1828" s="25"/>
      <c r="K1828" s="23"/>
      <c r="L1828" s="23"/>
      <c r="M1828" s="23"/>
      <c r="N1828" s="26"/>
      <c r="O1828" s="26"/>
      <c r="P1828" s="26"/>
      <c r="Q1828" s="26"/>
      <c r="R1828" s="26"/>
      <c r="S1828" s="26"/>
      <c r="T1828" s="26"/>
      <c r="U1828" s="26"/>
      <c r="V1828" s="26"/>
      <c r="W1828" s="27"/>
    </row>
    <row r="1829" spans="1:23" ht="15.75" customHeight="1" x14ac:dyDescent="0.25">
      <c r="A1829" s="23"/>
      <c r="B1829" s="23" t="str">
        <f t="shared" si="8"/>
        <v/>
      </c>
      <c r="C1829" s="23"/>
      <c r="D1829" s="44"/>
      <c r="E1829" s="23"/>
      <c r="F1829" s="45"/>
      <c r="G1829" s="23"/>
      <c r="H1829" s="23"/>
      <c r="I1829" s="23"/>
      <c r="J1829" s="25"/>
      <c r="K1829" s="23"/>
      <c r="L1829" s="23"/>
      <c r="M1829" s="23"/>
      <c r="N1829" s="26"/>
      <c r="O1829" s="26"/>
      <c r="P1829" s="26"/>
      <c r="Q1829" s="26"/>
      <c r="R1829" s="26"/>
      <c r="S1829" s="26"/>
      <c r="T1829" s="26"/>
      <c r="U1829" s="26"/>
      <c r="V1829" s="26"/>
      <c r="W1829" s="27"/>
    </row>
    <row r="1830" spans="1:23" ht="15.75" customHeight="1" x14ac:dyDescent="0.25">
      <c r="A1830" s="23"/>
      <c r="B1830" s="23" t="str">
        <f t="shared" si="8"/>
        <v/>
      </c>
      <c r="C1830" s="23"/>
      <c r="D1830" s="44"/>
      <c r="E1830" s="23"/>
      <c r="F1830" s="45"/>
      <c r="G1830" s="23"/>
      <c r="H1830" s="23"/>
      <c r="I1830" s="23"/>
      <c r="J1830" s="25"/>
      <c r="K1830" s="23"/>
      <c r="L1830" s="23"/>
      <c r="M1830" s="23"/>
      <c r="N1830" s="26"/>
      <c r="O1830" s="26"/>
      <c r="P1830" s="26"/>
      <c r="Q1830" s="26"/>
      <c r="R1830" s="26"/>
      <c r="S1830" s="26"/>
      <c r="T1830" s="26"/>
      <c r="U1830" s="26"/>
      <c r="V1830" s="26"/>
      <c r="W1830" s="27"/>
    </row>
    <row r="1831" spans="1:23" ht="15.75" customHeight="1" x14ac:dyDescent="0.25">
      <c r="A1831" s="23"/>
      <c r="B1831" s="23" t="str">
        <f t="shared" si="8"/>
        <v/>
      </c>
      <c r="C1831" s="23"/>
      <c r="D1831" s="44"/>
      <c r="E1831" s="23"/>
      <c r="F1831" s="45"/>
      <c r="G1831" s="23"/>
      <c r="H1831" s="23"/>
      <c r="I1831" s="23"/>
      <c r="J1831" s="25"/>
      <c r="K1831" s="23"/>
      <c r="L1831" s="23"/>
      <c r="M1831" s="23"/>
      <c r="N1831" s="26"/>
      <c r="O1831" s="26"/>
      <c r="P1831" s="26"/>
      <c r="Q1831" s="26"/>
      <c r="R1831" s="26"/>
      <c r="S1831" s="26"/>
      <c r="T1831" s="26"/>
      <c r="U1831" s="26"/>
      <c r="V1831" s="26"/>
      <c r="W1831" s="27"/>
    </row>
    <row r="1832" spans="1:23" ht="15.75" customHeight="1" x14ac:dyDescent="0.25">
      <c r="A1832" s="23"/>
      <c r="B1832" s="23" t="str">
        <f t="shared" si="8"/>
        <v/>
      </c>
      <c r="C1832" s="23"/>
      <c r="D1832" s="44"/>
      <c r="E1832" s="23"/>
      <c r="F1832" s="45"/>
      <c r="G1832" s="23"/>
      <c r="H1832" s="23"/>
      <c r="I1832" s="23"/>
      <c r="J1832" s="25"/>
      <c r="K1832" s="23"/>
      <c r="L1832" s="23"/>
      <c r="M1832" s="23"/>
      <c r="N1832" s="26"/>
      <c r="O1832" s="26"/>
      <c r="P1832" s="26"/>
      <c r="Q1832" s="26"/>
      <c r="R1832" s="26"/>
      <c r="S1832" s="26"/>
      <c r="T1832" s="26"/>
      <c r="U1832" s="26"/>
      <c r="V1832" s="26"/>
      <c r="W1832" s="27"/>
    </row>
    <row r="1833" spans="1:23" ht="15.75" customHeight="1" x14ac:dyDescent="0.25">
      <c r="A1833" s="23"/>
      <c r="B1833" s="23" t="str">
        <f t="shared" si="8"/>
        <v/>
      </c>
      <c r="C1833" s="23"/>
      <c r="D1833" s="44"/>
      <c r="E1833" s="23"/>
      <c r="F1833" s="45"/>
      <c r="G1833" s="23"/>
      <c r="H1833" s="23"/>
      <c r="I1833" s="23"/>
      <c r="J1833" s="25"/>
      <c r="K1833" s="23"/>
      <c r="L1833" s="23"/>
      <c r="M1833" s="23"/>
      <c r="N1833" s="26"/>
      <c r="O1833" s="26"/>
      <c r="P1833" s="26"/>
      <c r="Q1833" s="26"/>
      <c r="R1833" s="26"/>
      <c r="S1833" s="26"/>
      <c r="T1833" s="26"/>
      <c r="U1833" s="26"/>
      <c r="V1833" s="26"/>
      <c r="W1833" s="27"/>
    </row>
    <row r="1834" spans="1:23" ht="15.75" customHeight="1" x14ac:dyDescent="0.25">
      <c r="A1834" s="23"/>
      <c r="B1834" s="23" t="str">
        <f t="shared" si="8"/>
        <v/>
      </c>
      <c r="C1834" s="23"/>
      <c r="D1834" s="44"/>
      <c r="E1834" s="23"/>
      <c r="F1834" s="45"/>
      <c r="G1834" s="23"/>
      <c r="H1834" s="23"/>
      <c r="I1834" s="23"/>
      <c r="J1834" s="25"/>
      <c r="K1834" s="23"/>
      <c r="L1834" s="23"/>
      <c r="M1834" s="23"/>
      <c r="N1834" s="26"/>
      <c r="O1834" s="26"/>
      <c r="P1834" s="26"/>
      <c r="Q1834" s="26"/>
      <c r="R1834" s="26"/>
      <c r="S1834" s="26"/>
      <c r="T1834" s="26"/>
      <c r="U1834" s="26"/>
      <c r="V1834" s="26"/>
      <c r="W1834" s="27"/>
    </row>
    <row r="1835" spans="1:23" ht="15.75" customHeight="1" x14ac:dyDescent="0.25">
      <c r="A1835" s="23"/>
      <c r="B1835" s="23" t="str">
        <f t="shared" si="8"/>
        <v/>
      </c>
      <c r="C1835" s="23"/>
      <c r="D1835" s="44"/>
      <c r="E1835" s="23"/>
      <c r="F1835" s="45"/>
      <c r="G1835" s="23"/>
      <c r="H1835" s="23"/>
      <c r="I1835" s="23"/>
      <c r="J1835" s="25"/>
      <c r="K1835" s="23"/>
      <c r="L1835" s="23"/>
      <c r="M1835" s="23"/>
      <c r="N1835" s="26"/>
      <c r="O1835" s="26"/>
      <c r="P1835" s="26"/>
      <c r="Q1835" s="26"/>
      <c r="R1835" s="26"/>
      <c r="S1835" s="26"/>
      <c r="T1835" s="26"/>
      <c r="U1835" s="26"/>
      <c r="V1835" s="26"/>
      <c r="W1835" s="27"/>
    </row>
    <row r="1836" spans="1:23" ht="15.75" customHeight="1" x14ac:dyDescent="0.25">
      <c r="A1836" s="23"/>
      <c r="B1836" s="23" t="str">
        <f t="shared" si="8"/>
        <v/>
      </c>
      <c r="C1836" s="23"/>
      <c r="D1836" s="44"/>
      <c r="E1836" s="23"/>
      <c r="F1836" s="45"/>
      <c r="G1836" s="23"/>
      <c r="H1836" s="23"/>
      <c r="I1836" s="23"/>
      <c r="J1836" s="25"/>
      <c r="K1836" s="23"/>
      <c r="L1836" s="23"/>
      <c r="M1836" s="23"/>
      <c r="N1836" s="26"/>
      <c r="O1836" s="26"/>
      <c r="P1836" s="26"/>
      <c r="Q1836" s="26"/>
      <c r="R1836" s="26"/>
      <c r="S1836" s="26"/>
      <c r="T1836" s="26"/>
      <c r="U1836" s="26"/>
      <c r="V1836" s="26"/>
      <c r="W1836" s="27"/>
    </row>
    <row r="1837" spans="1:23" ht="15.75" customHeight="1" x14ac:dyDescent="0.25">
      <c r="A1837" s="23"/>
      <c r="B1837" s="23" t="str">
        <f t="shared" si="8"/>
        <v/>
      </c>
      <c r="C1837" s="23"/>
      <c r="D1837" s="44"/>
      <c r="E1837" s="23"/>
      <c r="F1837" s="45"/>
      <c r="G1837" s="23"/>
      <c r="H1837" s="23"/>
      <c r="I1837" s="23"/>
      <c r="J1837" s="25"/>
      <c r="K1837" s="23"/>
      <c r="L1837" s="23"/>
      <c r="M1837" s="23"/>
      <c r="N1837" s="26"/>
      <c r="O1837" s="26"/>
      <c r="P1837" s="26"/>
      <c r="Q1837" s="26"/>
      <c r="R1837" s="26"/>
      <c r="S1837" s="26"/>
      <c r="T1837" s="26"/>
      <c r="U1837" s="26"/>
      <c r="V1837" s="26"/>
      <c r="W1837" s="27"/>
    </row>
    <row r="1838" spans="1:23" ht="15.75" customHeight="1" x14ac:dyDescent="0.25">
      <c r="A1838" s="23"/>
      <c r="B1838" s="23" t="str">
        <f t="shared" si="8"/>
        <v/>
      </c>
      <c r="C1838" s="23"/>
      <c r="D1838" s="44"/>
      <c r="E1838" s="23"/>
      <c r="F1838" s="45"/>
      <c r="G1838" s="23"/>
      <c r="H1838" s="23"/>
      <c r="I1838" s="23"/>
      <c r="J1838" s="25"/>
      <c r="K1838" s="23"/>
      <c r="L1838" s="23"/>
      <c r="M1838" s="23"/>
      <c r="N1838" s="26"/>
      <c r="O1838" s="26"/>
      <c r="P1838" s="26"/>
      <c r="Q1838" s="26"/>
      <c r="R1838" s="26"/>
      <c r="S1838" s="26"/>
      <c r="T1838" s="26"/>
      <c r="U1838" s="26"/>
      <c r="V1838" s="26"/>
      <c r="W1838" s="27"/>
    </row>
    <row r="1839" spans="1:23" ht="15.75" customHeight="1" x14ac:dyDescent="0.25">
      <c r="A1839" s="23"/>
      <c r="B1839" s="23" t="str">
        <f t="shared" si="8"/>
        <v/>
      </c>
      <c r="C1839" s="23"/>
      <c r="D1839" s="44"/>
      <c r="E1839" s="23"/>
      <c r="F1839" s="45"/>
      <c r="G1839" s="23"/>
      <c r="H1839" s="23"/>
      <c r="I1839" s="23"/>
      <c r="J1839" s="25"/>
      <c r="K1839" s="23"/>
      <c r="L1839" s="23"/>
      <c r="M1839" s="23"/>
      <c r="N1839" s="26"/>
      <c r="O1839" s="26"/>
      <c r="P1839" s="26"/>
      <c r="Q1839" s="26"/>
      <c r="R1839" s="26"/>
      <c r="S1839" s="26"/>
      <c r="T1839" s="26"/>
      <c r="U1839" s="26"/>
      <c r="V1839" s="26"/>
      <c r="W1839" s="27"/>
    </row>
    <row r="1840" spans="1:23" ht="15.75" customHeight="1" x14ac:dyDescent="0.25">
      <c r="A1840" s="23"/>
      <c r="B1840" s="23" t="str">
        <f t="shared" si="8"/>
        <v/>
      </c>
      <c r="C1840" s="23"/>
      <c r="D1840" s="44"/>
      <c r="E1840" s="23"/>
      <c r="F1840" s="45"/>
      <c r="G1840" s="23"/>
      <c r="H1840" s="23"/>
      <c r="I1840" s="23"/>
      <c r="J1840" s="25"/>
      <c r="K1840" s="23"/>
      <c r="L1840" s="23"/>
      <c r="M1840" s="23"/>
      <c r="N1840" s="26"/>
      <c r="O1840" s="26"/>
      <c r="P1840" s="26"/>
      <c r="Q1840" s="26"/>
      <c r="R1840" s="26"/>
      <c r="S1840" s="26"/>
      <c r="T1840" s="26"/>
      <c r="U1840" s="26"/>
      <c r="V1840" s="26"/>
      <c r="W1840" s="27"/>
    </row>
    <row r="1841" spans="1:23" ht="15.75" customHeight="1" x14ac:dyDescent="0.25">
      <c r="A1841" s="23"/>
      <c r="B1841" s="23" t="str">
        <f t="shared" si="8"/>
        <v/>
      </c>
      <c r="C1841" s="23"/>
      <c r="D1841" s="44"/>
      <c r="E1841" s="23"/>
      <c r="F1841" s="45"/>
      <c r="G1841" s="23"/>
      <c r="H1841" s="23"/>
      <c r="I1841" s="23"/>
      <c r="J1841" s="25"/>
      <c r="K1841" s="23"/>
      <c r="L1841" s="23"/>
      <c r="M1841" s="23"/>
      <c r="N1841" s="26"/>
      <c r="O1841" s="26"/>
      <c r="P1841" s="26"/>
      <c r="Q1841" s="26"/>
      <c r="R1841" s="26"/>
      <c r="S1841" s="26"/>
      <c r="T1841" s="26"/>
      <c r="U1841" s="26"/>
      <c r="V1841" s="26"/>
      <c r="W1841" s="27"/>
    </row>
    <row r="1842" spans="1:23" ht="15.75" customHeight="1" x14ac:dyDescent="0.25">
      <c r="A1842" s="23"/>
      <c r="B1842" s="23" t="str">
        <f t="shared" si="8"/>
        <v/>
      </c>
      <c r="C1842" s="23"/>
      <c r="D1842" s="44"/>
      <c r="E1842" s="23"/>
      <c r="F1842" s="45"/>
      <c r="G1842" s="23"/>
      <c r="H1842" s="23"/>
      <c r="I1842" s="23"/>
      <c r="J1842" s="25"/>
      <c r="K1842" s="23"/>
      <c r="L1842" s="23"/>
      <c r="M1842" s="23"/>
      <c r="N1842" s="26"/>
      <c r="O1842" s="26"/>
      <c r="P1842" s="26"/>
      <c r="Q1842" s="26"/>
      <c r="R1842" s="26"/>
      <c r="S1842" s="26"/>
      <c r="T1842" s="26"/>
      <c r="U1842" s="26"/>
      <c r="V1842" s="26"/>
      <c r="W1842" s="27"/>
    </row>
    <row r="1843" spans="1:23" ht="15.75" customHeight="1" x14ac:dyDescent="0.25">
      <c r="A1843" s="23"/>
      <c r="B1843" s="23" t="str">
        <f t="shared" si="8"/>
        <v/>
      </c>
      <c r="C1843" s="23"/>
      <c r="D1843" s="44"/>
      <c r="E1843" s="23"/>
      <c r="F1843" s="45"/>
      <c r="G1843" s="23"/>
      <c r="H1843" s="23"/>
      <c r="I1843" s="23"/>
      <c r="J1843" s="25"/>
      <c r="K1843" s="23"/>
      <c r="L1843" s="23"/>
      <c r="M1843" s="23"/>
      <c r="N1843" s="26"/>
      <c r="O1843" s="26"/>
      <c r="P1843" s="26"/>
      <c r="Q1843" s="26"/>
      <c r="R1843" s="26"/>
      <c r="S1843" s="26"/>
      <c r="T1843" s="26"/>
      <c r="U1843" s="26"/>
      <c r="V1843" s="26"/>
      <c r="W1843" s="27"/>
    </row>
    <row r="1844" spans="1:23" ht="15.75" customHeight="1" x14ac:dyDescent="0.25">
      <c r="A1844" s="23"/>
      <c r="B1844" s="23" t="str">
        <f t="shared" si="8"/>
        <v/>
      </c>
      <c r="C1844" s="23"/>
      <c r="D1844" s="44"/>
      <c r="E1844" s="23"/>
      <c r="F1844" s="45"/>
      <c r="G1844" s="23"/>
      <c r="H1844" s="23"/>
      <c r="I1844" s="23"/>
      <c r="J1844" s="25"/>
      <c r="K1844" s="23"/>
      <c r="L1844" s="23"/>
      <c r="M1844" s="23"/>
      <c r="N1844" s="26"/>
      <c r="O1844" s="26"/>
      <c r="P1844" s="26"/>
      <c r="Q1844" s="26"/>
      <c r="R1844" s="26"/>
      <c r="S1844" s="26"/>
      <c r="T1844" s="26"/>
      <c r="U1844" s="26"/>
      <c r="V1844" s="26"/>
      <c r="W1844" s="27"/>
    </row>
    <row r="1845" spans="1:23" ht="15.75" customHeight="1" x14ac:dyDescent="0.25">
      <c r="A1845" s="23"/>
      <c r="B1845" s="23" t="str">
        <f t="shared" si="8"/>
        <v/>
      </c>
      <c r="C1845" s="23"/>
      <c r="D1845" s="44"/>
      <c r="E1845" s="23"/>
      <c r="F1845" s="45"/>
      <c r="G1845" s="23"/>
      <c r="H1845" s="23"/>
      <c r="I1845" s="23"/>
      <c r="J1845" s="25"/>
      <c r="K1845" s="23"/>
      <c r="L1845" s="23"/>
      <c r="M1845" s="23"/>
      <c r="N1845" s="26"/>
      <c r="O1845" s="26"/>
      <c r="P1845" s="26"/>
      <c r="Q1845" s="26"/>
      <c r="R1845" s="26"/>
      <c r="S1845" s="26"/>
      <c r="T1845" s="26"/>
      <c r="U1845" s="26"/>
      <c r="V1845" s="26"/>
      <c r="W1845" s="27"/>
    </row>
    <row r="1846" spans="1:23" ht="15.75" customHeight="1" x14ac:dyDescent="0.25">
      <c r="A1846" s="23"/>
      <c r="B1846" s="23" t="str">
        <f t="shared" si="8"/>
        <v/>
      </c>
      <c r="C1846" s="23"/>
      <c r="D1846" s="44"/>
      <c r="E1846" s="23"/>
      <c r="F1846" s="45"/>
      <c r="G1846" s="23"/>
      <c r="H1846" s="23"/>
      <c r="I1846" s="23"/>
      <c r="J1846" s="25"/>
      <c r="K1846" s="23"/>
      <c r="L1846" s="23"/>
      <c r="M1846" s="23"/>
      <c r="N1846" s="26"/>
      <c r="O1846" s="26"/>
      <c r="P1846" s="26"/>
      <c r="Q1846" s="26"/>
      <c r="R1846" s="26"/>
      <c r="S1846" s="26"/>
      <c r="T1846" s="26"/>
      <c r="U1846" s="26"/>
      <c r="V1846" s="26"/>
      <c r="W1846" s="27"/>
    </row>
    <row r="1847" spans="1:23" ht="15.75" customHeight="1" x14ac:dyDescent="0.25">
      <c r="A1847" s="23"/>
      <c r="B1847" s="23" t="str">
        <f t="shared" si="8"/>
        <v/>
      </c>
      <c r="C1847" s="23"/>
      <c r="D1847" s="44"/>
      <c r="E1847" s="23"/>
      <c r="F1847" s="45"/>
      <c r="G1847" s="23"/>
      <c r="H1847" s="23"/>
      <c r="I1847" s="23"/>
      <c r="J1847" s="25"/>
      <c r="K1847" s="23"/>
      <c r="L1847" s="23"/>
      <c r="M1847" s="23"/>
      <c r="N1847" s="26"/>
      <c r="O1847" s="26"/>
      <c r="P1847" s="26"/>
      <c r="Q1847" s="26"/>
      <c r="R1847" s="26"/>
      <c r="S1847" s="26"/>
      <c r="T1847" s="26"/>
      <c r="U1847" s="26"/>
      <c r="V1847" s="26"/>
      <c r="W1847" s="27"/>
    </row>
    <row r="1848" spans="1:23" ht="15.75" customHeight="1" x14ac:dyDescent="0.25">
      <c r="A1848" s="23"/>
      <c r="B1848" s="23" t="str">
        <f t="shared" si="8"/>
        <v/>
      </c>
      <c r="C1848" s="23"/>
      <c r="D1848" s="44"/>
      <c r="E1848" s="23"/>
      <c r="F1848" s="45"/>
      <c r="G1848" s="23"/>
      <c r="H1848" s="23"/>
      <c r="I1848" s="23"/>
      <c r="J1848" s="25"/>
      <c r="K1848" s="23"/>
      <c r="L1848" s="23"/>
      <c r="M1848" s="23"/>
      <c r="N1848" s="26"/>
      <c r="O1848" s="26"/>
      <c r="P1848" s="26"/>
      <c r="Q1848" s="26"/>
      <c r="R1848" s="26"/>
      <c r="S1848" s="26"/>
      <c r="T1848" s="26"/>
      <c r="U1848" s="26"/>
      <c r="V1848" s="26"/>
      <c r="W1848" s="27"/>
    </row>
    <row r="1849" spans="1:23" ht="15.75" customHeight="1" x14ac:dyDescent="0.25">
      <c r="A1849" s="23"/>
      <c r="B1849" s="23" t="str">
        <f t="shared" si="8"/>
        <v/>
      </c>
      <c r="C1849" s="23"/>
      <c r="D1849" s="44"/>
      <c r="E1849" s="23"/>
      <c r="F1849" s="45"/>
      <c r="G1849" s="23"/>
      <c r="H1849" s="23"/>
      <c r="I1849" s="23"/>
      <c r="J1849" s="25"/>
      <c r="K1849" s="23"/>
      <c r="L1849" s="23"/>
      <c r="M1849" s="23"/>
      <c r="N1849" s="26"/>
      <c r="O1849" s="26"/>
      <c r="P1849" s="26"/>
      <c r="Q1849" s="26"/>
      <c r="R1849" s="26"/>
      <c r="S1849" s="26"/>
      <c r="T1849" s="26"/>
      <c r="U1849" s="26"/>
      <c r="V1849" s="26"/>
      <c r="W1849" s="27"/>
    </row>
    <row r="1850" spans="1:23" ht="15.75" customHeight="1" x14ac:dyDescent="0.25">
      <c r="A1850" s="23"/>
      <c r="B1850" s="23" t="str">
        <f t="shared" si="8"/>
        <v/>
      </c>
      <c r="C1850" s="23"/>
      <c r="D1850" s="44"/>
      <c r="E1850" s="23"/>
      <c r="F1850" s="45"/>
      <c r="G1850" s="23"/>
      <c r="H1850" s="23"/>
      <c r="I1850" s="23"/>
      <c r="J1850" s="25"/>
      <c r="K1850" s="23"/>
      <c r="L1850" s="23"/>
      <c r="M1850" s="23"/>
      <c r="N1850" s="26"/>
      <c r="O1850" s="26"/>
      <c r="P1850" s="26"/>
      <c r="Q1850" s="26"/>
      <c r="R1850" s="26"/>
      <c r="S1850" s="26"/>
      <c r="T1850" s="26"/>
      <c r="U1850" s="26"/>
      <c r="V1850" s="26"/>
      <c r="W1850" s="27"/>
    </row>
    <row r="1851" spans="1:23" ht="15.75" customHeight="1" x14ac:dyDescent="0.25">
      <c r="A1851" s="23"/>
      <c r="B1851" s="23" t="str">
        <f t="shared" si="8"/>
        <v/>
      </c>
      <c r="C1851" s="23"/>
      <c r="D1851" s="44"/>
      <c r="E1851" s="23"/>
      <c r="F1851" s="45"/>
      <c r="G1851" s="23"/>
      <c r="H1851" s="23"/>
      <c r="I1851" s="23"/>
      <c r="J1851" s="25"/>
      <c r="K1851" s="23"/>
      <c r="L1851" s="23"/>
      <c r="M1851" s="23"/>
      <c r="N1851" s="26"/>
      <c r="O1851" s="26"/>
      <c r="P1851" s="26"/>
      <c r="Q1851" s="26"/>
      <c r="R1851" s="26"/>
      <c r="S1851" s="26"/>
      <c r="T1851" s="26"/>
      <c r="U1851" s="26"/>
      <c r="V1851" s="26"/>
      <c r="W1851" s="27"/>
    </row>
    <row r="1852" spans="1:23" ht="15.75" customHeight="1" x14ac:dyDescent="0.25">
      <c r="A1852" s="23"/>
      <c r="B1852" s="23" t="str">
        <f t="shared" si="8"/>
        <v/>
      </c>
      <c r="C1852" s="23"/>
      <c r="D1852" s="44"/>
      <c r="E1852" s="23"/>
      <c r="F1852" s="45"/>
      <c r="G1852" s="23"/>
      <c r="H1852" s="23"/>
      <c r="I1852" s="23"/>
      <c r="J1852" s="25"/>
      <c r="K1852" s="23"/>
      <c r="L1852" s="23"/>
      <c r="M1852" s="23"/>
      <c r="N1852" s="26"/>
      <c r="O1852" s="26"/>
      <c r="P1852" s="26"/>
      <c r="Q1852" s="26"/>
      <c r="R1852" s="26"/>
      <c r="S1852" s="26"/>
      <c r="T1852" s="26"/>
      <c r="U1852" s="26"/>
      <c r="V1852" s="26"/>
      <c r="W1852" s="27"/>
    </row>
    <row r="1853" spans="1:23" ht="15.75" customHeight="1" x14ac:dyDescent="0.25">
      <c r="A1853" s="23"/>
      <c r="B1853" s="23" t="str">
        <f t="shared" si="8"/>
        <v/>
      </c>
      <c r="C1853" s="23"/>
      <c r="D1853" s="44"/>
      <c r="E1853" s="23"/>
      <c r="F1853" s="45"/>
      <c r="G1853" s="23"/>
      <c r="H1853" s="23"/>
      <c r="I1853" s="23"/>
      <c r="J1853" s="25"/>
      <c r="K1853" s="23"/>
      <c r="L1853" s="23"/>
      <c r="M1853" s="23"/>
      <c r="N1853" s="26"/>
      <c r="O1853" s="26"/>
      <c r="P1853" s="26"/>
      <c r="Q1853" s="26"/>
      <c r="R1853" s="26"/>
      <c r="S1853" s="26"/>
      <c r="T1853" s="26"/>
      <c r="U1853" s="26"/>
      <c r="V1853" s="26"/>
      <c r="W1853" s="27"/>
    </row>
    <row r="1854" spans="1:23" ht="15.75" customHeight="1" x14ac:dyDescent="0.25">
      <c r="A1854" s="23"/>
      <c r="B1854" s="23" t="str">
        <f t="shared" si="8"/>
        <v/>
      </c>
      <c r="C1854" s="23"/>
      <c r="D1854" s="44"/>
      <c r="E1854" s="23"/>
      <c r="F1854" s="45"/>
      <c r="G1854" s="23"/>
      <c r="H1854" s="23"/>
      <c r="I1854" s="23"/>
      <c r="J1854" s="25"/>
      <c r="K1854" s="23"/>
      <c r="L1854" s="23"/>
      <c r="M1854" s="23"/>
      <c r="N1854" s="26"/>
      <c r="O1854" s="26"/>
      <c r="P1854" s="26"/>
      <c r="Q1854" s="26"/>
      <c r="R1854" s="26"/>
      <c r="S1854" s="26"/>
      <c r="T1854" s="26"/>
      <c r="U1854" s="26"/>
      <c r="V1854" s="26"/>
      <c r="W1854" s="27"/>
    </row>
    <row r="1855" spans="1:23" ht="15.75" customHeight="1" x14ac:dyDescent="0.25">
      <c r="A1855" s="23"/>
      <c r="B1855" s="23" t="str">
        <f t="shared" si="8"/>
        <v/>
      </c>
      <c r="C1855" s="23"/>
      <c r="D1855" s="44"/>
      <c r="E1855" s="23"/>
      <c r="F1855" s="45"/>
      <c r="G1855" s="23"/>
      <c r="H1855" s="23"/>
      <c r="I1855" s="23"/>
      <c r="J1855" s="25"/>
      <c r="K1855" s="23"/>
      <c r="L1855" s="23"/>
      <c r="M1855" s="23"/>
      <c r="N1855" s="26"/>
      <c r="O1855" s="26"/>
      <c r="P1855" s="26"/>
      <c r="Q1855" s="26"/>
      <c r="R1855" s="26"/>
      <c r="S1855" s="26"/>
      <c r="T1855" s="26"/>
      <c r="U1855" s="26"/>
      <c r="V1855" s="26"/>
      <c r="W1855" s="27"/>
    </row>
    <row r="1856" spans="1:23" ht="15.75" customHeight="1" x14ac:dyDescent="0.25">
      <c r="A1856" s="23"/>
      <c r="B1856" s="23" t="str">
        <f t="shared" si="8"/>
        <v/>
      </c>
      <c r="C1856" s="23"/>
      <c r="D1856" s="44"/>
      <c r="E1856" s="23"/>
      <c r="F1856" s="45"/>
      <c r="G1856" s="23"/>
      <c r="H1856" s="23"/>
      <c r="I1856" s="23"/>
      <c r="J1856" s="25"/>
      <c r="K1856" s="23"/>
      <c r="L1856" s="23"/>
      <c r="M1856" s="23"/>
      <c r="N1856" s="26"/>
      <c r="O1856" s="26"/>
      <c r="P1856" s="26"/>
      <c r="Q1856" s="26"/>
      <c r="R1856" s="26"/>
      <c r="S1856" s="26"/>
      <c r="T1856" s="26"/>
      <c r="U1856" s="26"/>
      <c r="V1856" s="26"/>
      <c r="W1856" s="27"/>
    </row>
    <row r="1857" spans="1:23" ht="15.75" customHeight="1" x14ac:dyDescent="0.25">
      <c r="A1857" s="23"/>
      <c r="B1857" s="23" t="str">
        <f t="shared" si="8"/>
        <v/>
      </c>
      <c r="C1857" s="23"/>
      <c r="D1857" s="44"/>
      <c r="E1857" s="23"/>
      <c r="F1857" s="45"/>
      <c r="G1857" s="23"/>
      <c r="H1857" s="23"/>
      <c r="I1857" s="23"/>
      <c r="J1857" s="25"/>
      <c r="K1857" s="23"/>
      <c r="L1857" s="23"/>
      <c r="M1857" s="23"/>
      <c r="N1857" s="26"/>
      <c r="O1857" s="26"/>
      <c r="P1857" s="26"/>
      <c r="Q1857" s="26"/>
      <c r="R1857" s="26"/>
      <c r="S1857" s="26"/>
      <c r="T1857" s="26"/>
      <c r="U1857" s="26"/>
      <c r="V1857" s="26"/>
      <c r="W1857" s="27"/>
    </row>
    <row r="1858" spans="1:23" ht="15.75" customHeight="1" x14ac:dyDescent="0.25">
      <c r="A1858" s="23"/>
      <c r="B1858" s="23" t="str">
        <f t="shared" si="8"/>
        <v/>
      </c>
      <c r="C1858" s="23"/>
      <c r="D1858" s="44"/>
      <c r="E1858" s="23"/>
      <c r="F1858" s="45"/>
      <c r="G1858" s="23"/>
      <c r="H1858" s="23"/>
      <c r="I1858" s="23"/>
      <c r="J1858" s="25"/>
      <c r="K1858" s="23"/>
      <c r="L1858" s="23"/>
      <c r="M1858" s="23"/>
      <c r="N1858" s="26"/>
      <c r="O1858" s="26"/>
      <c r="P1858" s="26"/>
      <c r="Q1858" s="26"/>
      <c r="R1858" s="26"/>
      <c r="S1858" s="26"/>
      <c r="T1858" s="26"/>
      <c r="U1858" s="26"/>
      <c r="V1858" s="26"/>
      <c r="W1858" s="27"/>
    </row>
    <row r="1859" spans="1:23" ht="15.75" customHeight="1" x14ac:dyDescent="0.25">
      <c r="A1859" s="23"/>
      <c r="B1859" s="23" t="str">
        <f t="shared" si="8"/>
        <v/>
      </c>
      <c r="C1859" s="23"/>
      <c r="D1859" s="44"/>
      <c r="E1859" s="23"/>
      <c r="F1859" s="45"/>
      <c r="G1859" s="23"/>
      <c r="H1859" s="23"/>
      <c r="I1859" s="23"/>
      <c r="J1859" s="25"/>
      <c r="K1859" s="23"/>
      <c r="L1859" s="23"/>
      <c r="M1859" s="23"/>
      <c r="N1859" s="26"/>
      <c r="O1859" s="26"/>
      <c r="P1859" s="26"/>
      <c r="Q1859" s="26"/>
      <c r="R1859" s="26"/>
      <c r="S1859" s="26"/>
      <c r="T1859" s="26"/>
      <c r="U1859" s="26"/>
      <c r="V1859" s="26"/>
      <c r="W1859" s="27"/>
    </row>
    <row r="1860" spans="1:23" ht="15.75" customHeight="1" x14ac:dyDescent="0.25">
      <c r="A1860" s="23"/>
      <c r="B1860" s="23" t="str">
        <f t="shared" si="8"/>
        <v/>
      </c>
      <c r="C1860" s="23"/>
      <c r="D1860" s="44"/>
      <c r="E1860" s="23"/>
      <c r="F1860" s="45"/>
      <c r="G1860" s="23"/>
      <c r="H1860" s="23"/>
      <c r="I1860" s="23"/>
      <c r="J1860" s="25"/>
      <c r="K1860" s="23"/>
      <c r="L1860" s="23"/>
      <c r="M1860" s="23"/>
      <c r="N1860" s="26"/>
      <c r="O1860" s="26"/>
      <c r="P1860" s="26"/>
      <c r="Q1860" s="26"/>
      <c r="R1860" s="26"/>
      <c r="S1860" s="26"/>
      <c r="T1860" s="26"/>
      <c r="U1860" s="26"/>
      <c r="V1860" s="26"/>
      <c r="W1860" s="27"/>
    </row>
    <row r="1861" spans="1:23" ht="15.75" customHeight="1" x14ac:dyDescent="0.25">
      <c r="A1861" s="23"/>
      <c r="B1861" s="23" t="str">
        <f t="shared" si="8"/>
        <v/>
      </c>
      <c r="C1861" s="23"/>
      <c r="D1861" s="44"/>
      <c r="E1861" s="23"/>
      <c r="F1861" s="45"/>
      <c r="G1861" s="23"/>
      <c r="H1861" s="23"/>
      <c r="I1861" s="23"/>
      <c r="J1861" s="25"/>
      <c r="K1861" s="23"/>
      <c r="L1861" s="23"/>
      <c r="M1861" s="23"/>
      <c r="N1861" s="26"/>
      <c r="O1861" s="26"/>
      <c r="P1861" s="26"/>
      <c r="Q1861" s="26"/>
      <c r="R1861" s="26"/>
      <c r="S1861" s="26"/>
      <c r="T1861" s="26"/>
      <c r="U1861" s="26"/>
      <c r="V1861" s="26"/>
      <c r="W1861" s="27"/>
    </row>
    <row r="1862" spans="1:23" ht="15.75" customHeight="1" x14ac:dyDescent="0.25">
      <c r="A1862" s="23"/>
      <c r="B1862" s="23" t="str">
        <f t="shared" si="8"/>
        <v/>
      </c>
      <c r="C1862" s="23"/>
      <c r="D1862" s="44"/>
      <c r="E1862" s="23"/>
      <c r="F1862" s="45"/>
      <c r="G1862" s="23"/>
      <c r="H1862" s="23"/>
      <c r="I1862" s="23"/>
      <c r="J1862" s="25"/>
      <c r="K1862" s="23"/>
      <c r="L1862" s="23"/>
      <c r="M1862" s="23"/>
      <c r="N1862" s="26"/>
      <c r="O1862" s="26"/>
      <c r="P1862" s="26"/>
      <c r="Q1862" s="26"/>
      <c r="R1862" s="26"/>
      <c r="S1862" s="26"/>
      <c r="T1862" s="26"/>
      <c r="U1862" s="26"/>
      <c r="V1862" s="26"/>
      <c r="W1862" s="27"/>
    </row>
    <row r="1863" spans="1:23" ht="15.75" customHeight="1" x14ac:dyDescent="0.25">
      <c r="A1863" s="23"/>
      <c r="B1863" s="23" t="str">
        <f t="shared" si="8"/>
        <v/>
      </c>
      <c r="C1863" s="23"/>
      <c r="D1863" s="44"/>
      <c r="E1863" s="23"/>
      <c r="F1863" s="45"/>
      <c r="G1863" s="23"/>
      <c r="H1863" s="23"/>
      <c r="I1863" s="23"/>
      <c r="J1863" s="25"/>
      <c r="K1863" s="23"/>
      <c r="L1863" s="23"/>
      <c r="M1863" s="23"/>
      <c r="N1863" s="26"/>
      <c r="O1863" s="26"/>
      <c r="P1863" s="26"/>
      <c r="Q1863" s="26"/>
      <c r="R1863" s="26"/>
      <c r="S1863" s="26"/>
      <c r="T1863" s="26"/>
      <c r="U1863" s="26"/>
      <c r="V1863" s="26"/>
      <c r="W1863" s="27"/>
    </row>
    <row r="1864" spans="1:23" ht="15.75" customHeight="1" x14ac:dyDescent="0.25">
      <c r="A1864" s="23"/>
      <c r="B1864" s="23" t="str">
        <f t="shared" si="8"/>
        <v/>
      </c>
      <c r="C1864" s="23"/>
      <c r="D1864" s="44"/>
      <c r="E1864" s="23"/>
      <c r="F1864" s="45"/>
      <c r="G1864" s="23"/>
      <c r="H1864" s="23"/>
      <c r="I1864" s="23"/>
      <c r="J1864" s="25"/>
      <c r="K1864" s="23"/>
      <c r="L1864" s="23"/>
      <c r="M1864" s="23"/>
      <c r="N1864" s="26"/>
      <c r="O1864" s="26"/>
      <c r="P1864" s="26"/>
      <c r="Q1864" s="26"/>
      <c r="R1864" s="26"/>
      <c r="S1864" s="26"/>
      <c r="T1864" s="26"/>
      <c r="U1864" s="26"/>
      <c r="V1864" s="26"/>
      <c r="W1864" s="27"/>
    </row>
    <row r="1865" spans="1:23" ht="15.75" customHeight="1" x14ac:dyDescent="0.25">
      <c r="A1865" s="23"/>
      <c r="B1865" s="23" t="str">
        <f t="shared" si="8"/>
        <v/>
      </c>
      <c r="C1865" s="23"/>
      <c r="D1865" s="44"/>
      <c r="E1865" s="23"/>
      <c r="F1865" s="45"/>
      <c r="G1865" s="23"/>
      <c r="H1865" s="23"/>
      <c r="I1865" s="23"/>
      <c r="J1865" s="25"/>
      <c r="K1865" s="23"/>
      <c r="L1865" s="23"/>
      <c r="M1865" s="23"/>
      <c r="N1865" s="26"/>
      <c r="O1865" s="26"/>
      <c r="P1865" s="26"/>
      <c r="Q1865" s="26"/>
      <c r="R1865" s="26"/>
      <c r="S1865" s="26"/>
      <c r="T1865" s="26"/>
      <c r="U1865" s="26"/>
      <c r="V1865" s="26"/>
      <c r="W1865" s="27"/>
    </row>
    <row r="1866" spans="1:23" ht="15.75" customHeight="1" x14ac:dyDescent="0.25">
      <c r="A1866" s="23"/>
      <c r="B1866" s="23" t="str">
        <f t="shared" si="8"/>
        <v/>
      </c>
      <c r="C1866" s="23"/>
      <c r="D1866" s="44"/>
      <c r="E1866" s="23"/>
      <c r="F1866" s="45"/>
      <c r="G1866" s="23"/>
      <c r="H1866" s="23"/>
      <c r="I1866" s="23"/>
      <c r="J1866" s="25"/>
      <c r="K1866" s="23"/>
      <c r="L1866" s="23"/>
      <c r="M1866" s="23"/>
      <c r="N1866" s="26"/>
      <c r="O1866" s="26"/>
      <c r="P1866" s="26"/>
      <c r="Q1866" s="26"/>
      <c r="R1866" s="26"/>
      <c r="S1866" s="26"/>
      <c r="T1866" s="26"/>
      <c r="U1866" s="26"/>
      <c r="V1866" s="26"/>
      <c r="W1866" s="27"/>
    </row>
    <row r="1867" spans="1:23" ht="15.75" customHeight="1" x14ac:dyDescent="0.25">
      <c r="A1867" s="23"/>
      <c r="B1867" s="23" t="str">
        <f t="shared" si="8"/>
        <v/>
      </c>
      <c r="C1867" s="23"/>
      <c r="D1867" s="44"/>
      <c r="E1867" s="23"/>
      <c r="F1867" s="45"/>
      <c r="G1867" s="23"/>
      <c r="H1867" s="23"/>
      <c r="I1867" s="23"/>
      <c r="J1867" s="25"/>
      <c r="K1867" s="23"/>
      <c r="L1867" s="23"/>
      <c r="M1867" s="23"/>
      <c r="N1867" s="26"/>
      <c r="O1867" s="26"/>
      <c r="P1867" s="26"/>
      <c r="Q1867" s="26"/>
      <c r="R1867" s="26"/>
      <c r="S1867" s="26"/>
      <c r="T1867" s="26"/>
      <c r="U1867" s="26"/>
      <c r="V1867" s="26"/>
      <c r="W1867" s="27"/>
    </row>
    <row r="1868" spans="1:23" ht="15.75" customHeight="1" x14ac:dyDescent="0.25">
      <c r="A1868" s="23"/>
      <c r="B1868" s="23" t="str">
        <f t="shared" si="8"/>
        <v/>
      </c>
      <c r="C1868" s="23"/>
      <c r="D1868" s="44"/>
      <c r="E1868" s="23"/>
      <c r="F1868" s="45"/>
      <c r="G1868" s="23"/>
      <c r="H1868" s="23"/>
      <c r="I1868" s="23"/>
      <c r="J1868" s="25"/>
      <c r="K1868" s="23"/>
      <c r="L1868" s="23"/>
      <c r="M1868" s="23"/>
      <c r="N1868" s="26"/>
      <c r="O1868" s="26"/>
      <c r="P1868" s="26"/>
      <c r="Q1868" s="26"/>
      <c r="R1868" s="26"/>
      <c r="S1868" s="26"/>
      <c r="T1868" s="26"/>
      <c r="U1868" s="26"/>
      <c r="V1868" s="26"/>
      <c r="W1868" s="27"/>
    </row>
    <row r="1869" spans="1:23" ht="15.75" customHeight="1" x14ac:dyDescent="0.25">
      <c r="A1869" s="23"/>
      <c r="B1869" s="23" t="str">
        <f t="shared" si="8"/>
        <v/>
      </c>
      <c r="C1869" s="23"/>
      <c r="D1869" s="44"/>
      <c r="E1869" s="23"/>
      <c r="F1869" s="45"/>
      <c r="G1869" s="23"/>
      <c r="H1869" s="23"/>
      <c r="I1869" s="23"/>
      <c r="J1869" s="25"/>
      <c r="K1869" s="23"/>
      <c r="L1869" s="23"/>
      <c r="M1869" s="23"/>
      <c r="N1869" s="26"/>
      <c r="O1869" s="26"/>
      <c r="P1869" s="26"/>
      <c r="Q1869" s="26"/>
      <c r="R1869" s="26"/>
      <c r="S1869" s="26"/>
      <c r="T1869" s="26"/>
      <c r="U1869" s="26"/>
      <c r="V1869" s="26"/>
      <c r="W1869" s="27"/>
    </row>
    <row r="1870" spans="1:23" ht="15.75" customHeight="1" x14ac:dyDescent="0.25">
      <c r="A1870" s="23"/>
      <c r="B1870" s="23" t="str">
        <f t="shared" si="8"/>
        <v/>
      </c>
      <c r="C1870" s="23"/>
      <c r="D1870" s="44"/>
      <c r="E1870" s="23"/>
      <c r="F1870" s="45"/>
      <c r="G1870" s="23"/>
      <c r="H1870" s="23"/>
      <c r="I1870" s="23"/>
      <c r="J1870" s="25"/>
      <c r="K1870" s="23"/>
      <c r="L1870" s="23"/>
      <c r="M1870" s="23"/>
      <c r="N1870" s="26"/>
      <c r="O1870" s="26"/>
      <c r="P1870" s="26"/>
      <c r="Q1870" s="26"/>
      <c r="R1870" s="26"/>
      <c r="S1870" s="26"/>
      <c r="T1870" s="26"/>
      <c r="U1870" s="26"/>
      <c r="V1870" s="26"/>
      <c r="W1870" s="27"/>
    </row>
    <row r="1871" spans="1:23" ht="15.75" customHeight="1" x14ac:dyDescent="0.25">
      <c r="A1871" s="23"/>
      <c r="B1871" s="23" t="str">
        <f t="shared" si="8"/>
        <v/>
      </c>
      <c r="C1871" s="23"/>
      <c r="D1871" s="44"/>
      <c r="E1871" s="23"/>
      <c r="F1871" s="45"/>
      <c r="G1871" s="23"/>
      <c r="H1871" s="23"/>
      <c r="I1871" s="23"/>
      <c r="J1871" s="25"/>
      <c r="K1871" s="23"/>
      <c r="L1871" s="23"/>
      <c r="M1871" s="23"/>
      <c r="N1871" s="26"/>
      <c r="O1871" s="26"/>
      <c r="P1871" s="26"/>
      <c r="Q1871" s="26"/>
      <c r="R1871" s="26"/>
      <c r="S1871" s="26"/>
      <c r="T1871" s="26"/>
      <c r="U1871" s="26"/>
      <c r="V1871" s="26"/>
      <c r="W1871" s="27"/>
    </row>
    <row r="1872" spans="1:23" ht="15.75" customHeight="1" x14ac:dyDescent="0.25">
      <c r="A1872" s="23"/>
      <c r="B1872" s="23" t="str">
        <f t="shared" si="8"/>
        <v/>
      </c>
      <c r="C1872" s="23"/>
      <c r="D1872" s="44"/>
      <c r="E1872" s="23"/>
      <c r="F1872" s="45"/>
      <c r="G1872" s="23"/>
      <c r="H1872" s="23"/>
      <c r="I1872" s="23"/>
      <c r="J1872" s="25"/>
      <c r="K1872" s="23"/>
      <c r="L1872" s="23"/>
      <c r="M1872" s="23"/>
      <c r="N1872" s="26"/>
      <c r="O1872" s="26"/>
      <c r="P1872" s="26"/>
      <c r="Q1872" s="26"/>
      <c r="R1872" s="26"/>
      <c r="S1872" s="26"/>
      <c r="T1872" s="26"/>
      <c r="U1872" s="26"/>
      <c r="V1872" s="26"/>
      <c r="W1872" s="27"/>
    </row>
    <row r="1873" spans="1:23" ht="15.75" customHeight="1" x14ac:dyDescent="0.25">
      <c r="A1873" s="23"/>
      <c r="B1873" s="23" t="str">
        <f t="shared" si="8"/>
        <v/>
      </c>
      <c r="C1873" s="23"/>
      <c r="D1873" s="44"/>
      <c r="E1873" s="23"/>
      <c r="F1873" s="45"/>
      <c r="G1873" s="23"/>
      <c r="H1873" s="23"/>
      <c r="I1873" s="23"/>
      <c r="J1873" s="25"/>
      <c r="K1873" s="23"/>
      <c r="L1873" s="23"/>
      <c r="M1873" s="23"/>
      <c r="N1873" s="26"/>
      <c r="O1873" s="26"/>
      <c r="P1873" s="26"/>
      <c r="Q1873" s="26"/>
      <c r="R1873" s="26"/>
      <c r="S1873" s="26"/>
      <c r="T1873" s="26"/>
      <c r="U1873" s="26"/>
      <c r="V1873" s="26"/>
      <c r="W1873" s="27"/>
    </row>
    <row r="1874" spans="1:23" ht="15.75" customHeight="1" x14ac:dyDescent="0.25">
      <c r="A1874" s="23"/>
      <c r="B1874" s="23" t="str">
        <f t="shared" si="8"/>
        <v/>
      </c>
      <c r="C1874" s="23"/>
      <c r="D1874" s="44"/>
      <c r="E1874" s="23"/>
      <c r="F1874" s="45"/>
      <c r="G1874" s="23"/>
      <c r="H1874" s="23"/>
      <c r="I1874" s="23"/>
      <c r="J1874" s="25"/>
      <c r="K1874" s="23"/>
      <c r="L1874" s="23"/>
      <c r="M1874" s="23"/>
      <c r="N1874" s="26"/>
      <c r="O1874" s="26"/>
      <c r="P1874" s="26"/>
      <c r="Q1874" s="26"/>
      <c r="R1874" s="26"/>
      <c r="S1874" s="26"/>
      <c r="T1874" s="26"/>
      <c r="U1874" s="26"/>
      <c r="V1874" s="26"/>
      <c r="W1874" s="27"/>
    </row>
    <row r="1875" spans="1:23" ht="15.75" customHeight="1" x14ac:dyDescent="0.25">
      <c r="A1875" s="23"/>
      <c r="B1875" s="23" t="str">
        <f t="shared" si="8"/>
        <v/>
      </c>
      <c r="C1875" s="23"/>
      <c r="D1875" s="44"/>
      <c r="E1875" s="23"/>
      <c r="F1875" s="45"/>
      <c r="G1875" s="23"/>
      <c r="H1875" s="23"/>
      <c r="I1875" s="23"/>
      <c r="J1875" s="25"/>
      <c r="K1875" s="23"/>
      <c r="L1875" s="23"/>
      <c r="M1875" s="23"/>
      <c r="N1875" s="26"/>
      <c r="O1875" s="26"/>
      <c r="P1875" s="26"/>
      <c r="Q1875" s="26"/>
      <c r="R1875" s="26"/>
      <c r="S1875" s="26"/>
      <c r="T1875" s="26"/>
      <c r="U1875" s="26"/>
      <c r="V1875" s="26"/>
      <c r="W1875" s="27"/>
    </row>
    <row r="1876" spans="1:23" ht="15.75" customHeight="1" x14ac:dyDescent="0.25">
      <c r="A1876" s="23"/>
      <c r="B1876" s="23" t="str">
        <f t="shared" si="8"/>
        <v/>
      </c>
      <c r="C1876" s="23"/>
      <c r="D1876" s="44"/>
      <c r="E1876" s="23"/>
      <c r="F1876" s="45"/>
      <c r="G1876" s="23"/>
      <c r="H1876" s="23"/>
      <c r="I1876" s="23"/>
      <c r="J1876" s="25"/>
      <c r="K1876" s="23"/>
      <c r="L1876" s="23"/>
      <c r="M1876" s="23"/>
      <c r="N1876" s="26"/>
      <c r="O1876" s="26"/>
      <c r="P1876" s="26"/>
      <c r="Q1876" s="26"/>
      <c r="R1876" s="26"/>
      <c r="S1876" s="26"/>
      <c r="T1876" s="26"/>
      <c r="U1876" s="26"/>
      <c r="V1876" s="26"/>
      <c r="W1876" s="27"/>
    </row>
    <row r="1877" spans="1:23" ht="15.75" customHeight="1" x14ac:dyDescent="0.25">
      <c r="A1877" s="23"/>
      <c r="B1877" s="23" t="str">
        <f t="shared" si="8"/>
        <v/>
      </c>
      <c r="C1877" s="23"/>
      <c r="D1877" s="44"/>
      <c r="E1877" s="23"/>
      <c r="F1877" s="45"/>
      <c r="G1877" s="23"/>
      <c r="H1877" s="23"/>
      <c r="I1877" s="23"/>
      <c r="J1877" s="25"/>
      <c r="K1877" s="23"/>
      <c r="L1877" s="23"/>
      <c r="M1877" s="23"/>
      <c r="N1877" s="26"/>
      <c r="O1877" s="26"/>
      <c r="P1877" s="26"/>
      <c r="Q1877" s="26"/>
      <c r="R1877" s="26"/>
      <c r="S1877" s="26"/>
      <c r="T1877" s="26"/>
      <c r="U1877" s="26"/>
      <c r="V1877" s="26"/>
      <c r="W1877" s="27"/>
    </row>
    <row r="1878" spans="1:23" ht="15.75" customHeight="1" x14ac:dyDescent="0.25">
      <c r="A1878" s="23"/>
      <c r="B1878" s="23" t="str">
        <f t="shared" si="8"/>
        <v/>
      </c>
      <c r="C1878" s="23"/>
      <c r="D1878" s="44"/>
      <c r="E1878" s="23"/>
      <c r="F1878" s="45"/>
      <c r="G1878" s="23"/>
      <c r="H1878" s="23"/>
      <c r="I1878" s="23"/>
      <c r="J1878" s="25"/>
      <c r="K1878" s="23"/>
      <c r="L1878" s="23"/>
      <c r="M1878" s="23"/>
      <c r="N1878" s="26"/>
      <c r="O1878" s="26"/>
      <c r="P1878" s="26"/>
      <c r="Q1878" s="26"/>
      <c r="R1878" s="26"/>
      <c r="S1878" s="26"/>
      <c r="T1878" s="26"/>
      <c r="U1878" s="26"/>
      <c r="V1878" s="26"/>
      <c r="W1878" s="27"/>
    </row>
    <row r="1879" spans="1:23" ht="15.75" customHeight="1" x14ac:dyDescent="0.25">
      <c r="A1879" s="23"/>
      <c r="B1879" s="23" t="str">
        <f t="shared" si="8"/>
        <v/>
      </c>
      <c r="C1879" s="23"/>
      <c r="D1879" s="44"/>
      <c r="E1879" s="23"/>
      <c r="F1879" s="45"/>
      <c r="G1879" s="23"/>
      <c r="H1879" s="23"/>
      <c r="I1879" s="23"/>
      <c r="J1879" s="25"/>
      <c r="K1879" s="23"/>
      <c r="L1879" s="23"/>
      <c r="M1879" s="23"/>
      <c r="N1879" s="26"/>
      <c r="O1879" s="26"/>
      <c r="P1879" s="26"/>
      <c r="Q1879" s="26"/>
      <c r="R1879" s="26"/>
      <c r="S1879" s="26"/>
      <c r="T1879" s="26"/>
      <c r="U1879" s="26"/>
      <c r="V1879" s="26"/>
      <c r="W1879" s="27"/>
    </row>
    <row r="1880" spans="1:23" ht="15.75" customHeight="1" x14ac:dyDescent="0.25">
      <c r="A1880" s="23"/>
      <c r="B1880" s="23" t="str">
        <f t="shared" si="8"/>
        <v/>
      </c>
      <c r="C1880" s="23"/>
      <c r="D1880" s="44"/>
      <c r="E1880" s="23"/>
      <c r="F1880" s="45"/>
      <c r="G1880" s="23"/>
      <c r="H1880" s="23"/>
      <c r="I1880" s="23"/>
      <c r="J1880" s="25"/>
      <c r="K1880" s="23"/>
      <c r="L1880" s="23"/>
      <c r="M1880" s="23"/>
      <c r="N1880" s="26"/>
      <c r="O1880" s="26"/>
      <c r="P1880" s="26"/>
      <c r="Q1880" s="26"/>
      <c r="R1880" s="26"/>
      <c r="S1880" s="26"/>
      <c r="T1880" s="26"/>
      <c r="U1880" s="26"/>
      <c r="V1880" s="26"/>
      <c r="W1880" s="27"/>
    </row>
    <row r="1881" spans="1:23" ht="15.75" customHeight="1" x14ac:dyDescent="0.25">
      <c r="A1881" s="23"/>
      <c r="B1881" s="23" t="str">
        <f t="shared" si="8"/>
        <v/>
      </c>
      <c r="C1881" s="23"/>
      <c r="D1881" s="44"/>
      <c r="E1881" s="23"/>
      <c r="F1881" s="45"/>
      <c r="G1881" s="23"/>
      <c r="H1881" s="23"/>
      <c r="I1881" s="23"/>
      <c r="J1881" s="25"/>
      <c r="K1881" s="23"/>
      <c r="L1881" s="23"/>
      <c r="M1881" s="23"/>
      <c r="N1881" s="26"/>
      <c r="O1881" s="26"/>
      <c r="P1881" s="26"/>
      <c r="Q1881" s="26"/>
      <c r="R1881" s="26"/>
      <c r="S1881" s="26"/>
      <c r="T1881" s="26"/>
      <c r="U1881" s="26"/>
      <c r="V1881" s="26"/>
      <c r="W1881" s="27"/>
    </row>
    <row r="1882" spans="1:23" ht="15.75" customHeight="1" x14ac:dyDescent="0.25">
      <c r="A1882" s="23"/>
      <c r="B1882" s="23" t="str">
        <f t="shared" si="8"/>
        <v/>
      </c>
      <c r="C1882" s="23"/>
      <c r="D1882" s="44"/>
      <c r="E1882" s="23"/>
      <c r="F1882" s="45"/>
      <c r="G1882" s="23"/>
      <c r="H1882" s="23"/>
      <c r="I1882" s="23"/>
      <c r="J1882" s="25"/>
      <c r="K1882" s="23"/>
      <c r="L1882" s="23"/>
      <c r="M1882" s="23"/>
      <c r="N1882" s="26"/>
      <c r="O1882" s="26"/>
      <c r="P1882" s="26"/>
      <c r="Q1882" s="26"/>
      <c r="R1882" s="26"/>
      <c r="S1882" s="26"/>
      <c r="T1882" s="26"/>
      <c r="U1882" s="26"/>
      <c r="V1882" s="26"/>
      <c r="W1882" s="27"/>
    </row>
    <row r="1883" spans="1:23" ht="15.75" customHeight="1" x14ac:dyDescent="0.25">
      <c r="A1883" s="23"/>
      <c r="B1883" s="23" t="str">
        <f t="shared" si="8"/>
        <v/>
      </c>
      <c r="C1883" s="23"/>
      <c r="D1883" s="44"/>
      <c r="E1883" s="23"/>
      <c r="F1883" s="45"/>
      <c r="G1883" s="23"/>
      <c r="H1883" s="23"/>
      <c r="I1883" s="23"/>
      <c r="J1883" s="25"/>
      <c r="K1883" s="23"/>
      <c r="L1883" s="23"/>
      <c r="M1883" s="23"/>
      <c r="N1883" s="26"/>
      <c r="O1883" s="26"/>
      <c r="P1883" s="26"/>
      <c r="Q1883" s="26"/>
      <c r="R1883" s="26"/>
      <c r="S1883" s="26"/>
      <c r="T1883" s="26"/>
      <c r="U1883" s="26"/>
      <c r="V1883" s="26"/>
      <c r="W1883" s="27"/>
    </row>
    <row r="1884" spans="1:23" ht="15.75" customHeight="1" x14ac:dyDescent="0.25">
      <c r="A1884" s="23"/>
      <c r="B1884" s="23" t="str">
        <f t="shared" si="8"/>
        <v/>
      </c>
      <c r="C1884" s="23"/>
      <c r="D1884" s="44"/>
      <c r="E1884" s="23"/>
      <c r="F1884" s="45"/>
      <c r="G1884" s="23"/>
      <c r="H1884" s="23"/>
      <c r="I1884" s="23"/>
      <c r="J1884" s="25"/>
      <c r="K1884" s="23"/>
      <c r="L1884" s="23"/>
      <c r="M1884" s="23"/>
      <c r="N1884" s="26"/>
      <c r="O1884" s="26"/>
      <c r="P1884" s="26"/>
      <c r="Q1884" s="26"/>
      <c r="R1884" s="26"/>
      <c r="S1884" s="26"/>
      <c r="T1884" s="26"/>
      <c r="U1884" s="26"/>
      <c r="V1884" s="26"/>
      <c r="W1884" s="27"/>
    </row>
    <row r="1885" spans="1:23" ht="15.75" customHeight="1" x14ac:dyDescent="0.25">
      <c r="A1885" s="23"/>
      <c r="B1885" s="23" t="str">
        <f t="shared" si="8"/>
        <v/>
      </c>
      <c r="C1885" s="23"/>
      <c r="D1885" s="44"/>
      <c r="E1885" s="23"/>
      <c r="F1885" s="45"/>
      <c r="G1885" s="23"/>
      <c r="H1885" s="23"/>
      <c r="I1885" s="23"/>
      <c r="J1885" s="25"/>
      <c r="K1885" s="23"/>
      <c r="L1885" s="23"/>
      <c r="M1885" s="23"/>
      <c r="N1885" s="26"/>
      <c r="O1885" s="26"/>
      <c r="P1885" s="26"/>
      <c r="Q1885" s="26"/>
      <c r="R1885" s="26"/>
      <c r="S1885" s="26"/>
      <c r="T1885" s="26"/>
      <c r="U1885" s="26"/>
      <c r="V1885" s="26"/>
      <c r="W1885" s="27"/>
    </row>
    <row r="1886" spans="1:23" ht="15.75" customHeight="1" x14ac:dyDescent="0.25">
      <c r="A1886" s="23"/>
      <c r="B1886" s="23" t="str">
        <f t="shared" si="8"/>
        <v/>
      </c>
      <c r="C1886" s="23"/>
      <c r="D1886" s="44"/>
      <c r="E1886" s="23"/>
      <c r="F1886" s="45"/>
      <c r="G1886" s="23"/>
      <c r="H1886" s="23"/>
      <c r="I1886" s="23"/>
      <c r="J1886" s="25"/>
      <c r="K1886" s="23"/>
      <c r="L1886" s="23"/>
      <c r="M1886" s="23"/>
      <c r="N1886" s="26"/>
      <c r="O1886" s="26"/>
      <c r="P1886" s="26"/>
      <c r="Q1886" s="26"/>
      <c r="R1886" s="26"/>
      <c r="S1886" s="26"/>
      <c r="T1886" s="26"/>
      <c r="U1886" s="26"/>
      <c r="V1886" s="26"/>
      <c r="W1886" s="27"/>
    </row>
    <row r="1887" spans="1:23" ht="15.75" customHeight="1" x14ac:dyDescent="0.25">
      <c r="A1887" s="23"/>
      <c r="B1887" s="23" t="str">
        <f t="shared" si="8"/>
        <v/>
      </c>
      <c r="C1887" s="23"/>
      <c r="D1887" s="44"/>
      <c r="E1887" s="23"/>
      <c r="F1887" s="45"/>
      <c r="G1887" s="23"/>
      <c r="H1887" s="23"/>
      <c r="I1887" s="23"/>
      <c r="J1887" s="25"/>
      <c r="K1887" s="23"/>
      <c r="L1887" s="23"/>
      <c r="M1887" s="23"/>
      <c r="N1887" s="26"/>
      <c r="O1887" s="26"/>
      <c r="P1887" s="26"/>
      <c r="Q1887" s="26"/>
      <c r="R1887" s="26"/>
      <c r="S1887" s="26"/>
      <c r="T1887" s="26"/>
      <c r="U1887" s="26"/>
      <c r="V1887" s="26"/>
      <c r="W1887" s="27"/>
    </row>
    <row r="1888" spans="1:23" ht="15.75" customHeight="1" x14ac:dyDescent="0.25">
      <c r="A1888" s="23"/>
      <c r="B1888" s="23" t="str">
        <f t="shared" si="8"/>
        <v/>
      </c>
      <c r="C1888" s="23"/>
      <c r="D1888" s="44"/>
      <c r="E1888" s="23"/>
      <c r="F1888" s="45"/>
      <c r="G1888" s="23"/>
      <c r="H1888" s="23"/>
      <c r="I1888" s="23"/>
      <c r="J1888" s="25"/>
      <c r="K1888" s="23"/>
      <c r="L1888" s="23"/>
      <c r="M1888" s="23"/>
      <c r="N1888" s="26"/>
      <c r="O1888" s="26"/>
      <c r="P1888" s="26"/>
      <c r="Q1888" s="26"/>
      <c r="R1888" s="26"/>
      <c r="S1888" s="26"/>
      <c r="T1888" s="26"/>
      <c r="U1888" s="26"/>
      <c r="V1888" s="26"/>
      <c r="W1888" s="27"/>
    </row>
    <row r="1889" spans="1:23" ht="15.75" customHeight="1" x14ac:dyDescent="0.25">
      <c r="A1889" s="23"/>
      <c r="B1889" s="23" t="str">
        <f t="shared" si="8"/>
        <v/>
      </c>
      <c r="C1889" s="23"/>
      <c r="D1889" s="44"/>
      <c r="E1889" s="23"/>
      <c r="F1889" s="45"/>
      <c r="G1889" s="23"/>
      <c r="H1889" s="23"/>
      <c r="I1889" s="23"/>
      <c r="J1889" s="25"/>
      <c r="K1889" s="23"/>
      <c r="L1889" s="23"/>
      <c r="M1889" s="23"/>
      <c r="N1889" s="26"/>
      <c r="O1889" s="26"/>
      <c r="P1889" s="26"/>
      <c r="Q1889" s="26"/>
      <c r="R1889" s="26"/>
      <c r="S1889" s="26"/>
      <c r="T1889" s="26"/>
      <c r="U1889" s="26"/>
      <c r="V1889" s="26"/>
      <c r="W1889" s="27"/>
    </row>
    <row r="1890" spans="1:23" ht="15.75" customHeight="1" x14ac:dyDescent="0.25">
      <c r="A1890" s="23"/>
      <c r="B1890" s="23" t="str">
        <f t="shared" si="8"/>
        <v/>
      </c>
      <c r="C1890" s="23"/>
      <c r="D1890" s="44"/>
      <c r="E1890" s="23"/>
      <c r="F1890" s="45"/>
      <c r="G1890" s="23"/>
      <c r="H1890" s="23"/>
      <c r="I1890" s="23"/>
      <c r="J1890" s="25"/>
      <c r="K1890" s="23"/>
      <c r="L1890" s="23"/>
      <c r="M1890" s="23"/>
      <c r="N1890" s="26"/>
      <c r="O1890" s="26"/>
      <c r="P1890" s="26"/>
      <c r="Q1890" s="26"/>
      <c r="R1890" s="26"/>
      <c r="S1890" s="26"/>
      <c r="T1890" s="26"/>
      <c r="U1890" s="26"/>
      <c r="V1890" s="26"/>
      <c r="W1890" s="27"/>
    </row>
    <row r="1891" spans="1:23" ht="15.75" customHeight="1" x14ac:dyDescent="0.25">
      <c r="A1891" s="23"/>
      <c r="B1891" s="23" t="str">
        <f t="shared" si="8"/>
        <v/>
      </c>
      <c r="C1891" s="23"/>
      <c r="D1891" s="44"/>
      <c r="E1891" s="23"/>
      <c r="F1891" s="45"/>
      <c r="G1891" s="23"/>
      <c r="H1891" s="23"/>
      <c r="I1891" s="23"/>
      <c r="J1891" s="25"/>
      <c r="K1891" s="23"/>
      <c r="L1891" s="23"/>
      <c r="M1891" s="23"/>
      <c r="N1891" s="26"/>
      <c r="O1891" s="26"/>
      <c r="P1891" s="26"/>
      <c r="Q1891" s="26"/>
      <c r="R1891" s="26"/>
      <c r="S1891" s="26"/>
      <c r="T1891" s="26"/>
      <c r="U1891" s="26"/>
      <c r="V1891" s="26"/>
      <c r="W1891" s="27"/>
    </row>
    <row r="1892" spans="1:23" ht="15.75" customHeight="1" x14ac:dyDescent="0.25">
      <c r="A1892" s="23"/>
      <c r="B1892" s="23" t="str">
        <f t="shared" si="8"/>
        <v/>
      </c>
      <c r="C1892" s="23"/>
      <c r="D1892" s="44"/>
      <c r="E1892" s="23"/>
      <c r="F1892" s="45"/>
      <c r="G1892" s="23"/>
      <c r="H1892" s="23"/>
      <c r="I1892" s="23"/>
      <c r="J1892" s="25"/>
      <c r="K1892" s="23"/>
      <c r="L1892" s="23"/>
      <c r="M1892" s="23"/>
      <c r="N1892" s="26"/>
      <c r="O1892" s="26"/>
      <c r="P1892" s="26"/>
      <c r="Q1892" s="26"/>
      <c r="R1892" s="26"/>
      <c r="S1892" s="26"/>
      <c r="T1892" s="26"/>
      <c r="U1892" s="26"/>
      <c r="V1892" s="26"/>
      <c r="W1892" s="27"/>
    </row>
    <row r="1893" spans="1:23" ht="15.75" customHeight="1" x14ac:dyDescent="0.25">
      <c r="A1893" s="23"/>
      <c r="B1893" s="23" t="str">
        <f t="shared" si="8"/>
        <v/>
      </c>
      <c r="C1893" s="23"/>
      <c r="D1893" s="44"/>
      <c r="E1893" s="23"/>
      <c r="F1893" s="45"/>
      <c r="G1893" s="23"/>
      <c r="H1893" s="23"/>
      <c r="I1893" s="23"/>
      <c r="J1893" s="25"/>
      <c r="K1893" s="23"/>
      <c r="L1893" s="23"/>
      <c r="M1893" s="23"/>
      <c r="N1893" s="26"/>
      <c r="O1893" s="26"/>
      <c r="P1893" s="26"/>
      <c r="Q1893" s="26"/>
      <c r="R1893" s="26"/>
      <c r="S1893" s="26"/>
      <c r="T1893" s="26"/>
      <c r="U1893" s="26"/>
      <c r="V1893" s="26"/>
      <c r="W1893" s="27"/>
    </row>
    <row r="1894" spans="1:23" ht="15.75" customHeight="1" x14ac:dyDescent="0.25">
      <c r="A1894" s="23"/>
      <c r="B1894" s="23" t="str">
        <f t="shared" si="8"/>
        <v/>
      </c>
      <c r="C1894" s="23"/>
      <c r="D1894" s="44"/>
      <c r="E1894" s="23"/>
      <c r="F1894" s="45"/>
      <c r="G1894" s="23"/>
      <c r="H1894" s="23"/>
      <c r="I1894" s="23"/>
      <c r="J1894" s="25"/>
      <c r="K1894" s="23"/>
      <c r="L1894" s="23"/>
      <c r="M1894" s="23"/>
      <c r="N1894" s="26"/>
      <c r="O1894" s="26"/>
      <c r="P1894" s="26"/>
      <c r="Q1894" s="26"/>
      <c r="R1894" s="26"/>
      <c r="S1894" s="26"/>
      <c r="T1894" s="26"/>
      <c r="U1894" s="26"/>
      <c r="V1894" s="26"/>
      <c r="W1894" s="27"/>
    </row>
    <row r="1895" spans="1:23" ht="15.75" customHeight="1" x14ac:dyDescent="0.25">
      <c r="A1895" s="23"/>
      <c r="B1895" s="23" t="str">
        <f t="shared" si="8"/>
        <v/>
      </c>
      <c r="C1895" s="23"/>
      <c r="D1895" s="44"/>
      <c r="E1895" s="23"/>
      <c r="F1895" s="45"/>
      <c r="G1895" s="23"/>
      <c r="H1895" s="23"/>
      <c r="I1895" s="23"/>
      <c r="J1895" s="25"/>
      <c r="K1895" s="23"/>
      <c r="L1895" s="23"/>
      <c r="M1895" s="23"/>
      <c r="N1895" s="26"/>
      <c r="O1895" s="26"/>
      <c r="P1895" s="26"/>
      <c r="Q1895" s="26"/>
      <c r="R1895" s="26"/>
      <c r="S1895" s="26"/>
      <c r="T1895" s="26"/>
      <c r="U1895" s="26"/>
      <c r="V1895" s="26"/>
      <c r="W1895" s="27"/>
    </row>
    <row r="1896" spans="1:23" ht="15.75" customHeight="1" x14ac:dyDescent="0.25">
      <c r="A1896" s="23"/>
      <c r="B1896" s="23" t="str">
        <f t="shared" si="8"/>
        <v/>
      </c>
      <c r="C1896" s="23"/>
      <c r="D1896" s="44"/>
      <c r="E1896" s="23"/>
      <c r="F1896" s="45"/>
      <c r="G1896" s="23"/>
      <c r="H1896" s="23"/>
      <c r="I1896" s="23"/>
      <c r="J1896" s="25"/>
      <c r="K1896" s="23"/>
      <c r="L1896" s="23"/>
      <c r="M1896" s="23"/>
      <c r="N1896" s="26"/>
      <c r="O1896" s="26"/>
      <c r="P1896" s="26"/>
      <c r="Q1896" s="26"/>
      <c r="R1896" s="26"/>
      <c r="S1896" s="26"/>
      <c r="T1896" s="26"/>
      <c r="U1896" s="26"/>
      <c r="V1896" s="26"/>
      <c r="W1896" s="27"/>
    </row>
    <row r="1897" spans="1:23" ht="15.75" customHeight="1" x14ac:dyDescent="0.25">
      <c r="A1897" s="23"/>
      <c r="B1897" s="23" t="str">
        <f t="shared" si="8"/>
        <v/>
      </c>
      <c r="C1897" s="23"/>
      <c r="D1897" s="44"/>
      <c r="E1897" s="23"/>
      <c r="F1897" s="45"/>
      <c r="G1897" s="23"/>
      <c r="H1897" s="23"/>
      <c r="I1897" s="23"/>
      <c r="J1897" s="25"/>
      <c r="K1897" s="23"/>
      <c r="L1897" s="23"/>
      <c r="M1897" s="23"/>
      <c r="N1897" s="26"/>
      <c r="O1897" s="26"/>
      <c r="P1897" s="26"/>
      <c r="Q1897" s="26"/>
      <c r="R1897" s="26"/>
      <c r="S1897" s="26"/>
      <c r="T1897" s="26"/>
      <c r="U1897" s="26"/>
      <c r="V1897" s="26"/>
      <c r="W1897" s="27"/>
    </row>
    <row r="1898" spans="1:23" ht="15.75" customHeight="1" x14ac:dyDescent="0.25">
      <c r="A1898" s="23"/>
      <c r="B1898" s="23" t="str">
        <f t="shared" si="8"/>
        <v/>
      </c>
      <c r="C1898" s="23"/>
      <c r="D1898" s="44"/>
      <c r="E1898" s="23"/>
      <c r="F1898" s="45"/>
      <c r="G1898" s="23"/>
      <c r="H1898" s="23"/>
      <c r="I1898" s="23"/>
      <c r="J1898" s="25"/>
      <c r="K1898" s="23"/>
      <c r="L1898" s="23"/>
      <c r="M1898" s="23"/>
      <c r="N1898" s="26"/>
      <c r="O1898" s="26"/>
      <c r="P1898" s="26"/>
      <c r="Q1898" s="26"/>
      <c r="R1898" s="26"/>
      <c r="S1898" s="26"/>
      <c r="T1898" s="26"/>
      <c r="U1898" s="26"/>
      <c r="V1898" s="26"/>
      <c r="W1898" s="27"/>
    </row>
    <row r="1899" spans="1:23" ht="15.75" customHeight="1" x14ac:dyDescent="0.25">
      <c r="A1899" s="23"/>
      <c r="B1899" s="23" t="str">
        <f t="shared" si="8"/>
        <v/>
      </c>
      <c r="C1899" s="23"/>
      <c r="D1899" s="44"/>
      <c r="E1899" s="23"/>
      <c r="F1899" s="45"/>
      <c r="G1899" s="23"/>
      <c r="H1899" s="23"/>
      <c r="I1899" s="23"/>
      <c r="J1899" s="25"/>
      <c r="K1899" s="23"/>
      <c r="L1899" s="23"/>
      <c r="M1899" s="23"/>
      <c r="N1899" s="26"/>
      <c r="O1899" s="26"/>
      <c r="P1899" s="26"/>
      <c r="Q1899" s="26"/>
      <c r="R1899" s="26"/>
      <c r="S1899" s="26"/>
      <c r="T1899" s="26"/>
      <c r="U1899" s="26"/>
      <c r="V1899" s="26"/>
      <c r="W1899" s="27"/>
    </row>
    <row r="1900" spans="1:23" ht="15.75" customHeight="1" x14ac:dyDescent="0.25">
      <c r="A1900" s="23"/>
      <c r="B1900" s="23" t="str">
        <f t="shared" si="8"/>
        <v/>
      </c>
      <c r="C1900" s="23"/>
      <c r="D1900" s="44"/>
      <c r="E1900" s="23"/>
      <c r="F1900" s="45"/>
      <c r="G1900" s="23"/>
      <c r="H1900" s="23"/>
      <c r="I1900" s="23"/>
      <c r="J1900" s="25"/>
      <c r="K1900" s="23"/>
      <c r="L1900" s="23"/>
      <c r="M1900" s="23"/>
      <c r="N1900" s="26"/>
      <c r="O1900" s="26"/>
      <c r="P1900" s="26"/>
      <c r="Q1900" s="26"/>
      <c r="R1900" s="26"/>
      <c r="S1900" s="26"/>
      <c r="T1900" s="26"/>
      <c r="U1900" s="26"/>
      <c r="V1900" s="26"/>
      <c r="W1900" s="27"/>
    </row>
    <row r="1901" spans="1:23" ht="15.75" customHeight="1" x14ac:dyDescent="0.25">
      <c r="A1901" s="23"/>
      <c r="B1901" s="23" t="str">
        <f t="shared" si="8"/>
        <v/>
      </c>
      <c r="C1901" s="23"/>
      <c r="D1901" s="44"/>
      <c r="E1901" s="23"/>
      <c r="F1901" s="45"/>
      <c r="G1901" s="23"/>
      <c r="H1901" s="23"/>
      <c r="I1901" s="23"/>
      <c r="J1901" s="25"/>
      <c r="K1901" s="23"/>
      <c r="L1901" s="23"/>
      <c r="M1901" s="23"/>
      <c r="N1901" s="26"/>
      <c r="O1901" s="26"/>
      <c r="P1901" s="26"/>
      <c r="Q1901" s="26"/>
      <c r="R1901" s="26"/>
      <c r="S1901" s="26"/>
      <c r="T1901" s="26"/>
      <c r="U1901" s="26"/>
      <c r="V1901" s="26"/>
      <c r="W1901" s="27"/>
    </row>
    <row r="1902" spans="1:23" ht="15.75" customHeight="1" x14ac:dyDescent="0.25">
      <c r="A1902" s="23"/>
      <c r="B1902" s="23" t="str">
        <f t="shared" si="8"/>
        <v/>
      </c>
      <c r="C1902" s="23"/>
      <c r="D1902" s="44"/>
      <c r="E1902" s="23"/>
      <c r="F1902" s="45"/>
      <c r="G1902" s="23"/>
      <c r="H1902" s="23"/>
      <c r="I1902" s="23"/>
      <c r="J1902" s="25"/>
      <c r="K1902" s="23"/>
      <c r="L1902" s="23"/>
      <c r="M1902" s="23"/>
      <c r="N1902" s="26"/>
      <c r="O1902" s="26"/>
      <c r="P1902" s="26"/>
      <c r="Q1902" s="26"/>
      <c r="R1902" s="26"/>
      <c r="S1902" s="26"/>
      <c r="T1902" s="26"/>
      <c r="U1902" s="26"/>
      <c r="V1902" s="26"/>
      <c r="W1902" s="27"/>
    </row>
    <row r="1903" spans="1:23" ht="15.75" customHeight="1" x14ac:dyDescent="0.25">
      <c r="A1903" s="23"/>
      <c r="B1903" s="23" t="str">
        <f t="shared" si="8"/>
        <v/>
      </c>
      <c r="C1903" s="23"/>
      <c r="D1903" s="44"/>
      <c r="E1903" s="23"/>
      <c r="F1903" s="45"/>
      <c r="G1903" s="23"/>
      <c r="H1903" s="23"/>
      <c r="I1903" s="23"/>
      <c r="J1903" s="25"/>
      <c r="K1903" s="23"/>
      <c r="L1903" s="23"/>
      <c r="M1903" s="23"/>
      <c r="N1903" s="26"/>
      <c r="O1903" s="26"/>
      <c r="P1903" s="26"/>
      <c r="Q1903" s="26"/>
      <c r="R1903" s="26"/>
      <c r="S1903" s="26"/>
      <c r="T1903" s="26"/>
      <c r="U1903" s="26"/>
      <c r="V1903" s="26"/>
      <c r="W1903" s="27"/>
    </row>
    <row r="1904" spans="1:23" ht="15.75" customHeight="1" x14ac:dyDescent="0.25">
      <c r="A1904" s="23"/>
      <c r="B1904" s="23" t="str">
        <f t="shared" si="8"/>
        <v/>
      </c>
      <c r="C1904" s="23"/>
      <c r="D1904" s="44"/>
      <c r="E1904" s="23"/>
      <c r="F1904" s="45"/>
      <c r="G1904" s="23"/>
      <c r="H1904" s="23"/>
      <c r="I1904" s="23"/>
      <c r="J1904" s="25"/>
      <c r="K1904" s="23"/>
      <c r="L1904" s="23"/>
      <c r="M1904" s="23"/>
      <c r="N1904" s="26"/>
      <c r="O1904" s="26"/>
      <c r="P1904" s="26"/>
      <c r="Q1904" s="26"/>
      <c r="R1904" s="26"/>
      <c r="S1904" s="26"/>
      <c r="T1904" s="26"/>
      <c r="U1904" s="26"/>
      <c r="V1904" s="26"/>
      <c r="W1904" s="27"/>
    </row>
    <row r="1905" spans="1:23" ht="15.75" customHeight="1" x14ac:dyDescent="0.25">
      <c r="A1905" s="23"/>
      <c r="B1905" s="23" t="str">
        <f t="shared" si="8"/>
        <v/>
      </c>
      <c r="C1905" s="23"/>
      <c r="D1905" s="44"/>
      <c r="E1905" s="23"/>
      <c r="F1905" s="45"/>
      <c r="G1905" s="23"/>
      <c r="H1905" s="23"/>
      <c r="I1905" s="23"/>
      <c r="J1905" s="25"/>
      <c r="K1905" s="23"/>
      <c r="L1905" s="23"/>
      <c r="M1905" s="23"/>
      <c r="N1905" s="26"/>
      <c r="O1905" s="26"/>
      <c r="P1905" s="26"/>
      <c r="Q1905" s="26"/>
      <c r="R1905" s="26"/>
      <c r="S1905" s="26"/>
      <c r="T1905" s="26"/>
      <c r="U1905" s="26"/>
      <c r="V1905" s="26"/>
      <c r="W1905" s="27"/>
    </row>
    <row r="1906" spans="1:23" ht="15.75" customHeight="1" x14ac:dyDescent="0.25">
      <c r="A1906" s="23"/>
      <c r="B1906" s="23" t="str">
        <f t="shared" si="8"/>
        <v/>
      </c>
      <c r="C1906" s="23"/>
      <c r="D1906" s="44"/>
      <c r="E1906" s="23"/>
      <c r="F1906" s="45"/>
      <c r="G1906" s="23"/>
      <c r="H1906" s="23"/>
      <c r="I1906" s="23"/>
      <c r="J1906" s="25"/>
      <c r="K1906" s="23"/>
      <c r="L1906" s="23"/>
      <c r="M1906" s="23"/>
      <c r="N1906" s="26"/>
      <c r="O1906" s="26"/>
      <c r="P1906" s="26"/>
      <c r="Q1906" s="26"/>
      <c r="R1906" s="26"/>
      <c r="S1906" s="26"/>
      <c r="T1906" s="26"/>
      <c r="U1906" s="26"/>
      <c r="V1906" s="26"/>
      <c r="W1906" s="27"/>
    </row>
    <row r="1907" spans="1:23" ht="15.75" customHeight="1" x14ac:dyDescent="0.25">
      <c r="A1907" s="23"/>
      <c r="B1907" s="23" t="str">
        <f t="shared" si="8"/>
        <v/>
      </c>
      <c r="C1907" s="23"/>
      <c r="D1907" s="44"/>
      <c r="E1907" s="23"/>
      <c r="F1907" s="45"/>
      <c r="G1907" s="23"/>
      <c r="H1907" s="23"/>
      <c r="I1907" s="23"/>
      <c r="J1907" s="25"/>
      <c r="K1907" s="23"/>
      <c r="L1907" s="23"/>
      <c r="M1907" s="23"/>
      <c r="N1907" s="26"/>
      <c r="O1907" s="26"/>
      <c r="P1907" s="26"/>
      <c r="Q1907" s="26"/>
      <c r="R1907" s="26"/>
      <c r="S1907" s="26"/>
      <c r="T1907" s="26"/>
      <c r="U1907" s="26"/>
      <c r="V1907" s="26"/>
      <c r="W1907" s="27"/>
    </row>
    <row r="1908" spans="1:23" ht="15.75" customHeight="1" x14ac:dyDescent="0.25">
      <c r="A1908" s="23"/>
      <c r="B1908" s="23" t="str">
        <f t="shared" si="8"/>
        <v/>
      </c>
      <c r="C1908" s="23"/>
      <c r="D1908" s="44"/>
      <c r="E1908" s="23"/>
      <c r="F1908" s="45"/>
      <c r="G1908" s="23"/>
      <c r="H1908" s="23"/>
      <c r="I1908" s="23"/>
      <c r="J1908" s="25"/>
      <c r="K1908" s="23"/>
      <c r="L1908" s="23"/>
      <c r="M1908" s="23"/>
      <c r="N1908" s="26"/>
      <c r="O1908" s="26"/>
      <c r="P1908" s="26"/>
      <c r="Q1908" s="26"/>
      <c r="R1908" s="26"/>
      <c r="S1908" s="26"/>
      <c r="T1908" s="26"/>
      <c r="U1908" s="26"/>
      <c r="V1908" s="26"/>
      <c r="W1908" s="27"/>
    </row>
    <row r="1909" spans="1:23" ht="15.75" customHeight="1" x14ac:dyDescent="0.25">
      <c r="A1909" s="23"/>
      <c r="B1909" s="23" t="str">
        <f t="shared" si="8"/>
        <v/>
      </c>
      <c r="C1909" s="23"/>
      <c r="D1909" s="44"/>
      <c r="E1909" s="23"/>
      <c r="F1909" s="45"/>
      <c r="G1909" s="23"/>
      <c r="H1909" s="23"/>
      <c r="I1909" s="23"/>
      <c r="J1909" s="25"/>
      <c r="K1909" s="23"/>
      <c r="L1909" s="23"/>
      <c r="M1909" s="23"/>
      <c r="N1909" s="26"/>
      <c r="O1909" s="26"/>
      <c r="P1909" s="26"/>
      <c r="Q1909" s="26"/>
      <c r="R1909" s="26"/>
      <c r="S1909" s="26"/>
      <c r="T1909" s="26"/>
      <c r="U1909" s="26"/>
      <c r="V1909" s="26"/>
      <c r="W1909" s="27"/>
    </row>
    <row r="1910" spans="1:23" ht="15.75" customHeight="1" x14ac:dyDescent="0.25">
      <c r="A1910" s="23"/>
      <c r="B1910" s="23" t="str">
        <f t="shared" si="8"/>
        <v/>
      </c>
      <c r="C1910" s="23"/>
      <c r="D1910" s="44"/>
      <c r="E1910" s="23"/>
      <c r="F1910" s="45"/>
      <c r="G1910" s="23"/>
      <c r="H1910" s="23"/>
      <c r="I1910" s="23"/>
      <c r="J1910" s="25"/>
      <c r="K1910" s="23"/>
      <c r="L1910" s="23"/>
      <c r="M1910" s="23"/>
      <c r="N1910" s="26"/>
      <c r="O1910" s="26"/>
      <c r="P1910" s="26"/>
      <c r="Q1910" s="26"/>
      <c r="R1910" s="26"/>
      <c r="S1910" s="26"/>
      <c r="T1910" s="26"/>
      <c r="U1910" s="26"/>
      <c r="V1910" s="26"/>
      <c r="W1910" s="27"/>
    </row>
    <row r="1911" spans="1:23" ht="15.75" customHeight="1" x14ac:dyDescent="0.25">
      <c r="A1911" s="23"/>
      <c r="B1911" s="23" t="str">
        <f t="shared" si="8"/>
        <v/>
      </c>
      <c r="C1911" s="23"/>
      <c r="D1911" s="44"/>
      <c r="E1911" s="23"/>
      <c r="F1911" s="45"/>
      <c r="G1911" s="23"/>
      <c r="H1911" s="23"/>
      <c r="I1911" s="23"/>
      <c r="J1911" s="25"/>
      <c r="K1911" s="23"/>
      <c r="L1911" s="23"/>
      <c r="M1911" s="23"/>
      <c r="N1911" s="26"/>
      <c r="O1911" s="26"/>
      <c r="P1911" s="26"/>
      <c r="Q1911" s="26"/>
      <c r="R1911" s="26"/>
      <c r="S1911" s="26"/>
      <c r="T1911" s="26"/>
      <c r="U1911" s="26"/>
      <c r="V1911" s="26"/>
      <c r="W1911" s="27"/>
    </row>
    <row r="1912" spans="1:23" ht="15.75" customHeight="1" x14ac:dyDescent="0.25">
      <c r="A1912" s="23"/>
      <c r="B1912" s="23" t="str">
        <f t="shared" si="8"/>
        <v/>
      </c>
      <c r="C1912" s="23"/>
      <c r="D1912" s="44"/>
      <c r="E1912" s="23"/>
      <c r="F1912" s="45"/>
      <c r="G1912" s="23"/>
      <c r="H1912" s="23"/>
      <c r="I1912" s="23"/>
      <c r="J1912" s="25"/>
      <c r="K1912" s="23"/>
      <c r="L1912" s="23"/>
      <c r="M1912" s="23"/>
      <c r="N1912" s="26"/>
      <c r="O1912" s="26"/>
      <c r="P1912" s="26"/>
      <c r="Q1912" s="26"/>
      <c r="R1912" s="26"/>
      <c r="S1912" s="26"/>
      <c r="T1912" s="26"/>
      <c r="U1912" s="26"/>
      <c r="V1912" s="26"/>
      <c r="W1912" s="27"/>
    </row>
    <row r="1913" spans="1:23" ht="15.75" customHeight="1" x14ac:dyDescent="0.25">
      <c r="A1913" s="23"/>
      <c r="B1913" s="23" t="str">
        <f t="shared" si="8"/>
        <v/>
      </c>
      <c r="C1913" s="23"/>
      <c r="D1913" s="44"/>
      <c r="E1913" s="23"/>
      <c r="F1913" s="45"/>
      <c r="G1913" s="23"/>
      <c r="H1913" s="23"/>
      <c r="I1913" s="23"/>
      <c r="J1913" s="25"/>
      <c r="K1913" s="23"/>
      <c r="L1913" s="23"/>
      <c r="M1913" s="23"/>
      <c r="N1913" s="26"/>
      <c r="O1913" s="26"/>
      <c r="P1913" s="26"/>
      <c r="Q1913" s="26"/>
      <c r="R1913" s="26"/>
      <c r="S1913" s="26"/>
      <c r="T1913" s="26"/>
      <c r="U1913" s="26"/>
      <c r="V1913" s="26"/>
      <c r="W1913" s="27"/>
    </row>
    <row r="1914" spans="1:23" ht="15.75" customHeight="1" x14ac:dyDescent="0.25">
      <c r="A1914" s="23"/>
      <c r="B1914" s="23" t="str">
        <f t="shared" si="8"/>
        <v/>
      </c>
      <c r="C1914" s="23"/>
      <c r="D1914" s="44"/>
      <c r="E1914" s="23"/>
      <c r="F1914" s="45"/>
      <c r="G1914" s="23"/>
      <c r="H1914" s="23"/>
      <c r="I1914" s="23"/>
      <c r="J1914" s="25"/>
      <c r="K1914" s="23"/>
      <c r="L1914" s="23"/>
      <c r="M1914" s="23"/>
      <c r="N1914" s="26"/>
      <c r="O1914" s="26"/>
      <c r="P1914" s="26"/>
      <c r="Q1914" s="26"/>
      <c r="R1914" s="26"/>
      <c r="S1914" s="26"/>
      <c r="T1914" s="26"/>
      <c r="U1914" s="26"/>
      <c r="V1914" s="26"/>
      <c r="W1914" s="27"/>
    </row>
    <row r="1915" spans="1:23" ht="15.75" customHeight="1" x14ac:dyDescent="0.25">
      <c r="A1915" s="23"/>
      <c r="B1915" s="23" t="str">
        <f t="shared" si="8"/>
        <v/>
      </c>
      <c r="C1915" s="23"/>
      <c r="D1915" s="44"/>
      <c r="E1915" s="23"/>
      <c r="F1915" s="45"/>
      <c r="G1915" s="23"/>
      <c r="H1915" s="23"/>
      <c r="I1915" s="23"/>
      <c r="J1915" s="25"/>
      <c r="K1915" s="23"/>
      <c r="L1915" s="23"/>
      <c r="M1915" s="23"/>
      <c r="N1915" s="26"/>
      <c r="O1915" s="26"/>
      <c r="P1915" s="26"/>
      <c r="Q1915" s="26"/>
      <c r="R1915" s="26"/>
      <c r="S1915" s="26"/>
      <c r="T1915" s="26"/>
      <c r="U1915" s="26"/>
      <c r="V1915" s="26"/>
      <c r="W1915" s="27"/>
    </row>
    <row r="1916" spans="1:23" ht="15.75" customHeight="1" x14ac:dyDescent="0.25">
      <c r="A1916" s="23"/>
      <c r="B1916" s="23" t="str">
        <f t="shared" si="8"/>
        <v/>
      </c>
      <c r="C1916" s="23"/>
      <c r="D1916" s="44"/>
      <c r="E1916" s="23"/>
      <c r="F1916" s="45"/>
      <c r="G1916" s="23"/>
      <c r="H1916" s="23"/>
      <c r="I1916" s="23"/>
      <c r="J1916" s="25"/>
      <c r="K1916" s="23"/>
      <c r="L1916" s="23"/>
      <c r="M1916" s="23"/>
      <c r="N1916" s="26"/>
      <c r="O1916" s="26"/>
      <c r="P1916" s="26"/>
      <c r="Q1916" s="26"/>
      <c r="R1916" s="26"/>
      <c r="S1916" s="26"/>
      <c r="T1916" s="26"/>
      <c r="U1916" s="26"/>
      <c r="V1916" s="26"/>
      <c r="W1916" s="27"/>
    </row>
    <row r="1917" spans="1:23" ht="15.75" customHeight="1" x14ac:dyDescent="0.25">
      <c r="A1917" s="23"/>
      <c r="B1917" s="23" t="str">
        <f t="shared" si="8"/>
        <v/>
      </c>
      <c r="C1917" s="23"/>
      <c r="D1917" s="44"/>
      <c r="E1917" s="23"/>
      <c r="F1917" s="45"/>
      <c r="G1917" s="23"/>
      <c r="H1917" s="23"/>
      <c r="I1917" s="23"/>
      <c r="J1917" s="25"/>
      <c r="K1917" s="23"/>
      <c r="L1917" s="23"/>
      <c r="M1917" s="23"/>
      <c r="N1917" s="26"/>
      <c r="O1917" s="26"/>
      <c r="P1917" s="26"/>
      <c r="Q1917" s="26"/>
      <c r="R1917" s="26"/>
      <c r="S1917" s="26"/>
      <c r="T1917" s="26"/>
      <c r="U1917" s="26"/>
      <c r="V1917" s="26"/>
      <c r="W1917" s="27"/>
    </row>
    <row r="1918" spans="1:23" ht="15.75" customHeight="1" x14ac:dyDescent="0.25">
      <c r="A1918" s="23"/>
      <c r="B1918" s="23" t="str">
        <f t="shared" si="8"/>
        <v/>
      </c>
      <c r="C1918" s="23"/>
      <c r="D1918" s="44"/>
      <c r="E1918" s="23"/>
      <c r="F1918" s="45"/>
      <c r="G1918" s="23"/>
      <c r="H1918" s="23"/>
      <c r="I1918" s="23"/>
      <c r="J1918" s="25"/>
      <c r="K1918" s="23"/>
      <c r="L1918" s="23"/>
      <c r="M1918" s="23"/>
      <c r="N1918" s="26"/>
      <c r="O1918" s="26"/>
      <c r="P1918" s="26"/>
      <c r="Q1918" s="26"/>
      <c r="R1918" s="26"/>
      <c r="S1918" s="26"/>
      <c r="T1918" s="26"/>
      <c r="U1918" s="26"/>
      <c r="V1918" s="26"/>
      <c r="W1918" s="27"/>
    </row>
    <row r="1919" spans="1:23" ht="15.75" customHeight="1" x14ac:dyDescent="0.25">
      <c r="A1919" s="23"/>
      <c r="B1919" s="23" t="str">
        <f t="shared" si="8"/>
        <v/>
      </c>
      <c r="C1919" s="23"/>
      <c r="D1919" s="44"/>
      <c r="E1919" s="23"/>
      <c r="F1919" s="45"/>
      <c r="G1919" s="23"/>
      <c r="H1919" s="23"/>
      <c r="I1919" s="23"/>
      <c r="J1919" s="25"/>
      <c r="K1919" s="23"/>
      <c r="L1919" s="23"/>
      <c r="M1919" s="23"/>
      <c r="N1919" s="26"/>
      <c r="O1919" s="26"/>
      <c r="P1919" s="26"/>
      <c r="Q1919" s="26"/>
      <c r="R1919" s="26"/>
      <c r="S1919" s="26"/>
      <c r="T1919" s="26"/>
      <c r="U1919" s="26"/>
      <c r="V1919" s="26"/>
      <c r="W1919" s="27"/>
    </row>
    <row r="1920" spans="1:23" ht="15.75" customHeight="1" x14ac:dyDescent="0.25">
      <c r="A1920" s="23"/>
      <c r="B1920" s="23" t="str">
        <f t="shared" si="8"/>
        <v/>
      </c>
      <c r="C1920" s="23"/>
      <c r="D1920" s="44"/>
      <c r="E1920" s="23"/>
      <c r="F1920" s="45"/>
      <c r="G1920" s="23"/>
      <c r="H1920" s="23"/>
      <c r="I1920" s="23"/>
      <c r="J1920" s="25"/>
      <c r="K1920" s="23"/>
      <c r="L1920" s="23"/>
      <c r="M1920" s="23"/>
      <c r="N1920" s="26"/>
      <c r="O1920" s="26"/>
      <c r="P1920" s="26"/>
      <c r="Q1920" s="26"/>
      <c r="R1920" s="26"/>
      <c r="S1920" s="26"/>
      <c r="T1920" s="26"/>
      <c r="U1920" s="26"/>
      <c r="V1920" s="26"/>
      <c r="W1920" s="27"/>
    </row>
    <row r="1921" spans="1:23" ht="15.75" customHeight="1" x14ac:dyDescent="0.25">
      <c r="A1921" s="23"/>
      <c r="B1921" s="23" t="str">
        <f t="shared" si="8"/>
        <v/>
      </c>
      <c r="C1921" s="23"/>
      <c r="D1921" s="44"/>
      <c r="E1921" s="23"/>
      <c r="F1921" s="45"/>
      <c r="G1921" s="23"/>
      <c r="H1921" s="23"/>
      <c r="I1921" s="23"/>
      <c r="J1921" s="25"/>
      <c r="K1921" s="23"/>
      <c r="L1921" s="23"/>
      <c r="M1921" s="23"/>
      <c r="N1921" s="26"/>
      <c r="O1921" s="26"/>
      <c r="P1921" s="26"/>
      <c r="Q1921" s="26"/>
      <c r="R1921" s="26"/>
      <c r="S1921" s="26"/>
      <c r="T1921" s="26"/>
      <c r="U1921" s="26"/>
      <c r="V1921" s="26"/>
      <c r="W1921" s="27"/>
    </row>
    <row r="1922" spans="1:23" ht="15.75" customHeight="1" x14ac:dyDescent="0.25">
      <c r="A1922" s="23"/>
      <c r="B1922" s="23" t="str">
        <f t="shared" si="8"/>
        <v/>
      </c>
      <c r="C1922" s="23"/>
      <c r="D1922" s="44"/>
      <c r="E1922" s="23"/>
      <c r="F1922" s="45"/>
      <c r="G1922" s="23"/>
      <c r="H1922" s="23"/>
      <c r="I1922" s="23"/>
      <c r="J1922" s="25"/>
      <c r="K1922" s="23"/>
      <c r="L1922" s="23"/>
      <c r="M1922" s="23"/>
      <c r="N1922" s="26"/>
      <c r="O1922" s="26"/>
      <c r="P1922" s="26"/>
      <c r="Q1922" s="26"/>
      <c r="R1922" s="26"/>
      <c r="S1922" s="26"/>
      <c r="T1922" s="26"/>
      <c r="U1922" s="26"/>
      <c r="V1922" s="26"/>
      <c r="W1922" s="27"/>
    </row>
    <row r="1923" spans="1:23" ht="15.75" customHeight="1" x14ac:dyDescent="0.25">
      <c r="A1923" s="23"/>
      <c r="B1923" s="23" t="str">
        <f t="shared" si="8"/>
        <v/>
      </c>
      <c r="C1923" s="23"/>
      <c r="D1923" s="44"/>
      <c r="E1923" s="23"/>
      <c r="F1923" s="45"/>
      <c r="G1923" s="23"/>
      <c r="H1923" s="23"/>
      <c r="I1923" s="23"/>
      <c r="J1923" s="25"/>
      <c r="K1923" s="23"/>
      <c r="L1923" s="23"/>
      <c r="M1923" s="23"/>
      <c r="N1923" s="26"/>
      <c r="O1923" s="26"/>
      <c r="P1923" s="26"/>
      <c r="Q1923" s="26"/>
      <c r="R1923" s="26"/>
      <c r="S1923" s="26"/>
      <c r="T1923" s="26"/>
      <c r="U1923" s="26"/>
      <c r="V1923" s="26"/>
      <c r="W1923" s="27"/>
    </row>
    <row r="1924" spans="1:23" ht="15.75" customHeight="1" x14ac:dyDescent="0.25">
      <c r="A1924" s="23"/>
      <c r="B1924" s="23" t="str">
        <f t="shared" si="8"/>
        <v/>
      </c>
      <c r="C1924" s="23"/>
      <c r="D1924" s="44"/>
      <c r="E1924" s="23"/>
      <c r="F1924" s="45"/>
      <c r="G1924" s="23"/>
      <c r="H1924" s="23"/>
      <c r="I1924" s="23"/>
      <c r="J1924" s="25"/>
      <c r="K1924" s="23"/>
      <c r="L1924" s="23"/>
      <c r="M1924" s="23"/>
      <c r="N1924" s="26"/>
      <c r="O1924" s="26"/>
      <c r="P1924" s="26"/>
      <c r="Q1924" s="26"/>
      <c r="R1924" s="26"/>
      <c r="S1924" s="26"/>
      <c r="T1924" s="26"/>
      <c r="U1924" s="26"/>
      <c r="V1924" s="26"/>
      <c r="W1924" s="27"/>
    </row>
    <row r="1925" spans="1:23" ht="15.75" customHeight="1" x14ac:dyDescent="0.25">
      <c r="A1925" s="23"/>
      <c r="B1925" s="23" t="str">
        <f t="shared" si="8"/>
        <v/>
      </c>
      <c r="C1925" s="23"/>
      <c r="D1925" s="44"/>
      <c r="E1925" s="23"/>
      <c r="F1925" s="45"/>
      <c r="G1925" s="23"/>
      <c r="H1925" s="23"/>
      <c r="I1925" s="23"/>
      <c r="J1925" s="25"/>
      <c r="K1925" s="23"/>
      <c r="L1925" s="23"/>
      <c r="M1925" s="23"/>
      <c r="N1925" s="26"/>
      <c r="O1925" s="26"/>
      <c r="P1925" s="26"/>
      <c r="Q1925" s="26"/>
      <c r="R1925" s="26"/>
      <c r="S1925" s="26"/>
      <c r="T1925" s="26"/>
      <c r="U1925" s="26"/>
      <c r="V1925" s="26"/>
      <c r="W1925" s="27"/>
    </row>
    <row r="1926" spans="1:23" ht="15.75" customHeight="1" x14ac:dyDescent="0.25">
      <c r="A1926" s="23"/>
      <c r="B1926" s="23" t="str">
        <f t="shared" si="8"/>
        <v/>
      </c>
      <c r="C1926" s="23"/>
      <c r="D1926" s="44"/>
      <c r="E1926" s="23"/>
      <c r="F1926" s="45"/>
      <c r="G1926" s="23"/>
      <c r="H1926" s="23"/>
      <c r="I1926" s="23"/>
      <c r="J1926" s="25"/>
      <c r="K1926" s="23"/>
      <c r="L1926" s="23"/>
      <c r="M1926" s="23"/>
      <c r="N1926" s="26"/>
      <c r="O1926" s="26"/>
      <c r="P1926" s="26"/>
      <c r="Q1926" s="26"/>
      <c r="R1926" s="26"/>
      <c r="S1926" s="26"/>
      <c r="T1926" s="26"/>
      <c r="U1926" s="26"/>
      <c r="V1926" s="26"/>
      <c r="W1926" s="27"/>
    </row>
    <row r="1927" spans="1:23" ht="15.75" customHeight="1" x14ac:dyDescent="0.25">
      <c r="A1927" s="23"/>
      <c r="B1927" s="23" t="str">
        <f t="shared" si="8"/>
        <v/>
      </c>
      <c r="C1927" s="23"/>
      <c r="D1927" s="44"/>
      <c r="E1927" s="23"/>
      <c r="F1927" s="45"/>
      <c r="G1927" s="23"/>
      <c r="H1927" s="23"/>
      <c r="I1927" s="23"/>
      <c r="J1927" s="25"/>
      <c r="K1927" s="23"/>
      <c r="L1927" s="23"/>
      <c r="M1927" s="23"/>
      <c r="N1927" s="26"/>
      <c r="O1927" s="26"/>
      <c r="P1927" s="26"/>
      <c r="Q1927" s="26"/>
      <c r="R1927" s="26"/>
      <c r="S1927" s="26"/>
      <c r="T1927" s="26"/>
      <c r="U1927" s="26"/>
      <c r="V1927" s="26"/>
      <c r="W1927" s="27"/>
    </row>
    <row r="1928" spans="1:23" ht="15.75" customHeight="1" x14ac:dyDescent="0.25">
      <c r="A1928" s="23"/>
      <c r="B1928" s="23" t="str">
        <f t="shared" si="8"/>
        <v/>
      </c>
      <c r="C1928" s="23"/>
      <c r="D1928" s="44"/>
      <c r="E1928" s="23"/>
      <c r="F1928" s="45"/>
      <c r="G1928" s="23"/>
      <c r="H1928" s="23"/>
      <c r="I1928" s="23"/>
      <c r="J1928" s="25"/>
      <c r="K1928" s="23"/>
      <c r="L1928" s="23"/>
      <c r="M1928" s="23"/>
      <c r="N1928" s="26"/>
      <c r="O1928" s="26"/>
      <c r="P1928" s="26"/>
      <c r="Q1928" s="26"/>
      <c r="R1928" s="26"/>
      <c r="S1928" s="26"/>
      <c r="T1928" s="26"/>
      <c r="U1928" s="26"/>
      <c r="V1928" s="26"/>
      <c r="W1928" s="27"/>
    </row>
    <row r="1929" spans="1:23" ht="15.75" customHeight="1" x14ac:dyDescent="0.25">
      <c r="A1929" s="23"/>
      <c r="B1929" s="23" t="str">
        <f t="shared" si="8"/>
        <v/>
      </c>
      <c r="C1929" s="23"/>
      <c r="D1929" s="44"/>
      <c r="E1929" s="23"/>
      <c r="F1929" s="45"/>
      <c r="G1929" s="23"/>
      <c r="H1929" s="23"/>
      <c r="I1929" s="23"/>
      <c r="J1929" s="25"/>
      <c r="K1929" s="23"/>
      <c r="L1929" s="23"/>
      <c r="M1929" s="23"/>
      <c r="N1929" s="26"/>
      <c r="O1929" s="26"/>
      <c r="P1929" s="26"/>
      <c r="Q1929" s="26"/>
      <c r="R1929" s="26"/>
      <c r="S1929" s="26"/>
      <c r="T1929" s="26"/>
      <c r="U1929" s="26"/>
      <c r="V1929" s="26"/>
      <c r="W1929" s="27"/>
    </row>
    <row r="1930" spans="1:23" ht="15.75" customHeight="1" x14ac:dyDescent="0.25">
      <c r="A1930" s="23"/>
      <c r="B1930" s="23" t="str">
        <f t="shared" si="8"/>
        <v/>
      </c>
      <c r="C1930" s="23"/>
      <c r="D1930" s="44"/>
      <c r="E1930" s="23"/>
      <c r="F1930" s="45"/>
      <c r="G1930" s="23"/>
      <c r="H1930" s="23"/>
      <c r="I1930" s="23"/>
      <c r="J1930" s="25"/>
      <c r="K1930" s="23"/>
      <c r="L1930" s="23"/>
      <c r="M1930" s="23"/>
      <c r="N1930" s="26"/>
      <c r="O1930" s="26"/>
      <c r="P1930" s="26"/>
      <c r="Q1930" s="26"/>
      <c r="R1930" s="26"/>
      <c r="S1930" s="26"/>
      <c r="T1930" s="26"/>
      <c r="U1930" s="26"/>
      <c r="V1930" s="26"/>
      <c r="W1930" s="27"/>
    </row>
    <row r="1931" spans="1:23" ht="15.75" customHeight="1" x14ac:dyDescent="0.25">
      <c r="A1931" s="23"/>
      <c r="B1931" s="23" t="str">
        <f t="shared" si="8"/>
        <v/>
      </c>
      <c r="C1931" s="23"/>
      <c r="D1931" s="44"/>
      <c r="E1931" s="23"/>
      <c r="F1931" s="45"/>
      <c r="G1931" s="23"/>
      <c r="H1931" s="23"/>
      <c r="I1931" s="23"/>
      <c r="J1931" s="25"/>
      <c r="K1931" s="23"/>
      <c r="L1931" s="23"/>
      <c r="M1931" s="23"/>
      <c r="N1931" s="26"/>
      <c r="O1931" s="26"/>
      <c r="P1931" s="26"/>
      <c r="Q1931" s="26"/>
      <c r="R1931" s="26"/>
      <c r="S1931" s="26"/>
      <c r="T1931" s="26"/>
      <c r="U1931" s="26"/>
      <c r="V1931" s="26"/>
      <c r="W1931" s="27"/>
    </row>
    <row r="1932" spans="1:23" ht="15.75" customHeight="1" x14ac:dyDescent="0.25">
      <c r="A1932" s="23"/>
      <c r="B1932" s="23" t="str">
        <f t="shared" si="8"/>
        <v/>
      </c>
      <c r="C1932" s="23"/>
      <c r="D1932" s="44"/>
      <c r="E1932" s="23"/>
      <c r="F1932" s="45"/>
      <c r="G1932" s="23"/>
      <c r="H1932" s="23"/>
      <c r="I1932" s="23"/>
      <c r="J1932" s="25"/>
      <c r="K1932" s="23"/>
      <c r="L1932" s="23"/>
      <c r="M1932" s="23"/>
      <c r="N1932" s="26"/>
      <c r="O1932" s="26"/>
      <c r="P1932" s="26"/>
      <c r="Q1932" s="26"/>
      <c r="R1932" s="26"/>
      <c r="S1932" s="26"/>
      <c r="T1932" s="26"/>
      <c r="U1932" s="26"/>
      <c r="V1932" s="26"/>
      <c r="W1932" s="27"/>
    </row>
    <row r="1933" spans="1:23" ht="15.75" customHeight="1" x14ac:dyDescent="0.25">
      <c r="A1933" s="23"/>
      <c r="B1933" s="23" t="str">
        <f t="shared" si="8"/>
        <v/>
      </c>
      <c r="C1933" s="23"/>
      <c r="D1933" s="44"/>
      <c r="E1933" s="23"/>
      <c r="F1933" s="45"/>
      <c r="G1933" s="23"/>
      <c r="H1933" s="23"/>
      <c r="I1933" s="23"/>
      <c r="J1933" s="25"/>
      <c r="K1933" s="23"/>
      <c r="L1933" s="23"/>
      <c r="M1933" s="23"/>
      <c r="N1933" s="26"/>
      <c r="O1933" s="26"/>
      <c r="P1933" s="26"/>
      <c r="Q1933" s="26"/>
      <c r="R1933" s="26"/>
      <c r="S1933" s="26"/>
      <c r="T1933" s="26"/>
      <c r="U1933" s="26"/>
      <c r="V1933" s="26"/>
      <c r="W1933" s="27"/>
    </row>
    <row r="1934" spans="1:23" ht="15.75" customHeight="1" x14ac:dyDescent="0.25">
      <c r="A1934" s="23"/>
      <c r="B1934" s="23" t="str">
        <f t="shared" si="8"/>
        <v/>
      </c>
      <c r="C1934" s="23"/>
      <c r="D1934" s="44"/>
      <c r="E1934" s="23"/>
      <c r="F1934" s="45"/>
      <c r="G1934" s="23"/>
      <c r="H1934" s="23"/>
      <c r="I1934" s="23"/>
      <c r="J1934" s="25"/>
      <c r="K1934" s="23"/>
      <c r="L1934" s="23"/>
      <c r="M1934" s="23"/>
      <c r="N1934" s="26"/>
      <c r="O1934" s="26"/>
      <c r="P1934" s="26"/>
      <c r="Q1934" s="26"/>
      <c r="R1934" s="26"/>
      <c r="S1934" s="26"/>
      <c r="T1934" s="26"/>
      <c r="U1934" s="26"/>
      <c r="V1934" s="26"/>
      <c r="W1934" s="27"/>
    </row>
    <row r="1935" spans="1:23" ht="15.75" customHeight="1" x14ac:dyDescent="0.25">
      <c r="A1935" s="23"/>
      <c r="B1935" s="23" t="str">
        <f t="shared" si="8"/>
        <v/>
      </c>
      <c r="C1935" s="23"/>
      <c r="D1935" s="44"/>
      <c r="E1935" s="23"/>
      <c r="F1935" s="45"/>
      <c r="G1935" s="23"/>
      <c r="H1935" s="23"/>
      <c r="I1935" s="23"/>
      <c r="J1935" s="25"/>
      <c r="K1935" s="23"/>
      <c r="L1935" s="23"/>
      <c r="M1935" s="23"/>
      <c r="N1935" s="26"/>
      <c r="O1935" s="26"/>
      <c r="P1935" s="26"/>
      <c r="Q1935" s="26"/>
      <c r="R1935" s="26"/>
      <c r="S1935" s="26"/>
      <c r="T1935" s="26"/>
      <c r="U1935" s="26"/>
      <c r="V1935" s="26"/>
      <c r="W1935" s="27"/>
    </row>
    <row r="1936" spans="1:23" ht="15.75" customHeight="1" x14ac:dyDescent="0.25">
      <c r="A1936" s="23"/>
      <c r="B1936" s="23" t="str">
        <f t="shared" si="8"/>
        <v/>
      </c>
      <c r="C1936" s="23"/>
      <c r="D1936" s="44"/>
      <c r="E1936" s="23"/>
      <c r="F1936" s="45"/>
      <c r="G1936" s="23"/>
      <c r="H1936" s="23"/>
      <c r="I1936" s="23"/>
      <c r="J1936" s="25"/>
      <c r="K1936" s="23"/>
      <c r="L1936" s="23"/>
      <c r="M1936" s="23"/>
      <c r="N1936" s="26"/>
      <c r="O1936" s="26"/>
      <c r="P1936" s="26"/>
      <c r="Q1936" s="26"/>
      <c r="R1936" s="26"/>
      <c r="S1936" s="26"/>
      <c r="T1936" s="26"/>
      <c r="U1936" s="26"/>
      <c r="V1936" s="26"/>
      <c r="W1936" s="27"/>
    </row>
    <row r="1937" spans="1:23" ht="15.75" customHeight="1" x14ac:dyDescent="0.25">
      <c r="A1937" s="23"/>
      <c r="B1937" s="23" t="str">
        <f t="shared" si="8"/>
        <v/>
      </c>
      <c r="C1937" s="23"/>
      <c r="D1937" s="44"/>
      <c r="E1937" s="23"/>
      <c r="F1937" s="45"/>
      <c r="G1937" s="23"/>
      <c r="H1937" s="23"/>
      <c r="I1937" s="23"/>
      <c r="J1937" s="25"/>
      <c r="K1937" s="23"/>
      <c r="L1937" s="23"/>
      <c r="M1937" s="23"/>
      <c r="N1937" s="26"/>
      <c r="O1937" s="26"/>
      <c r="P1937" s="26"/>
      <c r="Q1937" s="26"/>
      <c r="R1937" s="26"/>
      <c r="S1937" s="26"/>
      <c r="T1937" s="26"/>
      <c r="U1937" s="26"/>
      <c r="V1937" s="26"/>
      <c r="W1937" s="27"/>
    </row>
    <row r="1938" spans="1:23" ht="15.75" customHeight="1" x14ac:dyDescent="0.25">
      <c r="A1938" s="23"/>
      <c r="B1938" s="23" t="str">
        <f t="shared" si="8"/>
        <v/>
      </c>
      <c r="C1938" s="23"/>
      <c r="D1938" s="44"/>
      <c r="E1938" s="23"/>
      <c r="F1938" s="45"/>
      <c r="G1938" s="23"/>
      <c r="H1938" s="23"/>
      <c r="I1938" s="23"/>
      <c r="J1938" s="25"/>
      <c r="K1938" s="23"/>
      <c r="L1938" s="23"/>
      <c r="M1938" s="23"/>
      <c r="N1938" s="26"/>
      <c r="O1938" s="26"/>
      <c r="P1938" s="26"/>
      <c r="Q1938" s="26"/>
      <c r="R1938" s="26"/>
      <c r="S1938" s="26"/>
      <c r="T1938" s="26"/>
      <c r="U1938" s="26"/>
      <c r="V1938" s="26"/>
      <c r="W1938" s="27"/>
    </row>
    <row r="1939" spans="1:23" ht="15.75" customHeight="1" x14ac:dyDescent="0.25">
      <c r="A1939" s="23"/>
      <c r="B1939" s="23" t="str">
        <f t="shared" si="8"/>
        <v/>
      </c>
      <c r="C1939" s="23"/>
      <c r="D1939" s="44"/>
      <c r="E1939" s="23"/>
      <c r="F1939" s="45"/>
      <c r="G1939" s="23"/>
      <c r="H1939" s="23"/>
      <c r="I1939" s="23"/>
      <c r="J1939" s="25"/>
      <c r="K1939" s="23"/>
      <c r="L1939" s="23"/>
      <c r="M1939" s="23"/>
      <c r="N1939" s="26"/>
      <c r="O1939" s="26"/>
      <c r="P1939" s="26"/>
      <c r="Q1939" s="26"/>
      <c r="R1939" s="26"/>
      <c r="S1939" s="26"/>
      <c r="T1939" s="26"/>
      <c r="U1939" s="26"/>
      <c r="V1939" s="26"/>
      <c r="W1939" s="27"/>
    </row>
    <row r="1940" spans="1:23" ht="15.75" customHeight="1" x14ac:dyDescent="0.25">
      <c r="A1940" s="23"/>
      <c r="B1940" s="23" t="str">
        <f t="shared" si="8"/>
        <v/>
      </c>
      <c r="C1940" s="23"/>
      <c r="D1940" s="44"/>
      <c r="E1940" s="23"/>
      <c r="F1940" s="45"/>
      <c r="G1940" s="23"/>
      <c r="H1940" s="23"/>
      <c r="I1940" s="23"/>
      <c r="J1940" s="25"/>
      <c r="K1940" s="23"/>
      <c r="L1940" s="23"/>
      <c r="M1940" s="23"/>
      <c r="N1940" s="26"/>
      <c r="O1940" s="26"/>
      <c r="P1940" s="26"/>
      <c r="Q1940" s="26"/>
      <c r="R1940" s="26"/>
      <c r="S1940" s="26"/>
      <c r="T1940" s="26"/>
      <c r="U1940" s="26"/>
      <c r="V1940" s="26"/>
      <c r="W1940" s="27"/>
    </row>
    <row r="1941" spans="1:23" ht="15.75" customHeight="1" x14ac:dyDescent="0.25">
      <c r="A1941" s="23"/>
      <c r="B1941" s="23" t="str">
        <f t="shared" si="8"/>
        <v/>
      </c>
      <c r="C1941" s="23"/>
      <c r="D1941" s="44"/>
      <c r="E1941" s="23"/>
      <c r="F1941" s="45"/>
      <c r="G1941" s="23"/>
      <c r="H1941" s="23"/>
      <c r="I1941" s="23"/>
      <c r="J1941" s="25"/>
      <c r="K1941" s="23"/>
      <c r="L1941" s="23"/>
      <c r="M1941" s="23"/>
      <c r="N1941" s="26"/>
      <c r="O1941" s="26"/>
      <c r="P1941" s="26"/>
      <c r="Q1941" s="26"/>
      <c r="R1941" s="26"/>
      <c r="S1941" s="26"/>
      <c r="T1941" s="26"/>
      <c r="U1941" s="26"/>
      <c r="V1941" s="26"/>
      <c r="W1941" s="27"/>
    </row>
    <row r="1942" spans="1:23" ht="15.75" customHeight="1" x14ac:dyDescent="0.25">
      <c r="A1942" s="23"/>
      <c r="B1942" s="23" t="str">
        <f t="shared" si="8"/>
        <v/>
      </c>
      <c r="C1942" s="23"/>
      <c r="D1942" s="44"/>
      <c r="E1942" s="23"/>
      <c r="F1942" s="45"/>
      <c r="G1942" s="23"/>
      <c r="H1942" s="23"/>
      <c r="I1942" s="23"/>
      <c r="J1942" s="25"/>
      <c r="K1942" s="23"/>
      <c r="L1942" s="23"/>
      <c r="M1942" s="23"/>
      <c r="N1942" s="26"/>
      <c r="O1942" s="26"/>
      <c r="P1942" s="26"/>
      <c r="Q1942" s="26"/>
      <c r="R1942" s="26"/>
      <c r="S1942" s="26"/>
      <c r="T1942" s="26"/>
      <c r="U1942" s="26"/>
      <c r="V1942" s="26"/>
      <c r="W1942" s="27"/>
    </row>
    <row r="1943" spans="1:23" ht="15.75" customHeight="1" x14ac:dyDescent="0.25">
      <c r="A1943" s="23"/>
      <c r="B1943" s="23" t="str">
        <f t="shared" si="8"/>
        <v/>
      </c>
      <c r="C1943" s="23"/>
      <c r="D1943" s="44"/>
      <c r="E1943" s="23"/>
      <c r="F1943" s="45"/>
      <c r="G1943" s="23"/>
      <c r="H1943" s="23"/>
      <c r="I1943" s="23"/>
      <c r="J1943" s="25"/>
      <c r="K1943" s="23"/>
      <c r="L1943" s="23"/>
      <c r="M1943" s="23"/>
      <c r="N1943" s="26"/>
      <c r="O1943" s="26"/>
      <c r="P1943" s="26"/>
      <c r="Q1943" s="26"/>
      <c r="R1943" s="26"/>
      <c r="S1943" s="26"/>
      <c r="T1943" s="26"/>
      <c r="U1943" s="26"/>
      <c r="V1943" s="26"/>
      <c r="W1943" s="27"/>
    </row>
    <row r="1944" spans="1:23" ht="15.75" customHeight="1" x14ac:dyDescent="0.25">
      <c r="A1944" s="23"/>
      <c r="B1944" s="23" t="str">
        <f t="shared" si="8"/>
        <v/>
      </c>
      <c r="C1944" s="23"/>
      <c r="D1944" s="44"/>
      <c r="E1944" s="23"/>
      <c r="F1944" s="45"/>
      <c r="G1944" s="23"/>
      <c r="H1944" s="23"/>
      <c r="I1944" s="23"/>
      <c r="J1944" s="25"/>
      <c r="K1944" s="23"/>
      <c r="L1944" s="23"/>
      <c r="M1944" s="23"/>
      <c r="N1944" s="26"/>
      <c r="O1944" s="26"/>
      <c r="P1944" s="26"/>
      <c r="Q1944" s="26"/>
      <c r="R1944" s="26"/>
      <c r="S1944" s="26"/>
      <c r="T1944" s="26"/>
      <c r="U1944" s="26"/>
      <c r="V1944" s="26"/>
      <c r="W1944" s="27"/>
    </row>
    <row r="1945" spans="1:23" ht="15.75" customHeight="1" x14ac:dyDescent="0.25">
      <c r="A1945" s="23"/>
      <c r="B1945" s="23" t="str">
        <f t="shared" si="8"/>
        <v/>
      </c>
      <c r="C1945" s="23"/>
      <c r="D1945" s="44"/>
      <c r="E1945" s="23"/>
      <c r="F1945" s="45"/>
      <c r="G1945" s="23"/>
      <c r="H1945" s="23"/>
      <c r="I1945" s="23"/>
      <c r="J1945" s="25"/>
      <c r="K1945" s="23"/>
      <c r="L1945" s="23"/>
      <c r="M1945" s="23"/>
      <c r="N1945" s="26"/>
      <c r="O1945" s="26"/>
      <c r="P1945" s="26"/>
      <c r="Q1945" s="26"/>
      <c r="R1945" s="26"/>
      <c r="S1945" s="26"/>
      <c r="T1945" s="26"/>
      <c r="U1945" s="26"/>
      <c r="V1945" s="26"/>
      <c r="W1945" s="27"/>
    </row>
    <row r="1946" spans="1:23" ht="15.75" customHeight="1" x14ac:dyDescent="0.25">
      <c r="A1946" s="23"/>
      <c r="B1946" s="23" t="str">
        <f t="shared" si="8"/>
        <v/>
      </c>
      <c r="C1946" s="23"/>
      <c r="D1946" s="44"/>
      <c r="E1946" s="23"/>
      <c r="F1946" s="45"/>
      <c r="G1946" s="23"/>
      <c r="H1946" s="23"/>
      <c r="I1946" s="23"/>
      <c r="J1946" s="25"/>
      <c r="K1946" s="23"/>
      <c r="L1946" s="23"/>
      <c r="M1946" s="23"/>
      <c r="N1946" s="26"/>
      <c r="O1946" s="26"/>
      <c r="P1946" s="26"/>
      <c r="Q1946" s="26"/>
      <c r="R1946" s="26"/>
      <c r="S1946" s="26"/>
      <c r="T1946" s="26"/>
      <c r="U1946" s="26"/>
      <c r="V1946" s="26"/>
      <c r="W1946" s="27"/>
    </row>
    <row r="1947" spans="1:23" ht="15.75" customHeight="1" x14ac:dyDescent="0.25">
      <c r="A1947" s="23"/>
      <c r="B1947" s="23" t="str">
        <f t="shared" si="8"/>
        <v/>
      </c>
      <c r="C1947" s="23"/>
      <c r="D1947" s="44"/>
      <c r="E1947" s="23"/>
      <c r="F1947" s="45"/>
      <c r="G1947" s="23"/>
      <c r="H1947" s="23"/>
      <c r="I1947" s="23"/>
      <c r="J1947" s="25"/>
      <c r="K1947" s="23"/>
      <c r="L1947" s="23"/>
      <c r="M1947" s="23"/>
      <c r="N1947" s="26"/>
      <c r="O1947" s="26"/>
      <c r="P1947" s="26"/>
      <c r="Q1947" s="26"/>
      <c r="R1947" s="26"/>
      <c r="S1947" s="26"/>
      <c r="T1947" s="26"/>
      <c r="U1947" s="26"/>
      <c r="V1947" s="26"/>
      <c r="W1947" s="27"/>
    </row>
    <row r="1948" spans="1:23" ht="15.75" customHeight="1" x14ac:dyDescent="0.25">
      <c r="A1948" s="23"/>
      <c r="B1948" s="23" t="str">
        <f t="shared" si="8"/>
        <v/>
      </c>
      <c r="C1948" s="23"/>
      <c r="D1948" s="44"/>
      <c r="E1948" s="23"/>
      <c r="F1948" s="45"/>
      <c r="G1948" s="23"/>
      <c r="H1948" s="23"/>
      <c r="I1948" s="23"/>
      <c r="J1948" s="25"/>
      <c r="K1948" s="23"/>
      <c r="L1948" s="23"/>
      <c r="M1948" s="23"/>
      <c r="N1948" s="26"/>
      <c r="O1948" s="26"/>
      <c r="P1948" s="26"/>
      <c r="Q1948" s="26"/>
      <c r="R1948" s="26"/>
      <c r="S1948" s="26"/>
      <c r="T1948" s="26"/>
      <c r="U1948" s="26"/>
      <c r="V1948" s="26"/>
      <c r="W1948" s="27"/>
    </row>
    <row r="1949" spans="1:23" ht="15.75" customHeight="1" x14ac:dyDescent="0.25">
      <c r="A1949" s="23"/>
      <c r="B1949" s="23" t="str">
        <f t="shared" si="8"/>
        <v/>
      </c>
      <c r="C1949" s="23"/>
      <c r="D1949" s="44"/>
      <c r="E1949" s="23"/>
      <c r="F1949" s="45"/>
      <c r="G1949" s="23"/>
      <c r="H1949" s="23"/>
      <c r="I1949" s="23"/>
      <c r="J1949" s="25"/>
      <c r="K1949" s="23"/>
      <c r="L1949" s="23"/>
      <c r="M1949" s="23"/>
      <c r="N1949" s="26"/>
      <c r="O1949" s="26"/>
      <c r="P1949" s="26"/>
      <c r="Q1949" s="26"/>
      <c r="R1949" s="26"/>
      <c r="S1949" s="26"/>
      <c r="T1949" s="26"/>
      <c r="U1949" s="26"/>
      <c r="V1949" s="26"/>
      <c r="W1949" s="27"/>
    </row>
    <row r="1950" spans="1:23" ht="15.75" customHeight="1" x14ac:dyDescent="0.25">
      <c r="A1950" s="23"/>
      <c r="B1950" s="23" t="str">
        <f t="shared" si="8"/>
        <v/>
      </c>
      <c r="C1950" s="23"/>
      <c r="D1950" s="44"/>
      <c r="E1950" s="23"/>
      <c r="F1950" s="45"/>
      <c r="G1950" s="23"/>
      <c r="H1950" s="23"/>
      <c r="I1950" s="23"/>
      <c r="J1950" s="25"/>
      <c r="K1950" s="23"/>
      <c r="L1950" s="23"/>
      <c r="M1950" s="23"/>
      <c r="N1950" s="26"/>
      <c r="O1950" s="26"/>
      <c r="P1950" s="26"/>
      <c r="Q1950" s="26"/>
      <c r="R1950" s="26"/>
      <c r="S1950" s="26"/>
      <c r="T1950" s="26"/>
      <c r="U1950" s="26"/>
      <c r="V1950" s="26"/>
      <c r="W1950" s="27"/>
    </row>
    <row r="1951" spans="1:23" ht="15.75" customHeight="1" x14ac:dyDescent="0.25">
      <c r="A1951" s="23"/>
      <c r="B1951" s="23" t="str">
        <f t="shared" si="8"/>
        <v/>
      </c>
      <c r="C1951" s="23"/>
      <c r="D1951" s="44"/>
      <c r="E1951" s="23"/>
      <c r="F1951" s="45"/>
      <c r="G1951" s="23"/>
      <c r="H1951" s="23"/>
      <c r="I1951" s="23"/>
      <c r="J1951" s="25"/>
      <c r="K1951" s="23"/>
      <c r="L1951" s="23"/>
      <c r="M1951" s="23"/>
      <c r="N1951" s="26"/>
      <c r="O1951" s="26"/>
      <c r="P1951" s="26"/>
      <c r="Q1951" s="26"/>
      <c r="R1951" s="26"/>
      <c r="S1951" s="26"/>
      <c r="T1951" s="26"/>
      <c r="U1951" s="26"/>
      <c r="V1951" s="26"/>
      <c r="W1951" s="27"/>
    </row>
    <row r="1952" spans="1:23" ht="15.75" customHeight="1" x14ac:dyDescent="0.25">
      <c r="A1952" s="23"/>
      <c r="B1952" s="23" t="str">
        <f t="shared" si="8"/>
        <v/>
      </c>
      <c r="C1952" s="23"/>
      <c r="D1952" s="44"/>
      <c r="E1952" s="23"/>
      <c r="F1952" s="45"/>
      <c r="G1952" s="23"/>
      <c r="H1952" s="23"/>
      <c r="I1952" s="23"/>
      <c r="J1952" s="25"/>
      <c r="K1952" s="23"/>
      <c r="L1952" s="23"/>
      <c r="M1952" s="23"/>
      <c r="N1952" s="26"/>
      <c r="O1952" s="26"/>
      <c r="P1952" s="26"/>
      <c r="Q1952" s="26"/>
      <c r="R1952" s="26"/>
      <c r="S1952" s="26"/>
      <c r="T1952" s="26"/>
      <c r="U1952" s="26"/>
      <c r="V1952" s="26"/>
      <c r="W1952" s="27"/>
    </row>
    <row r="1953" spans="1:23" ht="15.75" customHeight="1" x14ac:dyDescent="0.25">
      <c r="A1953" s="23"/>
      <c r="B1953" s="23" t="str">
        <f t="shared" si="8"/>
        <v/>
      </c>
      <c r="C1953" s="23"/>
      <c r="D1953" s="44"/>
      <c r="E1953" s="23"/>
      <c r="F1953" s="45"/>
      <c r="G1953" s="23"/>
      <c r="H1953" s="23"/>
      <c r="I1953" s="23"/>
      <c r="J1953" s="25"/>
      <c r="K1953" s="23"/>
      <c r="L1953" s="23"/>
      <c r="M1953" s="23"/>
      <c r="N1953" s="26"/>
      <c r="O1953" s="26"/>
      <c r="P1953" s="26"/>
      <c r="Q1953" s="26"/>
      <c r="R1953" s="26"/>
      <c r="S1953" s="26"/>
      <c r="T1953" s="26"/>
      <c r="U1953" s="26"/>
      <c r="V1953" s="26"/>
      <c r="W1953" s="27"/>
    </row>
    <row r="1954" spans="1:23" ht="15.75" customHeight="1" x14ac:dyDescent="0.25">
      <c r="A1954" s="23"/>
      <c r="B1954" s="23" t="str">
        <f t="shared" si="8"/>
        <v/>
      </c>
      <c r="C1954" s="23"/>
      <c r="D1954" s="44"/>
      <c r="E1954" s="23"/>
      <c r="F1954" s="45"/>
      <c r="G1954" s="23"/>
      <c r="H1954" s="23"/>
      <c r="I1954" s="23"/>
      <c r="J1954" s="25"/>
      <c r="K1954" s="23"/>
      <c r="L1954" s="23"/>
      <c r="M1954" s="23"/>
      <c r="N1954" s="26"/>
      <c r="O1954" s="26"/>
      <c r="P1954" s="26"/>
      <c r="Q1954" s="26"/>
      <c r="R1954" s="26"/>
      <c r="S1954" s="26"/>
      <c r="T1954" s="26"/>
      <c r="U1954" s="26"/>
      <c r="V1954" s="26"/>
      <c r="W1954" s="27"/>
    </row>
    <row r="1955" spans="1:23" ht="15.75" customHeight="1" x14ac:dyDescent="0.25">
      <c r="A1955" s="23"/>
      <c r="B1955" s="23" t="str">
        <f t="shared" si="8"/>
        <v/>
      </c>
      <c r="C1955" s="23"/>
      <c r="D1955" s="44"/>
      <c r="E1955" s="23"/>
      <c r="F1955" s="45"/>
      <c r="G1955" s="23"/>
      <c r="H1955" s="23"/>
      <c r="I1955" s="23"/>
      <c r="J1955" s="25"/>
      <c r="K1955" s="23"/>
      <c r="L1955" s="23"/>
      <c r="M1955" s="23"/>
      <c r="N1955" s="26"/>
      <c r="O1955" s="26"/>
      <c r="P1955" s="26"/>
      <c r="Q1955" s="26"/>
      <c r="R1955" s="26"/>
      <c r="S1955" s="26"/>
      <c r="T1955" s="26"/>
      <c r="U1955" s="26"/>
      <c r="V1955" s="26"/>
      <c r="W1955" s="27"/>
    </row>
    <row r="1956" spans="1:23" ht="15.75" customHeight="1" x14ac:dyDescent="0.25">
      <c r="A1956" s="23"/>
      <c r="B1956" s="23" t="str">
        <f t="shared" si="8"/>
        <v/>
      </c>
      <c r="C1956" s="23"/>
      <c r="D1956" s="44"/>
      <c r="E1956" s="23"/>
      <c r="F1956" s="45"/>
      <c r="G1956" s="23"/>
      <c r="H1956" s="23"/>
      <c r="I1956" s="23"/>
      <c r="J1956" s="25"/>
      <c r="K1956" s="23"/>
      <c r="L1956" s="23"/>
      <c r="M1956" s="23"/>
      <c r="N1956" s="26"/>
      <c r="O1956" s="26"/>
      <c r="P1956" s="26"/>
      <c r="Q1956" s="26"/>
      <c r="R1956" s="26"/>
      <c r="S1956" s="26"/>
      <c r="T1956" s="26"/>
      <c r="U1956" s="26"/>
      <c r="V1956" s="26"/>
      <c r="W1956" s="27"/>
    </row>
    <row r="1957" spans="1:23" ht="15.75" customHeight="1" x14ac:dyDescent="0.25">
      <c r="A1957" s="23"/>
      <c r="B1957" s="23" t="str">
        <f t="shared" si="8"/>
        <v/>
      </c>
      <c r="C1957" s="23"/>
      <c r="D1957" s="44"/>
      <c r="E1957" s="23"/>
      <c r="F1957" s="45"/>
      <c r="G1957" s="23"/>
      <c r="H1957" s="23"/>
      <c r="I1957" s="23"/>
      <c r="J1957" s="25"/>
      <c r="K1957" s="23"/>
      <c r="L1957" s="23"/>
      <c r="M1957" s="23"/>
      <c r="N1957" s="26"/>
      <c r="O1957" s="26"/>
      <c r="P1957" s="26"/>
      <c r="Q1957" s="26"/>
      <c r="R1957" s="26"/>
      <c r="S1957" s="26"/>
      <c r="T1957" s="26"/>
      <c r="U1957" s="26"/>
      <c r="V1957" s="26"/>
      <c r="W1957" s="27"/>
    </row>
    <row r="1958" spans="1:23" ht="15.75" customHeight="1" x14ac:dyDescent="0.25">
      <c r="A1958" s="23"/>
      <c r="B1958" s="23" t="str">
        <f t="shared" si="8"/>
        <v/>
      </c>
      <c r="C1958" s="23"/>
      <c r="D1958" s="44"/>
      <c r="E1958" s="23"/>
      <c r="F1958" s="45"/>
      <c r="G1958" s="23"/>
      <c r="H1958" s="23"/>
      <c r="I1958" s="23"/>
      <c r="J1958" s="25"/>
      <c r="K1958" s="23"/>
      <c r="L1958" s="23"/>
      <c r="M1958" s="23"/>
      <c r="N1958" s="26"/>
      <c r="O1958" s="26"/>
      <c r="P1958" s="26"/>
      <c r="Q1958" s="26"/>
      <c r="R1958" s="26"/>
      <c r="S1958" s="26"/>
      <c r="T1958" s="26"/>
      <c r="U1958" s="26"/>
      <c r="V1958" s="26"/>
      <c r="W1958" s="27"/>
    </row>
    <row r="1959" spans="1:23" ht="15.75" customHeight="1" x14ac:dyDescent="0.25">
      <c r="A1959" s="23"/>
      <c r="B1959" s="23" t="str">
        <f t="shared" si="8"/>
        <v/>
      </c>
      <c r="C1959" s="23"/>
      <c r="D1959" s="44"/>
      <c r="E1959" s="23"/>
      <c r="F1959" s="45"/>
      <c r="G1959" s="23"/>
      <c r="H1959" s="23"/>
      <c r="I1959" s="23"/>
      <c r="J1959" s="25"/>
      <c r="K1959" s="23"/>
      <c r="L1959" s="23"/>
      <c r="M1959" s="23"/>
      <c r="N1959" s="26"/>
      <c r="O1959" s="26"/>
      <c r="P1959" s="26"/>
      <c r="Q1959" s="26"/>
      <c r="R1959" s="26"/>
      <c r="S1959" s="26"/>
      <c r="T1959" s="26"/>
      <c r="U1959" s="26"/>
      <c r="V1959" s="26"/>
      <c r="W1959" s="27"/>
    </row>
    <row r="1960" spans="1:23" ht="15.75" customHeight="1" x14ac:dyDescent="0.25">
      <c r="A1960" s="23"/>
      <c r="B1960" s="23" t="str">
        <f t="shared" si="8"/>
        <v/>
      </c>
      <c r="C1960" s="23"/>
      <c r="D1960" s="44"/>
      <c r="E1960" s="23"/>
      <c r="F1960" s="45"/>
      <c r="G1960" s="23"/>
      <c r="H1960" s="23"/>
      <c r="I1960" s="23"/>
      <c r="J1960" s="25"/>
      <c r="K1960" s="23"/>
      <c r="L1960" s="23"/>
      <c r="M1960" s="23"/>
      <c r="N1960" s="26"/>
      <c r="O1960" s="26"/>
      <c r="P1960" s="26"/>
      <c r="Q1960" s="26"/>
      <c r="R1960" s="26"/>
      <c r="S1960" s="26"/>
      <c r="T1960" s="26"/>
      <c r="U1960" s="26"/>
      <c r="V1960" s="26"/>
      <c r="W1960" s="27"/>
    </row>
    <row r="1961" spans="1:23" ht="15.75" customHeight="1" x14ac:dyDescent="0.25">
      <c r="A1961" s="23"/>
      <c r="B1961" s="23" t="str">
        <f t="shared" si="8"/>
        <v/>
      </c>
      <c r="C1961" s="23"/>
      <c r="D1961" s="44"/>
      <c r="E1961" s="23"/>
      <c r="F1961" s="45"/>
      <c r="G1961" s="23"/>
      <c r="H1961" s="23"/>
      <c r="I1961" s="23"/>
      <c r="J1961" s="25"/>
      <c r="K1961" s="23"/>
      <c r="L1961" s="23"/>
      <c r="M1961" s="23"/>
      <c r="N1961" s="26"/>
      <c r="O1961" s="26"/>
      <c r="P1961" s="26"/>
      <c r="Q1961" s="26"/>
      <c r="R1961" s="26"/>
      <c r="S1961" s="26"/>
      <c r="T1961" s="26"/>
      <c r="U1961" s="26"/>
      <c r="V1961" s="26"/>
      <c r="W1961" s="27"/>
    </row>
    <row r="1962" spans="1:23" ht="15.75" customHeight="1" x14ac:dyDescent="0.25">
      <c r="A1962" s="23"/>
      <c r="B1962" s="23" t="str">
        <f t="shared" si="8"/>
        <v/>
      </c>
      <c r="C1962" s="23"/>
      <c r="D1962" s="44"/>
      <c r="E1962" s="23"/>
      <c r="F1962" s="45"/>
      <c r="G1962" s="23"/>
      <c r="H1962" s="23"/>
      <c r="I1962" s="23"/>
      <c r="J1962" s="25"/>
      <c r="K1962" s="23"/>
      <c r="L1962" s="23"/>
      <c r="M1962" s="23"/>
      <c r="N1962" s="26"/>
      <c r="O1962" s="26"/>
      <c r="P1962" s="26"/>
      <c r="Q1962" s="26"/>
      <c r="R1962" s="26"/>
      <c r="S1962" s="26"/>
      <c r="T1962" s="26"/>
      <c r="U1962" s="26"/>
      <c r="V1962" s="26"/>
      <c r="W1962" s="27"/>
    </row>
    <row r="1963" spans="1:23" ht="15.75" customHeight="1" x14ac:dyDescent="0.25">
      <c r="A1963" s="23"/>
      <c r="B1963" s="23" t="str">
        <f t="shared" si="8"/>
        <v/>
      </c>
      <c r="C1963" s="23"/>
      <c r="D1963" s="44"/>
      <c r="E1963" s="23"/>
      <c r="F1963" s="45"/>
      <c r="G1963" s="23"/>
      <c r="H1963" s="23"/>
      <c r="I1963" s="23"/>
      <c r="J1963" s="25"/>
      <c r="K1963" s="23"/>
      <c r="L1963" s="23"/>
      <c r="M1963" s="23"/>
      <c r="N1963" s="26"/>
      <c r="O1963" s="26"/>
      <c r="P1963" s="26"/>
      <c r="Q1963" s="26"/>
      <c r="R1963" s="26"/>
      <c r="S1963" s="26"/>
      <c r="T1963" s="26"/>
      <c r="U1963" s="26"/>
      <c r="V1963" s="26"/>
      <c r="W1963" s="27"/>
    </row>
    <row r="1964" spans="1:23" ht="15.75" customHeight="1" x14ac:dyDescent="0.25">
      <c r="A1964" s="23"/>
      <c r="B1964" s="23" t="str">
        <f t="shared" si="8"/>
        <v/>
      </c>
      <c r="C1964" s="23"/>
      <c r="D1964" s="44"/>
      <c r="E1964" s="23"/>
      <c r="F1964" s="45"/>
      <c r="G1964" s="23"/>
      <c r="H1964" s="23"/>
      <c r="I1964" s="23"/>
      <c r="J1964" s="25"/>
      <c r="K1964" s="23"/>
      <c r="L1964" s="23"/>
      <c r="M1964" s="23"/>
      <c r="N1964" s="26"/>
      <c r="O1964" s="26"/>
      <c r="P1964" s="26"/>
      <c r="Q1964" s="26"/>
      <c r="R1964" s="26"/>
      <c r="S1964" s="26"/>
      <c r="T1964" s="26"/>
      <c r="U1964" s="26"/>
      <c r="V1964" s="26"/>
      <c r="W1964" s="27"/>
    </row>
    <row r="1965" spans="1:23" ht="15.75" customHeight="1" x14ac:dyDescent="0.25">
      <c r="A1965" s="23"/>
      <c r="B1965" s="23" t="str">
        <f t="shared" si="8"/>
        <v/>
      </c>
      <c r="C1965" s="23"/>
      <c r="D1965" s="44"/>
      <c r="E1965" s="23"/>
      <c r="F1965" s="45"/>
      <c r="G1965" s="23"/>
      <c r="H1965" s="23"/>
      <c r="I1965" s="23"/>
      <c r="J1965" s="25"/>
      <c r="K1965" s="23"/>
      <c r="L1965" s="23"/>
      <c r="M1965" s="23"/>
      <c r="N1965" s="26"/>
      <c r="O1965" s="26"/>
      <c r="P1965" s="26"/>
      <c r="Q1965" s="26"/>
      <c r="R1965" s="26"/>
      <c r="S1965" s="26"/>
      <c r="T1965" s="26"/>
      <c r="U1965" s="26"/>
      <c r="V1965" s="26"/>
      <c r="W1965" s="27"/>
    </row>
    <row r="1966" spans="1:23" ht="15.75" customHeight="1" x14ac:dyDescent="0.25">
      <c r="A1966" s="23"/>
      <c r="B1966" s="23" t="str">
        <f t="shared" si="8"/>
        <v/>
      </c>
      <c r="C1966" s="23"/>
      <c r="D1966" s="44"/>
      <c r="E1966" s="23"/>
      <c r="F1966" s="45"/>
      <c r="G1966" s="23"/>
      <c r="H1966" s="23"/>
      <c r="I1966" s="23"/>
      <c r="J1966" s="25"/>
      <c r="K1966" s="23"/>
      <c r="L1966" s="23"/>
      <c r="M1966" s="23"/>
      <c r="N1966" s="26"/>
      <c r="O1966" s="26"/>
      <c r="P1966" s="26"/>
      <c r="Q1966" s="26"/>
      <c r="R1966" s="26"/>
      <c r="S1966" s="26"/>
      <c r="T1966" s="26"/>
      <c r="U1966" s="26"/>
      <c r="V1966" s="26"/>
      <c r="W1966" s="27"/>
    </row>
    <row r="1967" spans="1:23" ht="15.75" customHeight="1" x14ac:dyDescent="0.25">
      <c r="A1967" s="23"/>
      <c r="B1967" s="23" t="str">
        <f t="shared" si="8"/>
        <v/>
      </c>
      <c r="C1967" s="23"/>
      <c r="D1967" s="44"/>
      <c r="E1967" s="23"/>
      <c r="F1967" s="45"/>
      <c r="G1967" s="23"/>
      <c r="H1967" s="23"/>
      <c r="I1967" s="23"/>
      <c r="J1967" s="25"/>
      <c r="K1967" s="23"/>
      <c r="L1967" s="23"/>
      <c r="M1967" s="23"/>
      <c r="N1967" s="26"/>
      <c r="O1967" s="26"/>
      <c r="P1967" s="26"/>
      <c r="Q1967" s="26"/>
      <c r="R1967" s="26"/>
      <c r="S1967" s="26"/>
      <c r="T1967" s="26"/>
      <c r="U1967" s="26"/>
      <c r="V1967" s="26"/>
      <c r="W1967" s="27"/>
    </row>
    <row r="1968" spans="1:23" ht="15.75" customHeight="1" x14ac:dyDescent="0.25">
      <c r="A1968" s="23"/>
      <c r="B1968" s="23" t="str">
        <f t="shared" si="8"/>
        <v/>
      </c>
      <c r="C1968" s="23"/>
      <c r="D1968" s="44"/>
      <c r="E1968" s="23"/>
      <c r="F1968" s="45"/>
      <c r="G1968" s="23"/>
      <c r="H1968" s="23"/>
      <c r="I1968" s="23"/>
      <c r="J1968" s="25"/>
      <c r="K1968" s="23"/>
      <c r="L1968" s="23"/>
      <c r="M1968" s="23"/>
      <c r="N1968" s="26"/>
      <c r="O1968" s="26"/>
      <c r="P1968" s="26"/>
      <c r="Q1968" s="26"/>
      <c r="R1968" s="26"/>
      <c r="S1968" s="26"/>
      <c r="T1968" s="26"/>
      <c r="U1968" s="26"/>
      <c r="V1968" s="26"/>
      <c r="W1968" s="27"/>
    </row>
    <row r="1969" spans="1:23" ht="15.75" customHeight="1" x14ac:dyDescent="0.25">
      <c r="A1969" s="23"/>
      <c r="B1969" s="23" t="str">
        <f t="shared" si="8"/>
        <v/>
      </c>
      <c r="C1969" s="23"/>
      <c r="D1969" s="44"/>
      <c r="E1969" s="23"/>
      <c r="F1969" s="45"/>
      <c r="G1969" s="23"/>
      <c r="H1969" s="23"/>
      <c r="I1969" s="23"/>
      <c r="J1969" s="25"/>
      <c r="K1969" s="23"/>
      <c r="L1969" s="23"/>
      <c r="M1969" s="23"/>
      <c r="N1969" s="26"/>
      <c r="O1969" s="26"/>
      <c r="P1969" s="26"/>
      <c r="Q1969" s="26"/>
      <c r="R1969" s="26"/>
      <c r="S1969" s="26"/>
      <c r="T1969" s="26"/>
      <c r="U1969" s="26"/>
      <c r="V1969" s="26"/>
      <c r="W1969" s="27"/>
    </row>
    <row r="1970" spans="1:23" ht="15.75" customHeight="1" x14ac:dyDescent="0.25">
      <c r="A1970" s="23"/>
      <c r="B1970" s="23" t="str">
        <f t="shared" si="8"/>
        <v/>
      </c>
      <c r="C1970" s="23"/>
      <c r="D1970" s="44"/>
      <c r="E1970" s="23"/>
      <c r="F1970" s="45"/>
      <c r="G1970" s="23"/>
      <c r="H1970" s="23"/>
      <c r="I1970" s="23"/>
      <c r="J1970" s="25"/>
      <c r="K1970" s="23"/>
      <c r="L1970" s="23"/>
      <c r="M1970" s="23"/>
      <c r="N1970" s="26"/>
      <c r="O1970" s="26"/>
      <c r="P1970" s="26"/>
      <c r="Q1970" s="26"/>
      <c r="R1970" s="26"/>
      <c r="S1970" s="26"/>
      <c r="T1970" s="26"/>
      <c r="U1970" s="26"/>
      <c r="V1970" s="26"/>
      <c r="W1970" s="27"/>
    </row>
    <row r="1971" spans="1:23" ht="15.75" customHeight="1" x14ac:dyDescent="0.25">
      <c r="A1971" s="23"/>
      <c r="B1971" s="23" t="str">
        <f t="shared" si="8"/>
        <v/>
      </c>
      <c r="C1971" s="23"/>
      <c r="D1971" s="44"/>
      <c r="E1971" s="23"/>
      <c r="F1971" s="45"/>
      <c r="G1971" s="23"/>
      <c r="H1971" s="23"/>
      <c r="I1971" s="23"/>
      <c r="J1971" s="25"/>
      <c r="K1971" s="23"/>
      <c r="L1971" s="23"/>
      <c r="M1971" s="23"/>
      <c r="N1971" s="26"/>
      <c r="O1971" s="26"/>
      <c r="P1971" s="26"/>
      <c r="Q1971" s="26"/>
      <c r="R1971" s="26"/>
      <c r="S1971" s="26"/>
      <c r="T1971" s="26"/>
      <c r="U1971" s="26"/>
      <c r="V1971" s="26"/>
      <c r="W1971" s="27"/>
    </row>
    <row r="1972" spans="1:23" ht="15.75" customHeight="1" x14ac:dyDescent="0.25">
      <c r="A1972" s="23"/>
      <c r="B1972" s="23" t="str">
        <f t="shared" si="8"/>
        <v/>
      </c>
      <c r="C1972" s="23"/>
      <c r="D1972" s="44"/>
      <c r="E1972" s="23"/>
      <c r="F1972" s="45"/>
      <c r="G1972" s="23"/>
      <c r="H1972" s="23"/>
      <c r="I1972" s="23"/>
      <c r="J1972" s="25"/>
      <c r="K1972" s="23"/>
      <c r="L1972" s="23"/>
      <c r="M1972" s="23"/>
      <c r="N1972" s="26"/>
      <c r="O1972" s="26"/>
      <c r="P1972" s="26"/>
      <c r="Q1972" s="26"/>
      <c r="R1972" s="26"/>
      <c r="S1972" s="26"/>
      <c r="T1972" s="26"/>
      <c r="U1972" s="26"/>
      <c r="V1972" s="26"/>
      <c r="W1972" s="27"/>
    </row>
    <row r="1973" spans="1:23" ht="15.75" customHeight="1" x14ac:dyDescent="0.25">
      <c r="A1973" s="23"/>
      <c r="B1973" s="23" t="str">
        <f t="shared" si="8"/>
        <v/>
      </c>
      <c r="C1973" s="23"/>
      <c r="D1973" s="44"/>
      <c r="E1973" s="23"/>
      <c r="F1973" s="45"/>
      <c r="G1973" s="23"/>
      <c r="H1973" s="23"/>
      <c r="I1973" s="23"/>
      <c r="J1973" s="25"/>
      <c r="K1973" s="23"/>
      <c r="L1973" s="23"/>
      <c r="M1973" s="23"/>
      <c r="N1973" s="26"/>
      <c r="O1973" s="26"/>
      <c r="P1973" s="26"/>
      <c r="Q1973" s="26"/>
      <c r="R1973" s="26"/>
      <c r="S1973" s="26"/>
      <c r="T1973" s="26"/>
      <c r="U1973" s="26"/>
      <c r="V1973" s="26"/>
      <c r="W1973" s="27"/>
    </row>
    <row r="1974" spans="1:23" ht="15.75" customHeight="1" x14ac:dyDescent="0.25">
      <c r="A1974" s="23"/>
      <c r="B1974" s="23" t="str">
        <f t="shared" si="8"/>
        <v/>
      </c>
      <c r="C1974" s="23"/>
      <c r="D1974" s="44"/>
      <c r="E1974" s="23"/>
      <c r="F1974" s="45"/>
      <c r="G1974" s="23"/>
      <c r="H1974" s="23"/>
      <c r="I1974" s="23"/>
      <c r="J1974" s="25"/>
      <c r="K1974" s="23"/>
      <c r="L1974" s="23"/>
      <c r="M1974" s="23"/>
      <c r="N1974" s="26"/>
      <c r="O1974" s="26"/>
      <c r="P1974" s="26"/>
      <c r="Q1974" s="26"/>
      <c r="R1974" s="26"/>
      <c r="S1974" s="26"/>
      <c r="T1974" s="26"/>
      <c r="U1974" s="26"/>
      <c r="V1974" s="26"/>
      <c r="W1974" s="27"/>
    </row>
    <row r="1975" spans="1:23" ht="15.75" customHeight="1" x14ac:dyDescent="0.25">
      <c r="A1975" s="23"/>
      <c r="B1975" s="23" t="str">
        <f t="shared" si="8"/>
        <v/>
      </c>
      <c r="C1975" s="23"/>
      <c r="D1975" s="44"/>
      <c r="E1975" s="23"/>
      <c r="F1975" s="45"/>
      <c r="G1975" s="23"/>
      <c r="H1975" s="23"/>
      <c r="I1975" s="23"/>
      <c r="J1975" s="25"/>
      <c r="K1975" s="23"/>
      <c r="L1975" s="23"/>
      <c r="M1975" s="23"/>
      <c r="N1975" s="26"/>
      <c r="O1975" s="26"/>
      <c r="P1975" s="26"/>
      <c r="Q1975" s="26"/>
      <c r="R1975" s="26"/>
      <c r="S1975" s="26"/>
      <c r="T1975" s="26"/>
      <c r="U1975" s="26"/>
      <c r="V1975" s="26"/>
      <c r="W1975" s="27"/>
    </row>
    <row r="1976" spans="1:23" ht="15.75" customHeight="1" x14ac:dyDescent="0.25">
      <c r="A1976" s="23"/>
      <c r="B1976" s="23" t="str">
        <f t="shared" si="8"/>
        <v/>
      </c>
      <c r="C1976" s="23"/>
      <c r="D1976" s="44"/>
      <c r="E1976" s="23"/>
      <c r="F1976" s="45"/>
      <c r="G1976" s="23"/>
      <c r="H1976" s="23"/>
      <c r="I1976" s="23"/>
      <c r="J1976" s="25"/>
      <c r="K1976" s="23"/>
      <c r="L1976" s="23"/>
      <c r="M1976" s="23"/>
      <c r="N1976" s="26"/>
      <c r="O1976" s="26"/>
      <c r="P1976" s="26"/>
      <c r="Q1976" s="26"/>
      <c r="R1976" s="26"/>
      <c r="S1976" s="26"/>
      <c r="T1976" s="26"/>
      <c r="U1976" s="26"/>
      <c r="V1976" s="26"/>
      <c r="W1976" s="27"/>
    </row>
    <row r="1977" spans="1:23" ht="15.75" customHeight="1" x14ac:dyDescent="0.25">
      <c r="A1977" s="23"/>
      <c r="B1977" s="23" t="str">
        <f t="shared" si="8"/>
        <v/>
      </c>
      <c r="C1977" s="23"/>
      <c r="D1977" s="44"/>
      <c r="E1977" s="23"/>
      <c r="F1977" s="45"/>
      <c r="G1977" s="23"/>
      <c r="H1977" s="23"/>
      <c r="I1977" s="23"/>
      <c r="J1977" s="25"/>
      <c r="K1977" s="23"/>
      <c r="L1977" s="23"/>
      <c r="M1977" s="23"/>
      <c r="N1977" s="26"/>
      <c r="O1977" s="26"/>
      <c r="P1977" s="26"/>
      <c r="Q1977" s="26"/>
      <c r="R1977" s="26"/>
      <c r="S1977" s="26"/>
      <c r="T1977" s="26"/>
      <c r="U1977" s="26"/>
      <c r="V1977" s="26"/>
      <c r="W1977" s="27"/>
    </row>
    <row r="1978" spans="1:23" ht="15.75" customHeight="1" x14ac:dyDescent="0.25">
      <c r="A1978" s="23"/>
      <c r="B1978" s="23" t="str">
        <f t="shared" si="8"/>
        <v/>
      </c>
      <c r="C1978" s="23"/>
      <c r="D1978" s="44"/>
      <c r="E1978" s="23"/>
      <c r="F1978" s="45"/>
      <c r="G1978" s="23"/>
      <c r="H1978" s="23"/>
      <c r="I1978" s="23"/>
      <c r="J1978" s="25"/>
      <c r="K1978" s="23"/>
      <c r="L1978" s="23"/>
      <c r="M1978" s="23"/>
      <c r="N1978" s="26"/>
      <c r="O1978" s="26"/>
      <c r="P1978" s="26"/>
      <c r="Q1978" s="26"/>
      <c r="R1978" s="26"/>
      <c r="S1978" s="26"/>
      <c r="T1978" s="26"/>
      <c r="U1978" s="26"/>
      <c r="V1978" s="26"/>
      <c r="W1978" s="27"/>
    </row>
    <row r="1979" spans="1:23" ht="15.75" customHeight="1" x14ac:dyDescent="0.25">
      <c r="A1979" s="23"/>
      <c r="B1979" s="23" t="str">
        <f t="shared" si="8"/>
        <v/>
      </c>
      <c r="C1979" s="23"/>
      <c r="D1979" s="44"/>
      <c r="E1979" s="23"/>
      <c r="F1979" s="45"/>
      <c r="G1979" s="23"/>
      <c r="H1979" s="23"/>
      <c r="I1979" s="23"/>
      <c r="J1979" s="25"/>
      <c r="K1979" s="23"/>
      <c r="L1979" s="23"/>
      <c r="M1979" s="23"/>
      <c r="N1979" s="26"/>
      <c r="O1979" s="26"/>
      <c r="P1979" s="26"/>
      <c r="Q1979" s="26"/>
      <c r="R1979" s="26"/>
      <c r="S1979" s="26"/>
      <c r="T1979" s="26"/>
      <c r="U1979" s="26"/>
      <c r="V1979" s="26"/>
      <c r="W1979" s="27"/>
    </row>
    <row r="1980" spans="1:23" ht="15.75" customHeight="1" x14ac:dyDescent="0.25">
      <c r="A1980" s="23"/>
      <c r="B1980" s="23" t="str">
        <f t="shared" si="8"/>
        <v/>
      </c>
      <c r="C1980" s="23"/>
      <c r="D1980" s="44"/>
      <c r="E1980" s="23"/>
      <c r="F1980" s="45"/>
      <c r="G1980" s="23"/>
      <c r="H1980" s="23"/>
      <c r="I1980" s="23"/>
      <c r="J1980" s="25"/>
      <c r="K1980" s="23"/>
      <c r="L1980" s="23"/>
      <c r="M1980" s="23"/>
      <c r="N1980" s="26"/>
      <c r="O1980" s="26"/>
      <c r="P1980" s="26"/>
      <c r="Q1980" s="26"/>
      <c r="R1980" s="26"/>
      <c r="S1980" s="26"/>
      <c r="T1980" s="26"/>
      <c r="U1980" s="26"/>
      <c r="V1980" s="26"/>
      <c r="W1980" s="27"/>
    </row>
    <row r="1981" spans="1:23" ht="15.75" customHeight="1" x14ac:dyDescent="0.25">
      <c r="A1981" s="23"/>
      <c r="B1981" s="23" t="str">
        <f t="shared" si="8"/>
        <v/>
      </c>
      <c r="C1981" s="23"/>
      <c r="D1981" s="44"/>
      <c r="E1981" s="23"/>
      <c r="F1981" s="45"/>
      <c r="G1981" s="23"/>
      <c r="H1981" s="23"/>
      <c r="I1981" s="23"/>
      <c r="J1981" s="25"/>
      <c r="K1981" s="23"/>
      <c r="L1981" s="23"/>
      <c r="M1981" s="23"/>
      <c r="N1981" s="26"/>
      <c r="O1981" s="26"/>
      <c r="P1981" s="26"/>
      <c r="Q1981" s="26"/>
      <c r="R1981" s="26"/>
      <c r="S1981" s="26"/>
      <c r="T1981" s="26"/>
      <c r="U1981" s="26"/>
      <c r="V1981" s="26"/>
      <c r="W1981" s="27"/>
    </row>
    <row r="1982" spans="1:23" ht="15.75" customHeight="1" x14ac:dyDescent="0.25">
      <c r="A1982" s="23"/>
      <c r="B1982" s="23" t="str">
        <f t="shared" si="8"/>
        <v/>
      </c>
      <c r="C1982" s="23"/>
      <c r="D1982" s="44"/>
      <c r="E1982" s="23"/>
      <c r="F1982" s="45"/>
      <c r="G1982" s="23"/>
      <c r="H1982" s="23"/>
      <c r="I1982" s="23"/>
      <c r="J1982" s="25"/>
      <c r="K1982" s="23"/>
      <c r="L1982" s="23"/>
      <c r="M1982" s="23"/>
      <c r="N1982" s="26"/>
      <c r="O1982" s="26"/>
      <c r="P1982" s="26"/>
      <c r="Q1982" s="26"/>
      <c r="R1982" s="26"/>
      <c r="S1982" s="26"/>
      <c r="T1982" s="26"/>
      <c r="U1982" s="26"/>
      <c r="V1982" s="26"/>
      <c r="W1982" s="27"/>
    </row>
    <row r="1983" spans="1:23" ht="15.75" customHeight="1" x14ac:dyDescent="0.25">
      <c r="A1983" s="23"/>
      <c r="B1983" s="23" t="str">
        <f t="shared" si="8"/>
        <v/>
      </c>
      <c r="C1983" s="23"/>
      <c r="D1983" s="44"/>
      <c r="E1983" s="23"/>
      <c r="F1983" s="45"/>
      <c r="G1983" s="23"/>
      <c r="H1983" s="23"/>
      <c r="I1983" s="23"/>
      <c r="J1983" s="25"/>
      <c r="K1983" s="23"/>
      <c r="L1983" s="23"/>
      <c r="M1983" s="23"/>
      <c r="N1983" s="26"/>
      <c r="O1983" s="26"/>
      <c r="P1983" s="26"/>
      <c r="Q1983" s="26"/>
      <c r="R1983" s="26"/>
      <c r="S1983" s="26"/>
      <c r="T1983" s="26"/>
      <c r="U1983" s="26"/>
      <c r="V1983" s="26"/>
      <c r="W1983" s="27"/>
    </row>
    <row r="1984" spans="1:23" ht="15.75" customHeight="1" x14ac:dyDescent="0.25">
      <c r="A1984" s="23"/>
      <c r="B1984" s="23" t="str">
        <f t="shared" si="8"/>
        <v/>
      </c>
      <c r="C1984" s="23"/>
      <c r="D1984" s="44"/>
      <c r="E1984" s="23"/>
      <c r="F1984" s="45"/>
      <c r="G1984" s="23"/>
      <c r="H1984" s="23"/>
      <c r="I1984" s="23"/>
      <c r="J1984" s="25"/>
      <c r="K1984" s="23"/>
      <c r="L1984" s="23"/>
      <c r="M1984" s="23"/>
      <c r="N1984" s="26"/>
      <c r="O1984" s="26"/>
      <c r="P1984" s="26"/>
      <c r="Q1984" s="26"/>
      <c r="R1984" s="26"/>
      <c r="S1984" s="26"/>
      <c r="T1984" s="26"/>
      <c r="U1984" s="26"/>
      <c r="V1984" s="26"/>
      <c r="W1984" s="27"/>
    </row>
    <row r="1985" spans="1:23" ht="15.75" customHeight="1" x14ac:dyDescent="0.25">
      <c r="A1985" s="23"/>
      <c r="B1985" s="23" t="str">
        <f t="shared" si="8"/>
        <v/>
      </c>
      <c r="C1985" s="23"/>
      <c r="D1985" s="44"/>
      <c r="E1985" s="23"/>
      <c r="F1985" s="45"/>
      <c r="G1985" s="23"/>
      <c r="H1985" s="23"/>
      <c r="I1985" s="23"/>
      <c r="J1985" s="25"/>
      <c r="K1985" s="23"/>
      <c r="L1985" s="23"/>
      <c r="M1985" s="23"/>
      <c r="N1985" s="26"/>
      <c r="O1985" s="26"/>
      <c r="P1985" s="26"/>
      <c r="Q1985" s="26"/>
      <c r="R1985" s="26"/>
      <c r="S1985" s="26"/>
      <c r="T1985" s="26"/>
      <c r="U1985" s="26"/>
      <c r="V1985" s="26"/>
      <c r="W1985" s="27"/>
    </row>
    <row r="1986" spans="1:23" ht="15.75" customHeight="1" x14ac:dyDescent="0.25">
      <c r="A1986" s="23"/>
      <c r="B1986" s="23" t="str">
        <f t="shared" si="8"/>
        <v/>
      </c>
      <c r="C1986" s="23"/>
      <c r="D1986" s="44"/>
      <c r="E1986" s="23"/>
      <c r="F1986" s="45"/>
      <c r="G1986" s="23"/>
      <c r="H1986" s="23"/>
      <c r="I1986" s="23"/>
      <c r="J1986" s="25"/>
      <c r="K1986" s="23"/>
      <c r="L1986" s="23"/>
      <c r="M1986" s="23"/>
      <c r="N1986" s="26"/>
      <c r="O1986" s="26"/>
      <c r="P1986" s="26"/>
      <c r="Q1986" s="26"/>
      <c r="R1986" s="26"/>
      <c r="S1986" s="26"/>
      <c r="T1986" s="26"/>
      <c r="U1986" s="26"/>
      <c r="V1986" s="26"/>
      <c r="W1986" s="27"/>
    </row>
    <row r="1987" spans="1:23" ht="15.75" customHeight="1" x14ac:dyDescent="0.25">
      <c r="A1987" s="23"/>
      <c r="B1987" s="23" t="str">
        <f t="shared" si="8"/>
        <v/>
      </c>
      <c r="C1987" s="23"/>
      <c r="D1987" s="44"/>
      <c r="E1987" s="23"/>
      <c r="F1987" s="45"/>
      <c r="G1987" s="23"/>
      <c r="H1987" s="23"/>
      <c r="I1987" s="23"/>
      <c r="J1987" s="25"/>
      <c r="K1987" s="23"/>
      <c r="L1987" s="23"/>
      <c r="M1987" s="23"/>
      <c r="N1987" s="26"/>
      <c r="O1987" s="26"/>
      <c r="P1987" s="26"/>
      <c r="Q1987" s="26"/>
      <c r="R1987" s="26"/>
      <c r="S1987" s="26"/>
      <c r="T1987" s="26"/>
      <c r="U1987" s="26"/>
      <c r="V1987" s="26"/>
      <c r="W1987" s="27"/>
    </row>
    <row r="1988" spans="1:23" ht="15.75" customHeight="1" x14ac:dyDescent="0.25">
      <c r="A1988" s="23"/>
      <c r="B1988" s="23" t="str">
        <f t="shared" si="8"/>
        <v/>
      </c>
      <c r="C1988" s="23"/>
      <c r="D1988" s="44"/>
      <c r="E1988" s="23"/>
      <c r="F1988" s="45"/>
      <c r="G1988" s="23"/>
      <c r="H1988" s="23"/>
      <c r="I1988" s="23"/>
      <c r="J1988" s="25"/>
      <c r="K1988" s="23"/>
      <c r="L1988" s="23"/>
      <c r="M1988" s="23"/>
      <c r="N1988" s="26"/>
      <c r="O1988" s="26"/>
      <c r="P1988" s="26"/>
      <c r="Q1988" s="26"/>
      <c r="R1988" s="26"/>
      <c r="S1988" s="26"/>
      <c r="T1988" s="26"/>
      <c r="U1988" s="26"/>
      <c r="V1988" s="26"/>
      <c r="W1988" s="27"/>
    </row>
    <row r="1989" spans="1:23" ht="15.75" customHeight="1" x14ac:dyDescent="0.25">
      <c r="A1989" s="23"/>
      <c r="B1989" s="23" t="str">
        <f t="shared" si="8"/>
        <v/>
      </c>
      <c r="C1989" s="23"/>
      <c r="D1989" s="44"/>
      <c r="E1989" s="23"/>
      <c r="F1989" s="45"/>
      <c r="G1989" s="23"/>
      <c r="H1989" s="23"/>
      <c r="I1989" s="23"/>
      <c r="J1989" s="25"/>
      <c r="K1989" s="23"/>
      <c r="L1989" s="23"/>
      <c r="M1989" s="23"/>
      <c r="N1989" s="26"/>
      <c r="O1989" s="26"/>
      <c r="P1989" s="26"/>
      <c r="Q1989" s="26"/>
      <c r="R1989" s="26"/>
      <c r="S1989" s="26"/>
      <c r="T1989" s="26"/>
      <c r="U1989" s="26"/>
      <c r="V1989" s="26"/>
      <c r="W1989" s="27"/>
    </row>
    <row r="1990" spans="1:23" ht="15.75" customHeight="1" x14ac:dyDescent="0.25">
      <c r="A1990" s="23"/>
      <c r="B1990" s="23" t="str">
        <f t="shared" si="8"/>
        <v/>
      </c>
      <c r="C1990" s="23"/>
      <c r="D1990" s="44"/>
      <c r="E1990" s="23"/>
      <c r="F1990" s="45"/>
      <c r="G1990" s="23"/>
      <c r="H1990" s="23"/>
      <c r="I1990" s="23"/>
      <c r="J1990" s="25"/>
      <c r="K1990" s="23"/>
      <c r="L1990" s="23"/>
      <c r="M1990" s="23"/>
      <c r="N1990" s="26"/>
      <c r="O1990" s="26"/>
      <c r="P1990" s="26"/>
      <c r="Q1990" s="26"/>
      <c r="R1990" s="26"/>
      <c r="S1990" s="26"/>
      <c r="T1990" s="26"/>
      <c r="U1990" s="26"/>
      <c r="V1990" s="26"/>
      <c r="W1990" s="27"/>
    </row>
    <row r="1991" spans="1:23" ht="15.75" customHeight="1" x14ac:dyDescent="0.25">
      <c r="A1991" s="23"/>
      <c r="B1991" s="23" t="str">
        <f t="shared" si="8"/>
        <v/>
      </c>
      <c r="C1991" s="23"/>
      <c r="D1991" s="44"/>
      <c r="E1991" s="23"/>
      <c r="F1991" s="45"/>
      <c r="G1991" s="23"/>
      <c r="H1991" s="23"/>
      <c r="I1991" s="23"/>
      <c r="J1991" s="25"/>
      <c r="K1991" s="23"/>
      <c r="L1991" s="23"/>
      <c r="M1991" s="23"/>
      <c r="N1991" s="26"/>
      <c r="O1991" s="26"/>
      <c r="P1991" s="26"/>
      <c r="Q1991" s="26"/>
      <c r="R1991" s="26"/>
      <c r="S1991" s="26"/>
      <c r="T1991" s="26"/>
      <c r="U1991" s="26"/>
      <c r="V1991" s="26"/>
      <c r="W1991" s="27"/>
    </row>
    <row r="1992" spans="1:23" ht="15.75" customHeight="1" x14ac:dyDescent="0.25">
      <c r="A1992" s="23"/>
      <c r="B1992" s="23" t="str">
        <f t="shared" si="8"/>
        <v/>
      </c>
      <c r="C1992" s="23"/>
      <c r="D1992" s="44"/>
      <c r="E1992" s="23"/>
      <c r="F1992" s="45"/>
      <c r="G1992" s="23"/>
      <c r="H1992" s="23"/>
      <c r="I1992" s="23"/>
      <c r="J1992" s="25"/>
      <c r="K1992" s="23"/>
      <c r="L1992" s="23"/>
      <c r="M1992" s="23"/>
      <c r="N1992" s="26"/>
      <c r="O1992" s="26"/>
      <c r="P1992" s="26"/>
      <c r="Q1992" s="26"/>
      <c r="R1992" s="26"/>
      <c r="S1992" s="26"/>
      <c r="T1992" s="26"/>
      <c r="U1992" s="26"/>
      <c r="V1992" s="26"/>
      <c r="W1992" s="27"/>
    </row>
    <row r="1993" spans="1:23" ht="15.75" customHeight="1" x14ac:dyDescent="0.25">
      <c r="A1993" s="23"/>
      <c r="B1993" s="23" t="str">
        <f t="shared" si="8"/>
        <v/>
      </c>
      <c r="C1993" s="23"/>
      <c r="D1993" s="44"/>
      <c r="E1993" s="23"/>
      <c r="F1993" s="45"/>
      <c r="G1993" s="23"/>
      <c r="H1993" s="23"/>
      <c r="I1993" s="23"/>
      <c r="J1993" s="25"/>
      <c r="K1993" s="23"/>
      <c r="L1993" s="23"/>
      <c r="M1993" s="23"/>
      <c r="N1993" s="26"/>
      <c r="O1993" s="26"/>
      <c r="P1993" s="26"/>
      <c r="Q1993" s="26"/>
      <c r="R1993" s="26"/>
      <c r="S1993" s="26"/>
      <c r="T1993" s="26"/>
      <c r="U1993" s="26"/>
      <c r="V1993" s="26"/>
      <c r="W1993" s="27"/>
    </row>
    <row r="1994" spans="1:23" ht="15.75" customHeight="1" x14ac:dyDescent="0.25">
      <c r="A1994" s="23"/>
      <c r="B1994" s="23" t="str">
        <f t="shared" si="8"/>
        <v/>
      </c>
      <c r="C1994" s="23"/>
      <c r="D1994" s="44"/>
      <c r="E1994" s="23"/>
      <c r="F1994" s="45"/>
      <c r="G1994" s="23"/>
      <c r="H1994" s="23"/>
      <c r="I1994" s="23"/>
      <c r="J1994" s="25"/>
      <c r="K1994" s="23"/>
      <c r="L1994" s="23"/>
      <c r="M1994" s="23"/>
      <c r="N1994" s="26"/>
      <c r="O1994" s="26"/>
      <c r="P1994" s="26"/>
      <c r="Q1994" s="26"/>
      <c r="R1994" s="26"/>
      <c r="S1994" s="26"/>
      <c r="T1994" s="26"/>
      <c r="U1994" s="26"/>
      <c r="V1994" s="26"/>
      <c r="W1994" s="27"/>
    </row>
    <row r="1995" spans="1:23" ht="15.75" customHeight="1" x14ac:dyDescent="0.25">
      <c r="A1995" s="23"/>
      <c r="B1995" s="23" t="str">
        <f t="shared" si="8"/>
        <v/>
      </c>
      <c r="C1995" s="23"/>
      <c r="D1995" s="44"/>
      <c r="E1995" s="23"/>
      <c r="F1995" s="45"/>
      <c r="G1995" s="23"/>
      <c r="H1995" s="23"/>
      <c r="I1995" s="23"/>
      <c r="J1995" s="25"/>
      <c r="K1995" s="23"/>
      <c r="L1995" s="23"/>
      <c r="M1995" s="23"/>
      <c r="N1995" s="26"/>
      <c r="O1995" s="26"/>
      <c r="P1995" s="26"/>
      <c r="Q1995" s="26"/>
      <c r="R1995" s="26"/>
      <c r="S1995" s="26"/>
      <c r="T1995" s="26"/>
      <c r="U1995" s="26"/>
      <c r="V1995" s="26"/>
      <c r="W1995" s="27"/>
    </row>
    <row r="1996" spans="1:23" ht="15.75" customHeight="1" x14ac:dyDescent="0.25">
      <c r="A1996" s="23"/>
      <c r="B1996" s="23" t="str">
        <f t="shared" si="8"/>
        <v/>
      </c>
      <c r="C1996" s="23"/>
      <c r="D1996" s="44"/>
      <c r="E1996" s="23"/>
      <c r="F1996" s="45"/>
      <c r="G1996" s="23"/>
      <c r="H1996" s="23"/>
      <c r="I1996" s="23"/>
      <c r="J1996" s="25"/>
      <c r="K1996" s="23"/>
      <c r="L1996" s="23"/>
      <c r="M1996" s="23"/>
      <c r="N1996" s="26"/>
      <c r="O1996" s="26"/>
      <c r="P1996" s="26"/>
      <c r="Q1996" s="26"/>
      <c r="R1996" s="26"/>
      <c r="S1996" s="26"/>
      <c r="T1996" s="26"/>
      <c r="U1996" s="26"/>
      <c r="V1996" s="26"/>
      <c r="W1996" s="27"/>
    </row>
    <row r="1997" spans="1:23" ht="15.75" customHeight="1" x14ac:dyDescent="0.25">
      <c r="A1997" s="23"/>
      <c r="B1997" s="23" t="str">
        <f t="shared" si="8"/>
        <v/>
      </c>
      <c r="C1997" s="23"/>
      <c r="D1997" s="44"/>
      <c r="E1997" s="23"/>
      <c r="F1997" s="45"/>
      <c r="G1997" s="23"/>
      <c r="H1997" s="23"/>
      <c r="I1997" s="23"/>
      <c r="J1997" s="25"/>
      <c r="K1997" s="23"/>
      <c r="L1997" s="23"/>
      <c r="M1997" s="23"/>
      <c r="N1997" s="26"/>
      <c r="O1997" s="26"/>
      <c r="P1997" s="26"/>
      <c r="Q1997" s="26"/>
      <c r="R1997" s="26"/>
      <c r="S1997" s="26"/>
      <c r="T1997" s="26"/>
      <c r="U1997" s="26"/>
      <c r="V1997" s="26"/>
      <c r="W1997" s="27"/>
    </row>
    <row r="1998" spans="1:23" ht="15.75" customHeight="1" x14ac:dyDescent="0.25">
      <c r="A1998" s="23"/>
      <c r="B1998" s="23" t="str">
        <f t="shared" si="8"/>
        <v/>
      </c>
      <c r="C1998" s="23"/>
      <c r="D1998" s="44"/>
      <c r="E1998" s="23"/>
      <c r="F1998" s="45"/>
      <c r="G1998" s="23"/>
      <c r="H1998" s="23"/>
      <c r="I1998" s="23"/>
      <c r="J1998" s="25"/>
      <c r="K1998" s="23"/>
      <c r="L1998" s="23"/>
      <c r="M1998" s="23"/>
      <c r="N1998" s="26"/>
      <c r="O1998" s="26"/>
      <c r="P1998" s="26"/>
      <c r="Q1998" s="26"/>
      <c r="R1998" s="26"/>
      <c r="S1998" s="26"/>
      <c r="T1998" s="26"/>
      <c r="U1998" s="26"/>
      <c r="V1998" s="26"/>
      <c r="W1998" s="27"/>
    </row>
    <row r="1999" spans="1:23" ht="15.75" customHeight="1" x14ac:dyDescent="0.25">
      <c r="A1999" s="23"/>
      <c r="B1999" s="23" t="str">
        <f t="shared" si="8"/>
        <v/>
      </c>
      <c r="C1999" s="23"/>
      <c r="D1999" s="44"/>
      <c r="E1999" s="23"/>
      <c r="F1999" s="45"/>
      <c r="G1999" s="23"/>
      <c r="H1999" s="23"/>
      <c r="I1999" s="23"/>
      <c r="J1999" s="25"/>
      <c r="K1999" s="23"/>
      <c r="L1999" s="23"/>
      <c r="M1999" s="23"/>
      <c r="N1999" s="26"/>
      <c r="O1999" s="26"/>
      <c r="P1999" s="26"/>
      <c r="Q1999" s="26"/>
      <c r="R1999" s="26"/>
      <c r="S1999" s="26"/>
      <c r="T1999" s="26"/>
      <c r="U1999" s="26"/>
      <c r="V1999" s="26"/>
      <c r="W1999" s="27"/>
    </row>
    <row r="2000" spans="1:23" ht="15.75" customHeight="1" x14ac:dyDescent="0.25">
      <c r="A2000" s="23"/>
      <c r="B2000" s="23" t="str">
        <f t="shared" si="8"/>
        <v/>
      </c>
      <c r="C2000" s="23"/>
      <c r="D2000" s="44"/>
      <c r="E2000" s="23"/>
      <c r="F2000" s="45"/>
      <c r="G2000" s="23"/>
      <c r="H2000" s="23"/>
      <c r="I2000" s="23"/>
      <c r="J2000" s="25"/>
      <c r="K2000" s="23"/>
      <c r="L2000" s="23"/>
      <c r="M2000" s="23"/>
      <c r="N2000" s="26"/>
      <c r="O2000" s="26"/>
      <c r="P2000" s="26"/>
      <c r="Q2000" s="26"/>
      <c r="R2000" s="26"/>
      <c r="S2000" s="26"/>
      <c r="T2000" s="26"/>
      <c r="U2000" s="26"/>
      <c r="V2000" s="26"/>
      <c r="W2000" s="27"/>
    </row>
    <row r="2001" spans="1:23" ht="15.75" customHeight="1" x14ac:dyDescent="0.25">
      <c r="A2001" s="23"/>
      <c r="B2001" s="23" t="str">
        <f t="shared" si="8"/>
        <v/>
      </c>
      <c r="C2001" s="23"/>
      <c r="D2001" s="44"/>
      <c r="E2001" s="23"/>
      <c r="F2001" s="45"/>
      <c r="G2001" s="23"/>
      <c r="H2001" s="23"/>
      <c r="I2001" s="23"/>
      <c r="J2001" s="25"/>
      <c r="K2001" s="23"/>
      <c r="L2001" s="23"/>
      <c r="M2001" s="23"/>
      <c r="N2001" s="26"/>
      <c r="O2001" s="26"/>
      <c r="P2001" s="26"/>
      <c r="Q2001" s="26"/>
      <c r="R2001" s="26"/>
      <c r="S2001" s="26"/>
      <c r="T2001" s="26"/>
      <c r="U2001" s="26"/>
      <c r="V2001" s="26"/>
      <c r="W2001" s="27"/>
    </row>
  </sheetData>
  <mergeCells count="5">
    <mergeCell ref="A13:B15"/>
    <mergeCell ref="C13:W15"/>
    <mergeCell ref="A16:B16"/>
    <mergeCell ref="C16:W16"/>
    <mergeCell ref="K20:W20"/>
  </mergeCells>
  <dataValidations count="1">
    <dataValidation type="list" allowBlank="1" showErrorMessage="1" sqref="J22:J1001" xr:uid="{00000000-0002-0000-0100-000000000000}">
      <formula1>$N$8:$O$8</formula1>
    </dataValidation>
  </dataValidations>
  <pageMargins left="0.7" right="0.7" top="0.75" bottom="0.75" header="0" footer="0"/>
  <pageSetup paperSize="5" scale="35" fitToHeight="0" orientation="landscape" r:id="rId1"/>
  <ignoredErrors>
    <ignoredError sqref="H208:H21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Z1001"/>
  <sheetViews>
    <sheetView showGridLines="0" zoomScale="70" zoomScaleNormal="70" workbookViewId="0">
      <selection activeCell="A13" sqref="A13:B15"/>
    </sheetView>
  </sheetViews>
  <sheetFormatPr baseColWidth="10" defaultColWidth="14.42578125" defaultRowHeight="15" customHeight="1" x14ac:dyDescent="0.25"/>
  <cols>
    <col min="1" max="1" width="24.28515625" customWidth="1"/>
    <col min="2" max="2" width="12.28515625" customWidth="1"/>
    <col min="3" max="3" width="50.28515625" bestFit="1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" customWidth="1"/>
    <col min="9" max="9" width="47.140625" bestFit="1" customWidth="1"/>
    <col min="10" max="10" width="10.7109375" customWidth="1"/>
    <col min="11" max="11" width="13" customWidth="1"/>
    <col min="12" max="12" width="10.7109375" customWidth="1"/>
    <col min="13" max="15" width="11.42578125" customWidth="1"/>
    <col min="16" max="16" width="15.140625" customWidth="1"/>
    <col min="17" max="17" width="11.42578125" customWidth="1"/>
    <col min="18" max="18" width="15.85546875" hidden="1" customWidth="1"/>
    <col min="19" max="19" width="11.42578125" hidden="1" customWidth="1"/>
    <col min="20" max="20" width="15.28515625" hidden="1" customWidth="1"/>
    <col min="21" max="21" width="14.28515625" hidden="1" customWidth="1"/>
    <col min="22" max="22" width="15.5703125" customWidth="1"/>
    <col min="23" max="26" width="10.7109375" customWidth="1"/>
  </cols>
  <sheetData>
    <row r="1" spans="1:26" x14ac:dyDescent="0.25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5" t="str">
        <f>'05.05.03.33.03.005 - PMU'!A7</f>
        <v>AGOSTO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8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82" t="s">
        <v>44</v>
      </c>
      <c r="B11" s="1"/>
      <c r="C11" s="5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3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90" t="s">
        <v>6</v>
      </c>
      <c r="B13" s="91"/>
      <c r="C13" s="96" t="s">
        <v>7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1"/>
      <c r="W13" s="1"/>
      <c r="X13" s="1"/>
      <c r="Y13" s="1"/>
      <c r="Z13" s="1"/>
    </row>
    <row r="14" spans="1:26" ht="12.75" customHeight="1" x14ac:dyDescent="0.25">
      <c r="A14" s="92"/>
      <c r="B14" s="93"/>
      <c r="C14" s="9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3"/>
      <c r="W14" s="1"/>
      <c r="X14" s="1"/>
      <c r="Y14" s="1"/>
      <c r="Z14" s="1"/>
    </row>
    <row r="15" spans="1:26" ht="28.5" customHeight="1" x14ac:dyDescent="0.25">
      <c r="A15" s="94"/>
      <c r="B15" s="95"/>
      <c r="C15" s="94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5"/>
      <c r="W15" s="1"/>
      <c r="X15" s="1"/>
      <c r="Y15" s="1"/>
      <c r="Z15" s="1"/>
    </row>
    <row r="16" spans="1:26" x14ac:dyDescent="0.25">
      <c r="A16" s="100" t="s">
        <v>8</v>
      </c>
      <c r="B16" s="89"/>
      <c r="C16" s="101" t="s">
        <v>9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9"/>
      <c r="W16" s="1"/>
      <c r="X16" s="1"/>
      <c r="Y16" s="1"/>
      <c r="Z16" s="1"/>
    </row>
    <row r="20" spans="1:26" ht="15" customHeight="1" x14ac:dyDescent="0.25">
      <c r="A20" s="84" t="s">
        <v>10</v>
      </c>
      <c r="B20" s="84" t="s">
        <v>11</v>
      </c>
      <c r="C20" s="84" t="s">
        <v>12</v>
      </c>
      <c r="D20" s="84" t="s">
        <v>14</v>
      </c>
      <c r="E20" s="84" t="s">
        <v>15</v>
      </c>
      <c r="F20" s="84" t="s">
        <v>16</v>
      </c>
      <c r="G20" s="84" t="s">
        <v>17</v>
      </c>
      <c r="H20" s="84" t="s">
        <v>18</v>
      </c>
      <c r="I20" s="84" t="s">
        <v>19</v>
      </c>
      <c r="J20" s="87" t="s">
        <v>20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</row>
    <row r="21" spans="1:26" ht="25.5" customHeight="1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12" t="s">
        <v>21</v>
      </c>
      <c r="K21" s="12" t="s">
        <v>22</v>
      </c>
      <c r="L21" s="12" t="s">
        <v>23</v>
      </c>
      <c r="M21" s="12" t="s">
        <v>24</v>
      </c>
      <c r="N21" s="12" t="s">
        <v>25</v>
      </c>
      <c r="O21" s="12" t="s">
        <v>26</v>
      </c>
      <c r="P21" s="12" t="s">
        <v>27</v>
      </c>
      <c r="Q21" s="12" t="s">
        <v>0</v>
      </c>
      <c r="R21" s="12" t="s">
        <v>28</v>
      </c>
      <c r="S21" s="12" t="s">
        <v>29</v>
      </c>
      <c r="T21" s="12" t="s">
        <v>30</v>
      </c>
      <c r="U21" s="12" t="s">
        <v>31</v>
      </c>
      <c r="V21" s="15" t="s">
        <v>32</v>
      </c>
    </row>
    <row r="22" spans="1:26" ht="15.75" customHeight="1" x14ac:dyDescent="0.25">
      <c r="A22" s="16" t="s">
        <v>35</v>
      </c>
      <c r="B22" s="16" t="s">
        <v>36</v>
      </c>
      <c r="C22" s="16" t="s">
        <v>37</v>
      </c>
      <c r="D22" s="16" t="s">
        <v>38</v>
      </c>
      <c r="E22" s="41">
        <v>43462</v>
      </c>
      <c r="F22" s="16">
        <v>5284622061</v>
      </c>
      <c r="G22" s="16" t="s">
        <v>38</v>
      </c>
      <c r="H22" s="16">
        <v>42488206</v>
      </c>
      <c r="I22" s="83" t="s">
        <v>48</v>
      </c>
      <c r="J22" s="16"/>
      <c r="K22" s="16"/>
      <c r="L22" s="16"/>
      <c r="M22" s="19"/>
      <c r="N22" s="19"/>
      <c r="O22" s="19"/>
      <c r="P22" s="21">
        <v>42488206</v>
      </c>
      <c r="Q22" s="19"/>
      <c r="R22" s="19"/>
      <c r="S22" s="19"/>
      <c r="T22" s="19"/>
      <c r="U22" s="19"/>
      <c r="V22" s="21">
        <v>42488206</v>
      </c>
    </row>
    <row r="23" spans="1:26" ht="15.75" customHeight="1" x14ac:dyDescent="0.25">
      <c r="A23" s="16"/>
      <c r="B23" s="16"/>
      <c r="C23" s="16"/>
      <c r="D23" s="16"/>
      <c r="E23" s="41"/>
      <c r="F23" s="16"/>
      <c r="G23" s="16"/>
      <c r="H23" s="16"/>
      <c r="I23" s="16"/>
      <c r="J23" s="16"/>
      <c r="K23" s="16"/>
      <c r="L23" s="16"/>
      <c r="M23" s="19"/>
      <c r="N23" s="19"/>
      <c r="O23" s="19"/>
      <c r="P23" s="19"/>
      <c r="Q23" s="19"/>
      <c r="R23" s="19"/>
      <c r="S23" s="19"/>
      <c r="T23" s="19"/>
      <c r="U23" s="19"/>
      <c r="V23" s="16"/>
    </row>
    <row r="24" spans="1:26" ht="15.75" customHeight="1" x14ac:dyDescent="0.25">
      <c r="A24" s="16"/>
      <c r="B24" s="16"/>
      <c r="C24" s="16"/>
      <c r="D24" s="16"/>
      <c r="E24" s="41"/>
      <c r="F24" s="16"/>
      <c r="G24" s="16"/>
      <c r="H24" s="16"/>
      <c r="I24" s="16"/>
      <c r="J24" s="16"/>
      <c r="K24" s="16"/>
      <c r="L24" s="16"/>
      <c r="M24" s="19"/>
      <c r="N24" s="19"/>
      <c r="O24" s="19"/>
      <c r="P24" s="19"/>
      <c r="Q24" s="19"/>
      <c r="R24" s="19"/>
      <c r="S24" s="19"/>
      <c r="T24" s="19"/>
      <c r="U24" s="19"/>
      <c r="V24" s="16"/>
    </row>
    <row r="25" spans="1:26" ht="23.25" customHeight="1" x14ac:dyDescent="0.25">
      <c r="A25" s="28" t="s">
        <v>33</v>
      </c>
      <c r="B25" s="28" t="str">
        <f t="shared" ref="B25" si="0">MID(X25,17,30)</f>
        <v/>
      </c>
      <c r="C25" s="28"/>
      <c r="D25" s="28"/>
      <c r="E25" s="28"/>
      <c r="F25" s="29"/>
      <c r="G25" s="28"/>
      <c r="H25" s="28">
        <f>SUM(H22:H24)</f>
        <v>42488206</v>
      </c>
      <c r="I25" s="28"/>
      <c r="J25" s="28">
        <f>SUM(J22:J24)</f>
        <v>0</v>
      </c>
      <c r="K25" s="28">
        <f t="shared" ref="K25:V25" si="1">SUM(K22:K24)</f>
        <v>0</v>
      </c>
      <c r="L25" s="28">
        <f t="shared" si="1"/>
        <v>0</v>
      </c>
      <c r="M25" s="28">
        <f t="shared" si="1"/>
        <v>0</v>
      </c>
      <c r="N25" s="28">
        <f t="shared" si="1"/>
        <v>0</v>
      </c>
      <c r="O25" s="28">
        <f t="shared" si="1"/>
        <v>0</v>
      </c>
      <c r="P25" s="28">
        <f t="shared" si="1"/>
        <v>42488206</v>
      </c>
      <c r="Q25" s="28">
        <f t="shared" si="1"/>
        <v>0</v>
      </c>
      <c r="R25" s="28">
        <f t="shared" si="1"/>
        <v>0</v>
      </c>
      <c r="S25" s="28">
        <f t="shared" si="1"/>
        <v>0</v>
      </c>
      <c r="T25" s="28">
        <f t="shared" si="1"/>
        <v>0</v>
      </c>
      <c r="U25" s="28">
        <f t="shared" si="1"/>
        <v>0</v>
      </c>
      <c r="V25" s="28">
        <f t="shared" si="1"/>
        <v>42488206</v>
      </c>
      <c r="Y25" s="32"/>
      <c r="Z25" s="32"/>
    </row>
    <row r="26" spans="1:26" ht="15.75" customHeight="1" x14ac:dyDescent="0.25">
      <c r="B26" s="43" t="s">
        <v>34</v>
      </c>
    </row>
    <row r="27" spans="1:26" ht="15.75" customHeight="1" x14ac:dyDescent="0.25">
      <c r="B27" s="43" t="s">
        <v>39</v>
      </c>
    </row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4">
    <mergeCell ref="I20:I21"/>
    <mergeCell ref="A13:B15"/>
    <mergeCell ref="C13:V15"/>
    <mergeCell ref="A16:B16"/>
    <mergeCell ref="C16:V16"/>
    <mergeCell ref="A20:A21"/>
    <mergeCell ref="B20:B21"/>
    <mergeCell ref="C20:C21"/>
    <mergeCell ref="J20:V20"/>
    <mergeCell ref="D20:D21"/>
    <mergeCell ref="E20:E21"/>
    <mergeCell ref="F20:F21"/>
    <mergeCell ref="G20:G21"/>
    <mergeCell ref="H20:H21"/>
  </mergeCells>
  <dataValidations count="2">
    <dataValidation type="list" allowBlank="1" showErrorMessage="1" sqref="I23:I24" xr:uid="{00000000-0002-0000-0300-000000000000}">
      <formula1>$M$8:$N$8</formula1>
    </dataValidation>
    <dataValidation type="list" allowBlank="1" showErrorMessage="1" sqref="I22" xr:uid="{D98E7BB1-4247-426A-BE1B-7229490285E2}">
      <formula1>$N$8:$O$8</formula1>
    </dataValidation>
  </dataValidations>
  <pageMargins left="0.7" right="0.7" top="0.75" bottom="0.75" header="0" footer="0"/>
  <pageSetup paperSize="5" scale="4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Z1027"/>
  <sheetViews>
    <sheetView showGridLines="0" zoomScale="70" zoomScaleNormal="70" workbookViewId="0">
      <pane ySplit="21" topLeftCell="A22" activePane="bottomLeft" state="frozen"/>
      <selection pane="bottomLeft" activeCell="A13" sqref="A13:B15"/>
    </sheetView>
  </sheetViews>
  <sheetFormatPr baseColWidth="10" defaultColWidth="14.42578125" defaultRowHeight="15" customHeight="1" x14ac:dyDescent="0.25"/>
  <cols>
    <col min="1" max="1" width="28.42578125" customWidth="1"/>
    <col min="2" max="2" width="22.7109375" customWidth="1"/>
    <col min="3" max="3" width="87.7109375" customWidth="1"/>
    <col min="4" max="4" width="20.7109375" customWidth="1"/>
    <col min="5" max="5" width="16.5703125" customWidth="1"/>
    <col min="6" max="6" width="20.85546875" customWidth="1"/>
    <col min="7" max="7" width="18.85546875" customWidth="1"/>
    <col min="8" max="8" width="15.42578125" customWidth="1"/>
    <col min="9" max="9" width="47.140625" bestFit="1" customWidth="1"/>
    <col min="10" max="10" width="25.28515625" customWidth="1"/>
    <col min="11" max="12" width="14.7109375" customWidth="1"/>
    <col min="13" max="13" width="19" customWidth="1"/>
    <col min="14" max="14" width="19.28515625" customWidth="1"/>
    <col min="15" max="15" width="16.7109375" customWidth="1"/>
    <col min="16" max="16" width="16.140625" customWidth="1"/>
    <col min="17" max="17" width="16.7109375" customWidth="1"/>
    <col min="18" max="18" width="14.85546875" hidden="1" customWidth="1"/>
    <col min="19" max="19" width="11.28515625" hidden="1" customWidth="1"/>
    <col min="20" max="20" width="14.28515625" hidden="1" customWidth="1"/>
    <col min="21" max="21" width="13.5703125" hidden="1" customWidth="1"/>
    <col min="22" max="22" width="16.7109375" customWidth="1"/>
    <col min="23" max="24" width="10.7109375" hidden="1" customWidth="1"/>
    <col min="25" max="26" width="10.7109375" customWidth="1"/>
  </cols>
  <sheetData>
    <row r="1" spans="1:26" x14ac:dyDescent="0.25">
      <c r="A1" s="1"/>
      <c r="B1" s="1"/>
      <c r="C1" s="1"/>
      <c r="D1" s="1"/>
      <c r="E1" s="2"/>
      <c r="F1" s="52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53"/>
      <c r="W1" s="1"/>
      <c r="X1" s="1"/>
      <c r="Y1" s="1"/>
      <c r="Z1" s="1"/>
    </row>
    <row r="2" spans="1:26" x14ac:dyDescent="0.25">
      <c r="A2" s="1"/>
      <c r="B2" s="1"/>
      <c r="C2" s="1"/>
      <c r="D2" s="1"/>
      <c r="E2" s="2"/>
      <c r="F2" s="52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3"/>
      <c r="W2" s="1"/>
      <c r="X2" s="1"/>
      <c r="Y2" s="1"/>
      <c r="Z2" s="1"/>
    </row>
    <row r="3" spans="1:26" x14ac:dyDescent="0.25">
      <c r="A3" s="1"/>
      <c r="B3" s="1"/>
      <c r="C3" s="1"/>
      <c r="D3" s="1"/>
      <c r="E3" s="2"/>
      <c r="F3" s="52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3"/>
      <c r="W3" s="1"/>
      <c r="X3" s="1"/>
      <c r="Y3" s="1"/>
      <c r="Z3" s="1"/>
    </row>
    <row r="4" spans="1:26" x14ac:dyDescent="0.25">
      <c r="A4" s="1"/>
      <c r="B4" s="1"/>
      <c r="C4" s="1"/>
      <c r="D4" s="1"/>
      <c r="E4" s="2"/>
      <c r="F4" s="52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53"/>
      <c r="W4" s="1"/>
      <c r="X4" s="1"/>
      <c r="Y4" s="1"/>
      <c r="Z4" s="1"/>
    </row>
    <row r="5" spans="1:26" x14ac:dyDescent="0.25">
      <c r="A5" s="1"/>
      <c r="B5" s="1"/>
      <c r="C5" s="1"/>
      <c r="D5" s="1"/>
      <c r="E5" s="2"/>
      <c r="F5" s="52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3"/>
      <c r="W5" s="1"/>
      <c r="X5" s="1"/>
      <c r="Y5" s="1"/>
      <c r="Z5" s="1"/>
    </row>
    <row r="6" spans="1:26" x14ac:dyDescent="0.25">
      <c r="A6" s="1"/>
      <c r="B6" s="1"/>
      <c r="C6" s="1"/>
      <c r="D6" s="1"/>
      <c r="E6" s="2"/>
      <c r="F6" s="52"/>
      <c r="G6" s="3"/>
      <c r="H6" s="3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53"/>
      <c r="W6" s="1"/>
      <c r="X6" s="1"/>
      <c r="Y6" s="1"/>
      <c r="Z6" s="1"/>
    </row>
    <row r="7" spans="1:26" x14ac:dyDescent="0.25">
      <c r="A7" s="35" t="str">
        <f>'05.05.03.33.03.005 - PMU'!A7</f>
        <v>AGOSTO</v>
      </c>
      <c r="B7" s="1"/>
      <c r="C7" s="1"/>
      <c r="D7" s="1"/>
      <c r="E7" s="2"/>
      <c r="F7" s="52"/>
      <c r="G7" s="3"/>
      <c r="H7" s="3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53"/>
      <c r="W7" s="1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2"/>
      <c r="F8" s="52"/>
      <c r="G8" s="3"/>
      <c r="H8" s="3"/>
      <c r="I8" s="4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53"/>
      <c r="W8" s="1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2"/>
      <c r="F9" s="52"/>
      <c r="G9" s="3"/>
      <c r="H9" s="3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53"/>
      <c r="W9" s="1"/>
      <c r="X9" s="1"/>
      <c r="Y9" s="1"/>
      <c r="Z9" s="1"/>
    </row>
    <row r="10" spans="1:26" x14ac:dyDescent="0.25">
      <c r="A10" s="8" t="s">
        <v>5</v>
      </c>
      <c r="B10" s="1"/>
      <c r="C10" s="5"/>
      <c r="D10" s="1"/>
      <c r="E10" s="2"/>
      <c r="F10" s="52"/>
      <c r="G10" s="3"/>
      <c r="H10" s="3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53"/>
      <c r="W10" s="1"/>
      <c r="X10" s="1"/>
      <c r="Y10" s="1"/>
      <c r="Z10" s="1"/>
    </row>
    <row r="11" spans="1:26" x14ac:dyDescent="0.25">
      <c r="A11" s="82" t="s">
        <v>45</v>
      </c>
      <c r="B11" s="1"/>
      <c r="C11" s="5"/>
      <c r="D11" s="1"/>
      <c r="E11" s="2"/>
      <c r="F11" s="52"/>
      <c r="G11" s="3"/>
      <c r="H11" s="3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3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2"/>
      <c r="F12" s="52"/>
      <c r="G12" s="3"/>
      <c r="H12" s="3"/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53"/>
      <c r="W12" s="1"/>
      <c r="X12" s="1"/>
      <c r="Y12" s="1"/>
      <c r="Z12" s="1"/>
    </row>
    <row r="13" spans="1:26" ht="12.75" customHeight="1" x14ac:dyDescent="0.25">
      <c r="A13" s="90" t="s">
        <v>6</v>
      </c>
      <c r="B13" s="91"/>
      <c r="C13" s="96" t="s">
        <v>7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1"/>
      <c r="W13" s="1"/>
      <c r="X13" s="1"/>
      <c r="Y13" s="1"/>
      <c r="Z13" s="1"/>
    </row>
    <row r="14" spans="1:26" ht="12.75" customHeight="1" x14ac:dyDescent="0.25">
      <c r="A14" s="92"/>
      <c r="B14" s="93"/>
      <c r="C14" s="9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3"/>
      <c r="W14" s="1"/>
      <c r="X14" s="1"/>
      <c r="Y14" s="1"/>
      <c r="Z14" s="1"/>
    </row>
    <row r="15" spans="1:26" ht="28.5" customHeight="1" x14ac:dyDescent="0.25">
      <c r="A15" s="94"/>
      <c r="B15" s="95"/>
      <c r="C15" s="94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5"/>
      <c r="W15" s="1"/>
      <c r="X15" s="1"/>
      <c r="Y15" s="1"/>
      <c r="Z15" s="1"/>
    </row>
    <row r="16" spans="1:26" x14ac:dyDescent="0.25">
      <c r="A16" s="100" t="s">
        <v>8</v>
      </c>
      <c r="B16" s="89"/>
      <c r="C16" s="101" t="s">
        <v>9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9"/>
      <c r="W16" s="1"/>
      <c r="X16" s="1"/>
      <c r="Y16" s="1"/>
      <c r="Z16" s="1"/>
    </row>
    <row r="17" spans="1:24" x14ac:dyDescent="0.25">
      <c r="E17" s="54"/>
      <c r="F17" s="55"/>
      <c r="I17" s="10"/>
      <c r="V17" s="56"/>
    </row>
    <row r="18" spans="1:24" x14ac:dyDescent="0.25">
      <c r="E18" s="54"/>
      <c r="F18" s="55"/>
      <c r="I18" s="10"/>
      <c r="V18" s="56"/>
    </row>
    <row r="19" spans="1:24" x14ac:dyDescent="0.25">
      <c r="E19" s="54"/>
      <c r="F19" s="55"/>
      <c r="I19" s="10"/>
      <c r="V19" s="56"/>
    </row>
    <row r="20" spans="1:24" ht="15" customHeight="1" x14ac:dyDescent="0.25">
      <c r="A20" s="84" t="s">
        <v>10</v>
      </c>
      <c r="B20" s="84" t="s">
        <v>11</v>
      </c>
      <c r="C20" s="84" t="s">
        <v>12</v>
      </c>
      <c r="D20" s="84" t="s">
        <v>14</v>
      </c>
      <c r="E20" s="103" t="s">
        <v>15</v>
      </c>
      <c r="F20" s="104" t="s">
        <v>16</v>
      </c>
      <c r="G20" s="84" t="s">
        <v>17</v>
      </c>
      <c r="H20" s="84" t="s">
        <v>18</v>
      </c>
      <c r="I20" s="86" t="s">
        <v>19</v>
      </c>
      <c r="J20" s="87" t="s">
        <v>20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</row>
    <row r="21" spans="1:24" ht="25.5" customHeight="1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12" t="s">
        <v>21</v>
      </c>
      <c r="K21" s="12" t="s">
        <v>22</v>
      </c>
      <c r="L21" s="12" t="s">
        <v>23</v>
      </c>
      <c r="M21" s="12" t="s">
        <v>24</v>
      </c>
      <c r="N21" s="12" t="s">
        <v>25</v>
      </c>
      <c r="O21" s="12" t="s">
        <v>26</v>
      </c>
      <c r="P21" s="12" t="s">
        <v>27</v>
      </c>
      <c r="Q21" s="12" t="s">
        <v>0</v>
      </c>
      <c r="R21" s="12" t="s">
        <v>28</v>
      </c>
      <c r="S21" s="12" t="s">
        <v>29</v>
      </c>
      <c r="T21" s="12" t="s">
        <v>30</v>
      </c>
      <c r="U21" s="12" t="s">
        <v>31</v>
      </c>
      <c r="V21" s="57" t="s">
        <v>32</v>
      </c>
    </row>
    <row r="22" spans="1:24" ht="15.75" customHeight="1" x14ac:dyDescent="0.25">
      <c r="A22" s="16" t="str">
        <f ca="1">IFERROR(__xludf.DUMMYFUNCTION("IMPORTRANGE(""https://docs.google.com/spreadsheets/d/1326rdUM6oOTA_5T6U_eA-Yqy4OMk6d_RGd_Z1bKVaC8/edit#gid=1459860096"",""'33.03.111 PRBIPE'!g10:g1000"")")," REGIÓN DE ARICA Y PARINACOTA ")</f>
        <v xml:space="preserve"> REGIÓN DE ARICA Y PARINACOTA </v>
      </c>
      <c r="B22" s="16" t="str">
        <f t="shared" ref="B22:B82" ca="1" si="0">MID(X22,17,30)</f>
        <v xml:space="preserve"> ARICA</v>
      </c>
      <c r="C22" s="16" t="str">
        <f ca="1">IFERROR(__xludf.DUMMYFUNCTION("IMPORTRANGE(""https://docs.google.com/spreadsheets/d/1326rdUM6oOTA_5T6U_eA-Yqy4OMk6d_RGd_Z1bKVaC8/edit#gid=1459860096"",""'33.03.111 PRBIPE'!i10:i1000"")")," MEJORAMIENTO PASEO PEATONAL YUNGAY ")</f>
        <v xml:space="preserve"> MEJORAMIENTO PASEO PEATONAL YUNGAY </v>
      </c>
      <c r="D22" s="40" t="str">
        <f ca="1">IFERROR(__xludf.DUMMYFUNCTION("IMPORTRANGE(""https://docs.google.com/spreadsheets/d/1326rdUM6oOTA_5T6U_eA-Yqy4OMk6d_RGd_Z1bKVaC8/edit#gid=1459860096"",""'33.03.111 PRBIPE'!n10:n1000"")"),"En Ejecución")</f>
        <v>En Ejecución</v>
      </c>
      <c r="E22" s="17">
        <f ca="1">IFERROR(__xludf.DUMMYFUNCTION("IMPORTRANGE(""https://docs.google.com/spreadsheets/d/1326rdUM6oOTA_5T6U_eA-Yqy4OMk6d_RGd_Z1bKVaC8/edit#gid=1459860096"",""'33.03.111 PRBIPE'!m10:m1000"")"),43903)</f>
        <v>43903</v>
      </c>
      <c r="F22" s="21">
        <f ca="1">IFERROR(__xludf.DUMMYFUNCTION("IMPORTRANGE(""https://docs.google.com/spreadsheets/d/1326rdUM6oOTA_5T6U_eA-Yqy4OMk6d_RGd_Z1bKVaC8/edit#gid=1459860096"",""'33.03.111 PRBIPE'!P10:P1000"")"),234548913)</f>
        <v>234548913</v>
      </c>
      <c r="G22" s="16" t="str">
        <f ca="1">IFERROR(__xludf.DUMMYFUNCTION("IMPORTRANGE(""https://docs.google.com/spreadsheets/d/1326rdUM6oOTA_5T6U_eA-Yqy4OMk6d_RGd_Z1bKVaC8/edit#gid=1459860096"",""'33.03.111 PRBIPE'!n10:n1000"")")," En Ejecución ")</f>
        <v xml:space="preserve"> En Ejecución </v>
      </c>
      <c r="H22" s="16">
        <f ca="1">IFERROR(__xludf.DUMMYFUNCTION("IMPORTRANGE(""https://docs.google.com/spreadsheets/d/1326rdUM6oOTA_5T6U_eA-Yqy4OMk6d_RGd_Z1bKVaC8/edit#gid=1459860096"",""'33.03.111 PRBIPE'!AD10:AD1000"")"),0)</f>
        <v>0</v>
      </c>
      <c r="I22" s="83" t="s">
        <v>48</v>
      </c>
      <c r="J22" s="22" t="str">
        <f ca="1">IFERROR(__xludf.DUMMYFUNCTION("IMPORTRANGE(""https://docs.google.com/spreadsheets/d/1326rdUM6oOTA_5T6U_eA-Yqy4OMk6d_RGd_Z1bKVaC8/edit#gid=1459860096"",""'33.03.111 PRBIPE'!R10:R1000"")"),"")</f>
        <v/>
      </c>
      <c r="K22" s="16" t="str">
        <f ca="1">IFERROR(__xludf.DUMMYFUNCTION("IMPORTRANGE(""https://docs.google.com/spreadsheets/d/1326rdUM6oOTA_5T6U_eA-Yqy4OMk6d_RGd_Z1bKVaC8/edit#gid=1459860096"",""'33.03.111 PRBIPE'!S10:S1000"")"),"")</f>
        <v/>
      </c>
      <c r="L22" s="16" t="str">
        <f ca="1">IFERROR(__xludf.DUMMYFUNCTION("IMPORTRANGE(""https://docs.google.com/spreadsheets/d/1326rdUM6oOTA_5T6U_eA-Yqy4OMk6d_RGd_Z1bKVaC8/edit#gid=1459860096"",""'33.03.111 PRBIPE'!T10:T1000"")"),"")</f>
        <v/>
      </c>
      <c r="M22" s="58" t="str">
        <f ca="1">IFERROR(__xludf.DUMMYFUNCTION("IMPORTRANGE(""https://docs.google.com/spreadsheets/d/1326rdUM6oOTA_5T6U_eA-Yqy4OMk6d_RGd_Z1bKVaC8/edit#gid=1459860096"",""'33.03.111 PRBIPE'!u10:u1000"")"),"")</f>
        <v/>
      </c>
      <c r="N22" s="19" t="str">
        <f ca="1">IFERROR(__xludf.DUMMYFUNCTION("IMPORTRANGE(""https://docs.google.com/spreadsheets/d/1326rdUM6oOTA_5T6U_eA-Yqy4OMk6d_RGd_Z1bKVaC8/edit#gid=1459860096"",""'33.03.111 PRBIPE'!v10:v1000"")"),"")</f>
        <v/>
      </c>
      <c r="O22" s="19" t="str">
        <f ca="1">IFERROR(__xludf.DUMMYFUNCTION("IMPORTRANGE(""https://docs.google.com/spreadsheets/d/1326rdUM6oOTA_5T6U_eA-Yqy4OMk6d_RGd_Z1bKVaC8/edit#gid=1459860096"",""'33.03.111 PRBIPE'!w10:w1000"")"),"")</f>
        <v/>
      </c>
      <c r="P22" s="19" t="str">
        <f ca="1">IFERROR(__xludf.DUMMYFUNCTION("IMPORTRANGE(""https://docs.google.com/spreadsheets/d/1326rdUM6oOTA_5T6U_eA-Yqy4OMk6d_RGd_Z1bKVaC8/edit#gid=1459860096"",""'33.03.111 PRBIPE'!x10:x1000"")"),"")</f>
        <v/>
      </c>
      <c r="Q22" s="19" t="str">
        <f ca="1">IFERROR(__xludf.DUMMYFUNCTION("IMPORTRANGE(""https://docs.google.com/spreadsheets/d/1326rdUM6oOTA_5T6U_eA-Yqy4OMk6d_RGd_Z1bKVaC8/edit#gid=1459860096"",""'33.03.111 PRBIPE'!y10:y1000"")"),"")</f>
        <v/>
      </c>
      <c r="R22" s="19" t="str">
        <f ca="1">IFERROR(__xludf.DUMMYFUNCTION("IMPORTRANGE(""https://docs.google.com/spreadsheets/d/1326rdUM6oOTA_5T6U_eA-Yqy4OMk6d_RGd_Z1bKVaC8/edit#gid=1459860096"",""'33.03.111 PRBIPE'!z10:z1000"")"),"")</f>
        <v/>
      </c>
      <c r="S22" s="19" t="str">
        <f ca="1">IFERROR(__xludf.DUMMYFUNCTION("IMPORTRANGE(""https://docs.google.com/spreadsheets/d/1326rdUM6oOTA_5T6U_eA-Yqy4OMk6d_RGd_Z1bKVaC8/edit#gid=1459860096"",""'33.03.111 PRBIPE'!aa10:aa1000"")"),"")</f>
        <v/>
      </c>
      <c r="T22" s="19" t="str">
        <f ca="1">IFERROR(__xludf.DUMMYFUNCTION("IMPORTRANGE(""https://docs.google.com/spreadsheets/d/1326rdUM6oOTA_5T6U_eA-Yqy4OMk6d_RGd_Z1bKVaC8/edit#gid=1459860096"",""'33.03.111 PRBIPE'!ab10:ab1000"")"),"")</f>
        <v/>
      </c>
      <c r="U22" s="19" t="str">
        <f ca="1">IFERROR(__xludf.DUMMYFUNCTION("IMPORTRANGE(""https://docs.google.com/spreadsheets/d/1326rdUM6oOTA_5T6U_eA-Yqy4OMk6d_RGd_Z1bKVaC8/edit#gid=1459860096"",""'33.03.111 PRBIPE'!ac10:ac1000"")"),"")</f>
        <v/>
      </c>
      <c r="V22" s="59">
        <f ca="1">IFERROR(__xludf.DUMMYFUNCTION("IMPORTRANGE(""https://docs.google.com/spreadsheets/d/1326rdUM6oOTA_5T6U_eA-Yqy4OMk6d_RGd_Z1bKVaC8/edit#gid=1459860096"",""'33.03.111 PRBIPE'!AD10:AD1000"")"),0)</f>
        <v>0</v>
      </c>
      <c r="W22" s="20"/>
      <c r="X22" s="43" t="str">
        <f ca="1">IFERROR(__xludf.DUMMYFUNCTION("IMPORTRANGE(""https://docs.google.com/spreadsheets/d/1326rdUM6oOTA_5T6U_eA-Yqy4OMk6d_RGd_Z1bKVaC8/edit#gid=1459860096"",""'33.03.111 PRBIPE'!f10:f1000"")"),"MUNICIPALIDAD DE ARICA")</f>
        <v>MUNICIPALIDAD DE ARICA</v>
      </c>
    </row>
    <row r="23" spans="1:24" ht="15.75" customHeight="1" x14ac:dyDescent="0.25">
      <c r="A23" s="16" t="str">
        <f ca="1">IFERROR(__xludf.DUMMYFUNCTION("""COMPUTED_VALUE""")," REGIÓN DE ARICA Y PARINACOTA ")</f>
        <v xml:space="preserve"> REGIÓN DE ARICA Y PARINACOTA </v>
      </c>
      <c r="B23" s="16" t="str">
        <f t="shared" ca="1" si="0"/>
        <v xml:space="preserve"> ARICA</v>
      </c>
      <c r="C23" s="16" t="str">
        <f ca="1">IFERROR(__xludf.DUMMYFUNCTION("""COMPUTED_VALUE""")," FORTALECIMIENTO MUNICIPAL PROGRAMA DE REVITALIZACIÓN DE BARRIOS E INFRAESTRUCTURA PATRIMONIAL EMBLEMÁTICA ARICA 2024 ")</f>
        <v xml:space="preserve"> FORTALECIMIENTO MUNICIPAL PROGRAMA DE REVITALIZACIÓN DE BARRIOS E INFRAESTRUCTURA PATRIMONIAL EMBLEMÁTICA ARICA 2024 </v>
      </c>
      <c r="D23" s="40" t="str">
        <f ca="1">IFERROR(__xludf.DUMMYFUNCTION("""COMPUTED_VALUE"""),"En Ejecución")</f>
        <v>En Ejecución</v>
      </c>
      <c r="E23" s="17">
        <f ca="1">IFERROR(__xludf.DUMMYFUNCTION("""COMPUTED_VALUE"""),45282)</f>
        <v>45282</v>
      </c>
      <c r="F23" s="21">
        <f ca="1">IFERROR(__xludf.DUMMYFUNCTION("""COMPUTED_VALUE"""),89217852)</f>
        <v>89217852</v>
      </c>
      <c r="G23" s="16" t="str">
        <f ca="1">IFERROR(__xludf.DUMMYFUNCTION("""COMPUTED_VALUE""")," En Ejecución ")</f>
        <v xml:space="preserve"> En Ejecución </v>
      </c>
      <c r="H23" s="16">
        <f ca="1">IFERROR(__xludf.DUMMYFUNCTION("""COMPUTED_VALUE"""),0)</f>
        <v>0</v>
      </c>
      <c r="I23" s="83" t="s">
        <v>48</v>
      </c>
      <c r="J23" s="22"/>
      <c r="K23" s="16"/>
      <c r="L23" s="16"/>
      <c r="M23" s="16"/>
      <c r="N23" s="19"/>
      <c r="O23" s="19"/>
      <c r="P23" s="19"/>
      <c r="Q23" s="19"/>
      <c r="R23" s="19"/>
      <c r="S23" s="19"/>
      <c r="T23" s="19"/>
      <c r="U23" s="19"/>
      <c r="V23" s="59">
        <f ca="1">IFERROR(__xludf.DUMMYFUNCTION("""COMPUTED_VALUE"""),0)</f>
        <v>0</v>
      </c>
      <c r="W23" s="20"/>
      <c r="X23" s="43" t="str">
        <f ca="1">IFERROR(__xludf.DUMMYFUNCTION("""COMPUTED_VALUE"""),"MUNICIPALIDAD DE ARICA")</f>
        <v>MUNICIPALIDAD DE ARICA</v>
      </c>
    </row>
    <row r="24" spans="1:24" ht="15.75" customHeight="1" x14ac:dyDescent="0.25">
      <c r="A24" s="16" t="str">
        <f ca="1">IFERROR(__xludf.DUMMYFUNCTION("""COMPUTED_VALUE""")," REGIÓN DE VALPARAÍSO ")</f>
        <v xml:space="preserve"> REGIÓN DE VALPARAÍSO </v>
      </c>
      <c r="B24" s="16" t="str">
        <f t="shared" ca="1" si="0"/>
        <v xml:space="preserve"> CARTAGENA</v>
      </c>
      <c r="C24" s="16" t="str">
        <f ca="1">IFERROR(__xludf.DUMMYFUNCTION("""COMPUTED_VALUE""")," DISEÑO REMODELACION EDIFICIO DAEM ADQUIRIDO POR PROGRAMA ")</f>
        <v xml:space="preserve"> DISEÑO REMODELACION EDIFICIO DAEM ADQUIRIDO POR PROGRAMA </v>
      </c>
      <c r="D24" s="40" t="str">
        <f ca="1">IFERROR(__xludf.DUMMYFUNCTION("""COMPUTED_VALUE"""),"En Ejecución")</f>
        <v>En Ejecución</v>
      </c>
      <c r="E24" s="17">
        <f ca="1">IFERROR(__xludf.DUMMYFUNCTION("""COMPUTED_VALUE"""),44063)</f>
        <v>44063</v>
      </c>
      <c r="F24" s="21">
        <f ca="1">IFERROR(__xludf.DUMMYFUNCTION("""COMPUTED_VALUE"""),56000000)</f>
        <v>56000000</v>
      </c>
      <c r="G24" s="16" t="str">
        <f ca="1">IFERROR(__xludf.DUMMYFUNCTION("""COMPUTED_VALUE""")," En Ejecución ")</f>
        <v xml:space="preserve"> En Ejecución </v>
      </c>
      <c r="H24" s="16">
        <f ca="1">IFERROR(__xludf.DUMMYFUNCTION("""COMPUTED_VALUE"""),0)</f>
        <v>0</v>
      </c>
      <c r="I24" s="83" t="s">
        <v>48</v>
      </c>
      <c r="J24" s="22"/>
      <c r="K24" s="16"/>
      <c r="L24" s="16"/>
      <c r="M24" s="16"/>
      <c r="N24" s="19"/>
      <c r="O24" s="19"/>
      <c r="P24" s="19"/>
      <c r="Q24" s="19"/>
      <c r="R24" s="19"/>
      <c r="S24" s="19"/>
      <c r="T24" s="19"/>
      <c r="U24" s="19"/>
      <c r="V24" s="59">
        <f ca="1">IFERROR(__xludf.DUMMYFUNCTION("""COMPUTED_VALUE"""),0)</f>
        <v>0</v>
      </c>
      <c r="W24" s="20"/>
      <c r="X24" s="43" t="str">
        <f ca="1">IFERROR(__xludf.DUMMYFUNCTION("""COMPUTED_VALUE"""),"MUNICIPALIDAD DE CARTAGENA")</f>
        <v>MUNICIPALIDAD DE CARTAGENA</v>
      </c>
    </row>
    <row r="25" spans="1:24" ht="15.75" customHeight="1" x14ac:dyDescent="0.25">
      <c r="A25" s="16" t="str">
        <f ca="1">IFERROR(__xludf.DUMMYFUNCTION("""COMPUTED_VALUE""")," REGIÓN DE VALPARAÍSO ")</f>
        <v xml:space="preserve"> REGIÓN DE VALPARAÍSO </v>
      </c>
      <c r="B25" s="16" t="str">
        <f t="shared" ca="1" si="0"/>
        <v xml:space="preserve"> CARTAGENA</v>
      </c>
      <c r="C25" s="16" t="str">
        <f ca="1">IFERROR(__xludf.DUMMYFUNCTION("""COMPUTED_VALUE""")," DISEÑO PARA HABILITACIÓN DE LA CASA DE OFICIOS ")</f>
        <v xml:space="preserve"> DISEÑO PARA HABILITACIÓN DE LA CASA DE OFICIOS </v>
      </c>
      <c r="D25" s="40" t="str">
        <f ca="1">IFERROR(__xludf.DUMMYFUNCTION("""COMPUTED_VALUE"""),"En Ejecución")</f>
        <v>En Ejecución</v>
      </c>
      <c r="E25" s="17">
        <f ca="1">IFERROR(__xludf.DUMMYFUNCTION("""COMPUTED_VALUE"""),43916)</f>
        <v>43916</v>
      </c>
      <c r="F25" s="21">
        <f ca="1">IFERROR(__xludf.DUMMYFUNCTION("""COMPUTED_VALUE"""),90000000)</f>
        <v>90000000</v>
      </c>
      <c r="G25" s="16" t="str">
        <f ca="1">IFERROR(__xludf.DUMMYFUNCTION("""COMPUTED_VALUE""")," En Ejecución ")</f>
        <v xml:space="preserve"> En Ejecución </v>
      </c>
      <c r="H25" s="16">
        <f ca="1">IFERROR(__xludf.DUMMYFUNCTION("""COMPUTED_VALUE"""),0)</f>
        <v>0</v>
      </c>
      <c r="I25" s="83" t="s">
        <v>48</v>
      </c>
      <c r="J25" s="22"/>
      <c r="K25" s="16"/>
      <c r="L25" s="16"/>
      <c r="M25" s="16"/>
      <c r="N25" s="19"/>
      <c r="O25" s="19"/>
      <c r="P25" s="19"/>
      <c r="Q25" s="19"/>
      <c r="R25" s="19"/>
      <c r="S25" s="19"/>
      <c r="T25" s="19"/>
      <c r="U25" s="19"/>
      <c r="V25" s="59">
        <f ca="1">IFERROR(__xludf.DUMMYFUNCTION("""COMPUTED_VALUE"""),0)</f>
        <v>0</v>
      </c>
      <c r="W25" s="20"/>
      <c r="X25" s="43" t="str">
        <f ca="1">IFERROR(__xludf.DUMMYFUNCTION("""COMPUTED_VALUE"""),"MUNICIPALIDAD DE CARTAGENA")</f>
        <v>MUNICIPALIDAD DE CARTAGENA</v>
      </c>
    </row>
    <row r="26" spans="1:24" ht="15.75" customHeight="1" x14ac:dyDescent="0.25">
      <c r="A26" s="16" t="str">
        <f ca="1">IFERROR(__xludf.DUMMYFUNCTION("""COMPUTED_VALUE""")," REGIÓN DE VALPARAÍSO ")</f>
        <v xml:space="preserve"> REGIÓN DE VALPARAÍSO </v>
      </c>
      <c r="B26" s="16" t="str">
        <f t="shared" ca="1" si="0"/>
        <v xml:space="preserve"> CARTAGENA</v>
      </c>
      <c r="C26" s="16" t="str">
        <f ca="1">IFERROR(__xludf.DUMMYFUNCTION("""COMPUTED_VALUE""")," SERVICIOS PROFESIONALES PARA DISEÑO DE PROYECTOS EN EL BARRIO HISTÓRICO Y CULTURAL DE CARTAGENA ")</f>
        <v xml:space="preserve"> SERVICIOS PROFESIONALES PARA DISEÑO DE PROYECTOS EN EL BARRIO HISTÓRICO Y CULTURAL DE CARTAGENA </v>
      </c>
      <c r="D26" s="40" t="str">
        <f ca="1">IFERROR(__xludf.DUMMYFUNCTION("""COMPUTED_VALUE"""),"En Ejecución")</f>
        <v>En Ejecución</v>
      </c>
      <c r="E26" s="17">
        <f ca="1">IFERROR(__xludf.DUMMYFUNCTION("""COMPUTED_VALUE"""),45282)</f>
        <v>45282</v>
      </c>
      <c r="F26" s="21">
        <f ca="1">IFERROR(__xludf.DUMMYFUNCTION("""COMPUTED_VALUE"""),83510604)</f>
        <v>83510604</v>
      </c>
      <c r="G26" s="16" t="str">
        <f ca="1">IFERROR(__xludf.DUMMYFUNCTION("""COMPUTED_VALUE""")," En Ejecución ")</f>
        <v xml:space="preserve"> En Ejecución </v>
      </c>
      <c r="H26" s="16">
        <f ca="1">IFERROR(__xludf.DUMMYFUNCTION("""COMPUTED_VALUE"""),0)</f>
        <v>0</v>
      </c>
      <c r="I26" s="83" t="s">
        <v>48</v>
      </c>
      <c r="J26" s="22"/>
      <c r="K26" s="16"/>
      <c r="L26" s="16"/>
      <c r="M26" s="16"/>
      <c r="N26" s="19"/>
      <c r="O26" s="19"/>
      <c r="P26" s="19"/>
      <c r="Q26" s="19"/>
      <c r="R26" s="19"/>
      <c r="S26" s="19"/>
      <c r="T26" s="19"/>
      <c r="U26" s="19"/>
      <c r="V26" s="59">
        <f ca="1">IFERROR(__xludf.DUMMYFUNCTION("""COMPUTED_VALUE"""),0)</f>
        <v>0</v>
      </c>
      <c r="W26" s="20"/>
      <c r="X26" s="43" t="str">
        <f ca="1">IFERROR(__xludf.DUMMYFUNCTION("""COMPUTED_VALUE"""),"MUNICIPALIDAD DE CARTAGENA")</f>
        <v>MUNICIPALIDAD DE CARTAGENA</v>
      </c>
    </row>
    <row r="27" spans="1:24" ht="15.75" customHeight="1" x14ac:dyDescent="0.25">
      <c r="A27" s="16" t="str">
        <f ca="1">IFERROR(__xludf.DUMMYFUNCTION("""COMPUTED_VALUE""")," REGIÓN DE VALPARAÍSO ")</f>
        <v xml:space="preserve"> REGIÓN DE VALPARAÍSO </v>
      </c>
      <c r="B27" s="16" t="str">
        <f t="shared" ca="1" si="0"/>
        <v xml:space="preserve"> CARTAGENA</v>
      </c>
      <c r="C27" s="16" t="str">
        <f ca="1">IFERROR(__xludf.DUMMYFUNCTION("""COMPUTED_VALUE""")," MEJORAMIENTO ESCALERA LOS SUSPIROS ")</f>
        <v xml:space="preserve"> MEJORAMIENTO ESCALERA LOS SUSPIROS </v>
      </c>
      <c r="D27" s="40" t="str">
        <f ca="1">IFERROR(__xludf.DUMMYFUNCTION("""COMPUTED_VALUE"""),"100% Girado")</f>
        <v>100% Girado</v>
      </c>
      <c r="E27" s="17">
        <f ca="1">IFERROR(__xludf.DUMMYFUNCTION("""COMPUTED_VALUE"""),45358)</f>
        <v>45358</v>
      </c>
      <c r="F27" s="21">
        <f ca="1">IFERROR(__xludf.DUMMYFUNCTION("""COMPUTED_VALUE"""),100515887)</f>
        <v>100515887</v>
      </c>
      <c r="G27" s="16" t="str">
        <f ca="1">IFERROR(__xludf.DUMMYFUNCTION("""COMPUTED_VALUE""")," 100% Girado ")</f>
        <v xml:space="preserve"> 100% Girado </v>
      </c>
      <c r="H27" s="16">
        <f ca="1">IFERROR(__xludf.DUMMYFUNCTION("""COMPUTED_VALUE"""),100515887)</f>
        <v>100515887</v>
      </c>
      <c r="I27" s="83" t="s">
        <v>48</v>
      </c>
      <c r="J27" s="22"/>
      <c r="K27" s="16"/>
      <c r="L27" s="16">
        <f ca="1">IFERROR(__xludf.DUMMYFUNCTION("""COMPUTED_VALUE"""),100515887)</f>
        <v>100515887</v>
      </c>
      <c r="M27" s="16"/>
      <c r="N27" s="19"/>
      <c r="O27" s="19"/>
      <c r="P27" s="19"/>
      <c r="Q27" s="19"/>
      <c r="R27" s="19"/>
      <c r="S27" s="19"/>
      <c r="T27" s="19"/>
      <c r="U27" s="19"/>
      <c r="V27" s="59">
        <f ca="1">IFERROR(__xludf.DUMMYFUNCTION("""COMPUTED_VALUE"""),100515887)</f>
        <v>100515887</v>
      </c>
      <c r="W27" s="20"/>
      <c r="X27" s="43" t="str">
        <f ca="1">IFERROR(__xludf.DUMMYFUNCTION("""COMPUTED_VALUE"""),"MUNICIPALIDAD DE CARTAGENA")</f>
        <v>MUNICIPALIDAD DE CARTAGENA</v>
      </c>
    </row>
    <row r="28" spans="1:24" ht="15.75" customHeight="1" x14ac:dyDescent="0.25">
      <c r="A28" s="16" t="str">
        <f ca="1">IFERROR(__xludf.DUMMYFUNCTION("""COMPUTED_VALUE""")," REGIÓN DE LOS LAGOS ")</f>
        <v xml:space="preserve"> REGIÓN DE LOS LAGOS </v>
      </c>
      <c r="B28" s="16" t="str">
        <f t="shared" ca="1" si="0"/>
        <v xml:space="preserve"> CASTRO</v>
      </c>
      <c r="C28" s="16" t="str">
        <f ca="1">IFERROR(__xludf.DUMMYFUNCTION("""COMPUTED_VALUE""")," FORTALECIMIENTO MUNICIPAL REVIVE CASTRO 2024 ")</f>
        <v xml:space="preserve"> FORTALECIMIENTO MUNICIPAL REVIVE CASTRO 2024 </v>
      </c>
      <c r="D28" s="40" t="str">
        <f ca="1">IFERROR(__xludf.DUMMYFUNCTION("""COMPUTED_VALUE"""),"En Ejecución")</f>
        <v>En Ejecución</v>
      </c>
      <c r="E28" s="17">
        <f ca="1">IFERROR(__xludf.DUMMYFUNCTION("""COMPUTED_VALUE"""),45282)</f>
        <v>45282</v>
      </c>
      <c r="F28" s="21">
        <f ca="1">IFERROR(__xludf.DUMMYFUNCTION("""COMPUTED_VALUE"""),114000000)</f>
        <v>114000000</v>
      </c>
      <c r="G28" s="16" t="str">
        <f ca="1">IFERROR(__xludf.DUMMYFUNCTION("""COMPUTED_VALUE""")," En Ejecución ")</f>
        <v xml:space="preserve"> En Ejecución </v>
      </c>
      <c r="H28" s="16">
        <f ca="1">IFERROR(__xludf.DUMMYFUNCTION("""COMPUTED_VALUE"""),0)</f>
        <v>0</v>
      </c>
      <c r="I28" s="83" t="s">
        <v>48</v>
      </c>
      <c r="J28" s="22"/>
      <c r="K28" s="16"/>
      <c r="L28" s="16"/>
      <c r="M28" s="16"/>
      <c r="N28" s="19"/>
      <c r="O28" s="19"/>
      <c r="P28" s="19"/>
      <c r="Q28" s="19"/>
      <c r="R28" s="19"/>
      <c r="S28" s="19"/>
      <c r="T28" s="19"/>
      <c r="U28" s="19"/>
      <c r="V28" s="59">
        <f ca="1">IFERROR(__xludf.DUMMYFUNCTION("""COMPUTED_VALUE"""),0)</f>
        <v>0</v>
      </c>
      <c r="W28" s="20"/>
      <c r="X28" s="43" t="str">
        <f ca="1">IFERROR(__xludf.DUMMYFUNCTION("""COMPUTED_VALUE"""),"MUNICIPALIDAD DE CASTRO")</f>
        <v>MUNICIPALIDAD DE CASTRO</v>
      </c>
    </row>
    <row r="29" spans="1:24" ht="15.75" customHeight="1" x14ac:dyDescent="0.25">
      <c r="A29" s="16" t="str">
        <f ca="1">IFERROR(__xludf.DUMMYFUNCTION("""COMPUTED_VALUE""")," REGIÓN DE LOS LAGOS ")</f>
        <v xml:space="preserve"> REGIÓN DE LOS LAGOS </v>
      </c>
      <c r="B29" s="16" t="str">
        <f t="shared" ca="1" si="0"/>
        <v xml:space="preserve"> CASTRO</v>
      </c>
      <c r="C29" s="16" t="str">
        <f ca="1">IFERROR(__xludf.DUMMYFUNCTION("""COMPUTED_VALUE""")," PROYECTOS DE INGENIERÍA Y ESPECIALIDADES PARA OBRA DE CONFIANZA: BAÑOS SUBTERRÁNEOS EN EXPLANADA DE CALLE LILLO ")</f>
        <v xml:space="preserve"> PROYECTOS DE INGENIERÍA Y ESPECIALIDADES PARA OBRA DE CONFIANZA: BAÑOS SUBTERRÁNEOS EN EXPLANADA DE CALLE LILLO </v>
      </c>
      <c r="D29" s="40" t="str">
        <f ca="1">IFERROR(__xludf.DUMMYFUNCTION("""COMPUTED_VALUE"""),"100% Girado")</f>
        <v>100% Girado</v>
      </c>
      <c r="E29" s="17">
        <f ca="1">IFERROR(__xludf.DUMMYFUNCTION("""COMPUTED_VALUE"""),45358)</f>
        <v>45358</v>
      </c>
      <c r="F29" s="21">
        <f ca="1">IFERROR(__xludf.DUMMYFUNCTION("""COMPUTED_VALUE"""),12463768)</f>
        <v>12463768</v>
      </c>
      <c r="G29" s="16" t="str">
        <f ca="1">IFERROR(__xludf.DUMMYFUNCTION("""COMPUTED_VALUE""")," 100% Girado ")</f>
        <v xml:space="preserve"> 100% Girado </v>
      </c>
      <c r="H29" s="16">
        <f ca="1">IFERROR(__xludf.DUMMYFUNCTION("""COMPUTED_VALUE"""),12463768)</f>
        <v>12463768</v>
      </c>
      <c r="I29" s="83" t="s">
        <v>48</v>
      </c>
      <c r="J29" s="22"/>
      <c r="K29" s="16"/>
      <c r="L29" s="16">
        <f ca="1">IFERROR(__xludf.DUMMYFUNCTION("""COMPUTED_VALUE"""),12463768)</f>
        <v>12463768</v>
      </c>
      <c r="M29" s="16"/>
      <c r="N29" s="19"/>
      <c r="O29" s="19"/>
      <c r="P29" s="19"/>
      <c r="Q29" s="19"/>
      <c r="R29" s="19"/>
      <c r="S29" s="19"/>
      <c r="T29" s="19"/>
      <c r="U29" s="19"/>
      <c r="V29" s="59">
        <f ca="1">IFERROR(__xludf.DUMMYFUNCTION("""COMPUTED_VALUE"""),12463768)</f>
        <v>12463768</v>
      </c>
      <c r="W29" s="20"/>
      <c r="X29" s="43" t="str">
        <f ca="1">IFERROR(__xludf.DUMMYFUNCTION("""COMPUTED_VALUE"""),"MUNICIPALIDAD DE CASTRO")</f>
        <v>MUNICIPALIDAD DE CASTRO</v>
      </c>
    </row>
    <row r="30" spans="1:24" ht="15.75" customHeight="1" x14ac:dyDescent="0.25">
      <c r="A30" s="16" t="str">
        <f ca="1">IFERROR(__xludf.DUMMYFUNCTION("""COMPUTED_VALUE""")," REGIÓN DE LOS LAGOS ")</f>
        <v xml:space="preserve"> REGIÓN DE LOS LAGOS </v>
      </c>
      <c r="B30" s="16" t="str">
        <f t="shared" ca="1" si="0"/>
        <v xml:space="preserve"> CASTRO</v>
      </c>
      <c r="C30" s="16" t="str">
        <f ca="1">IFERROR(__xludf.DUMMYFUNCTION("""COMPUTED_VALUE""")," PROYECTO DE MEJORAMIENTO DE ENTORNOS URBANOS: REMODELACIÓN PLAZA DEL TREN, BARRIO COSTANERA ")</f>
        <v xml:space="preserve"> PROYECTO DE MEJORAMIENTO DE ENTORNOS URBANOS: REMODELACIÓN PLAZA DEL TREN, BARRIO COSTANERA </v>
      </c>
      <c r="D30" s="40" t="str">
        <f ca="1">IFERROR(__xludf.DUMMYFUNCTION("""COMPUTED_VALUE"""),"Con Giro por Anticipo")</f>
        <v>Con Giro por Anticipo</v>
      </c>
      <c r="E30" s="17">
        <f ca="1">IFERROR(__xludf.DUMMYFUNCTION("""COMPUTED_VALUE"""),45496)</f>
        <v>45496</v>
      </c>
      <c r="F30" s="21">
        <f ca="1">IFERROR(__xludf.DUMMYFUNCTION("""COMPUTED_VALUE"""),266582143)</f>
        <v>266582143</v>
      </c>
      <c r="G30" s="16" t="str">
        <f ca="1">IFERROR(__xludf.DUMMYFUNCTION("""COMPUTED_VALUE""")," Con Giro por Anticipo ")</f>
        <v xml:space="preserve"> Con Giro por Anticipo </v>
      </c>
      <c r="H30" s="16">
        <f ca="1">IFERROR(__xludf.DUMMYFUNCTION("""COMPUTED_VALUE"""),213265714)</f>
        <v>213265714</v>
      </c>
      <c r="I30" s="83" t="s">
        <v>48</v>
      </c>
      <c r="J30" s="22"/>
      <c r="K30" s="16"/>
      <c r="L30" s="16"/>
      <c r="M30" s="16"/>
      <c r="N30" s="19"/>
      <c r="O30" s="19"/>
      <c r="P30" s="21">
        <f ca="1">IFERROR(__xludf.DUMMYFUNCTION("""COMPUTED_VALUE"""),213265714)</f>
        <v>213265714</v>
      </c>
      <c r="Q30" s="19"/>
      <c r="R30" s="19"/>
      <c r="S30" s="19"/>
      <c r="T30" s="19"/>
      <c r="U30" s="19"/>
      <c r="V30" s="59">
        <f ca="1">IFERROR(__xludf.DUMMYFUNCTION("""COMPUTED_VALUE"""),213265714)</f>
        <v>213265714</v>
      </c>
      <c r="W30" s="20"/>
      <c r="X30" s="43" t="str">
        <f ca="1">IFERROR(__xludf.DUMMYFUNCTION("""COMPUTED_VALUE"""),"MUNICIPALIDAD DE CASTRO")</f>
        <v>MUNICIPALIDAD DE CASTRO</v>
      </c>
    </row>
    <row r="31" spans="1:24" ht="15.75" customHeight="1" x14ac:dyDescent="0.25">
      <c r="A31" s="16" t="str">
        <f ca="1">IFERROR(__xludf.DUMMYFUNCTION("""COMPUTED_VALUE""")," REGIÓN DE LOS LAGOS ")</f>
        <v xml:space="preserve"> REGIÓN DE LOS LAGOS </v>
      </c>
      <c r="B31" s="16" t="str">
        <f t="shared" ca="1" si="0"/>
        <v xml:space="preserve"> CASTRO</v>
      </c>
      <c r="C31" s="16" t="str">
        <f ca="1">IFERROR(__xludf.DUMMYFUNCTION("""COMPUTED_VALUE""")," ADQUISICIÓN EQUIPOS Y EQUIPAMIENTO PROGRAMA FORTALECIMIENTO MUNICIPAL CASTRO 2024 - BARRIO COSTANERA ")</f>
        <v xml:space="preserve"> ADQUISICIÓN EQUIPOS Y EQUIPAMIENTO PROGRAMA FORTALECIMIENTO MUNICIPAL CASTRO 2024 - BARRIO COSTANERA </v>
      </c>
      <c r="D31" s="40" t="str">
        <f ca="1">IFERROR(__xludf.DUMMYFUNCTION("""COMPUTED_VALUE"""),"100% Girado")</f>
        <v>100% Girado</v>
      </c>
      <c r="E31" s="17">
        <f ca="1">IFERROR(__xludf.DUMMYFUNCTION("""COMPUTED_VALUE"""),45517)</f>
        <v>45517</v>
      </c>
      <c r="F31" s="21">
        <f ca="1">IFERROR(__xludf.DUMMYFUNCTION("""COMPUTED_VALUE"""),6640685)</f>
        <v>6640685</v>
      </c>
      <c r="G31" s="16" t="str">
        <f ca="1">IFERROR(__xludf.DUMMYFUNCTION("""COMPUTED_VALUE""")," 100% Girado ")</f>
        <v xml:space="preserve"> 100% Girado </v>
      </c>
      <c r="H31" s="16">
        <f ca="1">IFERROR(__xludf.DUMMYFUNCTION("""COMPUTED_VALUE"""),6640685)</f>
        <v>6640685</v>
      </c>
      <c r="I31" s="83" t="s">
        <v>48</v>
      </c>
      <c r="J31" s="22"/>
      <c r="K31" s="16"/>
      <c r="L31" s="16"/>
      <c r="M31" s="16"/>
      <c r="N31" s="19"/>
      <c r="O31" s="19"/>
      <c r="P31" s="19"/>
      <c r="Q31" s="21">
        <f ca="1">IFERROR(__xludf.DUMMYFUNCTION("""COMPUTED_VALUE"""),6640685)</f>
        <v>6640685</v>
      </c>
      <c r="R31" s="19"/>
      <c r="S31" s="19"/>
      <c r="T31" s="19"/>
      <c r="U31" s="19"/>
      <c r="V31" s="59">
        <f ca="1">IFERROR(__xludf.DUMMYFUNCTION("""COMPUTED_VALUE"""),6640685)</f>
        <v>6640685</v>
      </c>
      <c r="W31" s="20"/>
      <c r="X31" s="43" t="str">
        <f ca="1">IFERROR(__xludf.DUMMYFUNCTION("""COMPUTED_VALUE"""),"MUNICIPALIDAD DE CASTRO")</f>
        <v>MUNICIPALIDAD DE CASTRO</v>
      </c>
    </row>
    <row r="32" spans="1:24" ht="15.75" customHeight="1" x14ac:dyDescent="0.25">
      <c r="A32" s="16" t="str">
        <f ca="1">IFERROR(__xludf.DUMMYFUNCTION("""COMPUTED_VALUE""")," REGIÓN DE COQUIMBO ")</f>
        <v xml:space="preserve"> REGIÓN DE COQUIMBO </v>
      </c>
      <c r="B32" s="16" t="str">
        <f t="shared" ca="1" si="0"/>
        <v xml:space="preserve"> COQUIMBO</v>
      </c>
      <c r="C32" s="16" t="str">
        <f ca="1">IFERROR(__xludf.DUMMYFUNCTION("""COMPUTED_VALUE""")," MEJORAMIENTO DE ESPACIOS PÚBLICOS DEL CENTRO CÍVICO DE GUAYACÁN ")</f>
        <v xml:space="preserve"> MEJORAMIENTO DE ESPACIOS PÚBLICOS DEL CENTRO CÍVICO DE GUAYACÁN </v>
      </c>
      <c r="D32" s="40" t="str">
        <f ca="1">IFERROR(__xludf.DUMMYFUNCTION("""COMPUTED_VALUE"""),"100% Girado")</f>
        <v>100% Girado</v>
      </c>
      <c r="E32" s="17">
        <f ca="1">IFERROR(__xludf.DUMMYFUNCTION("""COMPUTED_VALUE"""),44158)</f>
        <v>44158</v>
      </c>
      <c r="F32" s="21">
        <f ca="1">IFERROR(__xludf.DUMMYFUNCTION("""COMPUTED_VALUE"""),120264105)</f>
        <v>120264105</v>
      </c>
      <c r="G32" s="16" t="str">
        <f ca="1">IFERROR(__xludf.DUMMYFUNCTION("""COMPUTED_VALUE""")," 100% Girado ")</f>
        <v xml:space="preserve"> 100% Girado </v>
      </c>
      <c r="H32" s="16">
        <f ca="1">IFERROR(__xludf.DUMMYFUNCTION("""COMPUTED_VALUE"""),10800000)</f>
        <v>10800000</v>
      </c>
      <c r="I32" s="83" t="s">
        <v>48</v>
      </c>
      <c r="J32" s="22"/>
      <c r="K32" s="16"/>
      <c r="L32" s="16">
        <f ca="1">IFERROR(__xludf.DUMMYFUNCTION("""COMPUTED_VALUE"""),10800000)</f>
        <v>10800000</v>
      </c>
      <c r="M32" s="16"/>
      <c r="N32" s="19"/>
      <c r="O32" s="19"/>
      <c r="P32" s="19"/>
      <c r="Q32" s="19"/>
      <c r="R32" s="19"/>
      <c r="S32" s="19"/>
      <c r="T32" s="19"/>
      <c r="U32" s="19"/>
      <c r="V32" s="59">
        <f ca="1">IFERROR(__xludf.DUMMYFUNCTION("""COMPUTED_VALUE"""),10800000)</f>
        <v>10800000</v>
      </c>
      <c r="W32" s="20"/>
      <c r="X32" s="43" t="str">
        <f ca="1">IFERROR(__xludf.DUMMYFUNCTION("""COMPUTED_VALUE"""),"MUNICIPALIDAD DE COQUIMBO")</f>
        <v>MUNICIPALIDAD DE COQUIMBO</v>
      </c>
    </row>
    <row r="33" spans="1:24" ht="15.75" customHeight="1" x14ac:dyDescent="0.25">
      <c r="A33" s="16" t="str">
        <f ca="1">IFERROR(__xludf.DUMMYFUNCTION("""COMPUTED_VALUE""")," REGIÓN DE COQUIMBO ")</f>
        <v xml:space="preserve"> REGIÓN DE COQUIMBO </v>
      </c>
      <c r="B33" s="16" t="str">
        <f t="shared" ca="1" si="0"/>
        <v xml:space="preserve"> COQUIMBO</v>
      </c>
      <c r="C33" s="16" t="str">
        <f ca="1">IFERROR(__xludf.DUMMYFUNCTION("""COMPUTED_VALUE""")," FORTALECIMIENTO MUNICIPAL PRBIPE GUAYACAN, PERIODO ENERO – DICIEMBRE 2024 ")</f>
        <v xml:space="preserve"> FORTALECIMIENTO MUNICIPAL PRBIPE GUAYACAN, PERIODO ENERO – DICIEMBRE 2024 </v>
      </c>
      <c r="D33" s="40" t="str">
        <f ca="1">IFERROR(__xludf.DUMMYFUNCTION("""COMPUTED_VALUE"""),"En Ejecución")</f>
        <v>En Ejecución</v>
      </c>
      <c r="E33" s="17">
        <f ca="1">IFERROR(__xludf.DUMMYFUNCTION("""COMPUTED_VALUE"""),45281)</f>
        <v>45281</v>
      </c>
      <c r="F33" s="21">
        <f ca="1">IFERROR(__xludf.DUMMYFUNCTION("""COMPUTED_VALUE"""),87486960)</f>
        <v>87486960</v>
      </c>
      <c r="G33" s="16" t="str">
        <f ca="1">IFERROR(__xludf.DUMMYFUNCTION("""COMPUTED_VALUE""")," En Ejecución ")</f>
        <v xml:space="preserve"> En Ejecución </v>
      </c>
      <c r="H33" s="16">
        <f ca="1">IFERROR(__xludf.DUMMYFUNCTION("""COMPUTED_VALUE"""),0)</f>
        <v>0</v>
      </c>
      <c r="I33" s="83" t="s">
        <v>48</v>
      </c>
      <c r="J33" s="22"/>
      <c r="K33" s="16"/>
      <c r="L33" s="16"/>
      <c r="M33" s="16"/>
      <c r="N33" s="19"/>
      <c r="O33" s="19"/>
      <c r="P33" s="19"/>
      <c r="Q33" s="19"/>
      <c r="R33" s="19"/>
      <c r="S33" s="19"/>
      <c r="T33" s="19"/>
      <c r="U33" s="19"/>
      <c r="V33" s="59">
        <f ca="1">IFERROR(__xludf.DUMMYFUNCTION("""COMPUTED_VALUE"""),0)</f>
        <v>0</v>
      </c>
      <c r="W33" s="20"/>
      <c r="X33" s="43" t="str">
        <f ca="1">IFERROR(__xludf.DUMMYFUNCTION("""COMPUTED_VALUE"""),"MUNICIPALIDAD DE COQUIMBO")</f>
        <v>MUNICIPALIDAD DE COQUIMBO</v>
      </c>
    </row>
    <row r="34" spans="1:24" ht="15.75" customHeight="1" x14ac:dyDescent="0.25">
      <c r="A34" s="16" t="str">
        <f ca="1">IFERROR(__xludf.DUMMYFUNCTION("""COMPUTED_VALUE""")," REGIÓN DE COQUIMBO ")</f>
        <v xml:space="preserve"> REGIÓN DE COQUIMBO </v>
      </c>
      <c r="B34" s="16" t="str">
        <f t="shared" ca="1" si="0"/>
        <v xml:space="preserve"> COQUIMBO</v>
      </c>
      <c r="C34" s="16" t="str">
        <f ca="1">IFERROR(__xludf.DUMMYFUNCTION("""COMPUTED_VALUE""")," RESTAURACIÓN IGLESIA DE GUAYACÁN - PUEBLO DE GUAYACÁN ")</f>
        <v xml:space="preserve"> RESTAURACIÓN IGLESIA DE GUAYACÁN - PUEBLO DE GUAYACÁN </v>
      </c>
      <c r="D34" s="40" t="str">
        <f ca="1">IFERROR(__xludf.DUMMYFUNCTION("""COMPUTED_VALUE"""),"Con Giro por Anticipo")</f>
        <v>Con Giro por Anticipo</v>
      </c>
      <c r="E34" s="17">
        <f ca="1">IFERROR(__xludf.DUMMYFUNCTION("""COMPUTED_VALUE"""),45461)</f>
        <v>45461</v>
      </c>
      <c r="F34" s="21">
        <f ca="1">IFERROR(__xludf.DUMMYFUNCTION("""COMPUTED_VALUE"""),1915300166)</f>
        <v>1915300166</v>
      </c>
      <c r="G34" s="16" t="str">
        <f ca="1">IFERROR(__xludf.DUMMYFUNCTION("""COMPUTED_VALUE""")," Con Giro por Anticipo ")</f>
        <v xml:space="preserve"> Con Giro por Anticipo </v>
      </c>
      <c r="H34" s="16">
        <f ca="1">IFERROR(__xludf.DUMMYFUNCTION("""COMPUTED_VALUE"""),574591000)</f>
        <v>574591000</v>
      </c>
      <c r="I34" s="83" t="s">
        <v>48</v>
      </c>
      <c r="J34" s="22"/>
      <c r="K34" s="16"/>
      <c r="L34" s="16"/>
      <c r="M34" s="16"/>
      <c r="N34" s="19"/>
      <c r="O34" s="21">
        <f ca="1">IFERROR(__xludf.DUMMYFUNCTION("""COMPUTED_VALUE"""),574591000)</f>
        <v>574591000</v>
      </c>
      <c r="P34" s="19"/>
      <c r="Q34" s="19"/>
      <c r="R34" s="19"/>
      <c r="S34" s="19"/>
      <c r="T34" s="19"/>
      <c r="U34" s="19"/>
      <c r="V34" s="59">
        <f ca="1">IFERROR(__xludf.DUMMYFUNCTION("""COMPUTED_VALUE"""),574591000)</f>
        <v>574591000</v>
      </c>
      <c r="W34" s="20"/>
      <c r="X34" s="43" t="str">
        <f ca="1">IFERROR(__xludf.DUMMYFUNCTION("""COMPUTED_VALUE"""),"MUNICIPALIDAD DE COQUIMBO")</f>
        <v>MUNICIPALIDAD DE COQUIMBO</v>
      </c>
    </row>
    <row r="35" spans="1:24" ht="15.75" customHeight="1" x14ac:dyDescent="0.25">
      <c r="A35" s="16" t="str">
        <f ca="1">IFERROR(__xludf.DUMMYFUNCTION("""COMPUTED_VALUE""")," REGIÓN METROPOLITANA ")</f>
        <v xml:space="preserve"> REGIÓN METROPOLITANA </v>
      </c>
      <c r="B35" s="16" t="str">
        <f t="shared" ca="1" si="0"/>
        <v xml:space="preserve"> ESTACIÓN CENTRAL</v>
      </c>
      <c r="C35" s="16" t="str">
        <f ca="1">IFERROR(__xludf.DUMMYFUNCTION("""COMPUTED_VALUE""")," FORMACIÓN E IMPLEMENTACIÓN DE LA ESCUELA DE CIRCO SOCIAL PARA ADOLESCENTES EN EL POLÍGONO LOS NOGALES, COMUNA DE ESTACIÓN CENTRAL ")</f>
        <v xml:space="preserve"> FORMACIÓN E IMPLEMENTACIÓN DE LA ESCUELA DE CIRCO SOCIAL PARA ADOLESCENTES EN EL POLÍGONO LOS NOGALES, COMUNA DE ESTACIÓN CENTRAL </v>
      </c>
      <c r="D35" s="40" t="str">
        <f ca="1">IFERROR(__xludf.DUMMYFUNCTION("""COMPUTED_VALUE"""),"100% Girado")</f>
        <v>100% Girado</v>
      </c>
      <c r="E35" s="17">
        <f ca="1">IFERROR(__xludf.DUMMYFUNCTION("""COMPUTED_VALUE"""),43823)</f>
        <v>43823</v>
      </c>
      <c r="F35" s="21">
        <f ca="1">IFERROR(__xludf.DUMMYFUNCTION("""COMPUTED_VALUE"""),44718299)</f>
        <v>44718299</v>
      </c>
      <c r="G35" s="16" t="str">
        <f ca="1">IFERROR(__xludf.DUMMYFUNCTION("""COMPUTED_VALUE""")," 100% Girado ")</f>
        <v xml:space="preserve"> 100% Girado </v>
      </c>
      <c r="H35" s="16">
        <f ca="1">IFERROR(__xludf.DUMMYFUNCTION("""COMPUTED_VALUE"""),2045950)</f>
        <v>2045950</v>
      </c>
      <c r="I35" s="83" t="s">
        <v>48</v>
      </c>
      <c r="J35" s="22"/>
      <c r="K35" s="16"/>
      <c r="L35" s="16"/>
      <c r="M35" s="16"/>
      <c r="N35" s="21">
        <f ca="1">IFERROR(__xludf.DUMMYFUNCTION("""COMPUTED_VALUE"""),2045950)</f>
        <v>2045950</v>
      </c>
      <c r="O35" s="19"/>
      <c r="P35" s="19"/>
      <c r="Q35" s="19"/>
      <c r="R35" s="19"/>
      <c r="S35" s="19"/>
      <c r="T35" s="19"/>
      <c r="U35" s="19"/>
      <c r="V35" s="59">
        <f ca="1">IFERROR(__xludf.DUMMYFUNCTION("""COMPUTED_VALUE"""),2045950)</f>
        <v>2045950</v>
      </c>
      <c r="W35" s="20"/>
      <c r="X35" s="43" t="str">
        <f ca="1">IFERROR(__xludf.DUMMYFUNCTION("""COMPUTED_VALUE"""),"MUNICIPALIDAD DE ESTACIÓN CENTRAL")</f>
        <v>MUNICIPALIDAD DE ESTACIÓN CENTRAL</v>
      </c>
    </row>
    <row r="36" spans="1:24" ht="15.75" customHeight="1" x14ac:dyDescent="0.25">
      <c r="A36" s="16" t="str">
        <f ca="1">IFERROR(__xludf.DUMMYFUNCTION("""COMPUTED_VALUE""")," REGIÓN METROPOLITANA ")</f>
        <v xml:space="preserve"> REGIÓN METROPOLITANA </v>
      </c>
      <c r="B36" s="16" t="str">
        <f t="shared" ca="1" si="0"/>
        <v xml:space="preserve"> ESTACIÓN CENTRAL</v>
      </c>
      <c r="C36" s="16" t="str">
        <f ca="1">IFERROR(__xludf.DUMMYFUNCTION("""COMPUTED_VALUE""")," DESARROLLO E IMPLEMENTACIÓN DE LA ESCUELA DE LIDERAZGOS COMUNITARIOS POLÍGONO LOS NOGALES, COMUNA DE ESTACIÓN CENTRAL ")</f>
        <v xml:space="preserve"> DESARROLLO E IMPLEMENTACIÓN DE LA ESCUELA DE LIDERAZGOS COMUNITARIOS POLÍGONO LOS NOGALES, COMUNA DE ESTACIÓN CENTRAL </v>
      </c>
      <c r="D36" s="40" t="str">
        <f ca="1">IFERROR(__xludf.DUMMYFUNCTION("""COMPUTED_VALUE"""),"Con Giro por Anticipo")</f>
        <v>Con Giro por Anticipo</v>
      </c>
      <c r="E36" s="17">
        <f ca="1">IFERROR(__xludf.DUMMYFUNCTION("""COMPUTED_VALUE"""),44158)</f>
        <v>44158</v>
      </c>
      <c r="F36" s="21">
        <f ca="1">IFERROR(__xludf.DUMMYFUNCTION("""COMPUTED_VALUE"""),73287750)</f>
        <v>73287750</v>
      </c>
      <c r="G36" s="16" t="str">
        <f ca="1">IFERROR(__xludf.DUMMYFUNCTION("""COMPUTED_VALUE""")," Con Giro por Anticipo ")</f>
        <v xml:space="preserve"> Con Giro por Anticipo </v>
      </c>
      <c r="H36" s="16">
        <f ca="1">IFERROR(__xludf.DUMMYFUNCTION("""COMPUTED_VALUE"""),0)</f>
        <v>0</v>
      </c>
      <c r="I36" s="83" t="s">
        <v>48</v>
      </c>
      <c r="J36" s="22"/>
      <c r="K36" s="16"/>
      <c r="L36" s="16"/>
      <c r="M36" s="16"/>
      <c r="N36" s="19"/>
      <c r="O36" s="19"/>
      <c r="P36" s="19"/>
      <c r="Q36" s="19"/>
      <c r="R36" s="19"/>
      <c r="S36" s="19"/>
      <c r="T36" s="19"/>
      <c r="U36" s="19"/>
      <c r="V36" s="59">
        <f ca="1">IFERROR(__xludf.DUMMYFUNCTION("""COMPUTED_VALUE"""),0)</f>
        <v>0</v>
      </c>
      <c r="W36" s="20"/>
      <c r="X36" s="43" t="str">
        <f ca="1">IFERROR(__xludf.DUMMYFUNCTION("""COMPUTED_VALUE"""),"MUNICIPALIDAD DE ESTACIÓN CENTRAL")</f>
        <v>MUNICIPALIDAD DE ESTACIÓN CENTRAL</v>
      </c>
    </row>
    <row r="37" spans="1:24" ht="15.75" customHeight="1" x14ac:dyDescent="0.25">
      <c r="A37" s="16" t="str">
        <f ca="1">IFERROR(__xludf.DUMMYFUNCTION("""COMPUTED_VALUE""")," REGIÓN METROPOLITANA ")</f>
        <v xml:space="preserve"> REGIÓN METROPOLITANA </v>
      </c>
      <c r="B37" s="16" t="str">
        <f t="shared" ca="1" si="0"/>
        <v xml:space="preserve"> ESTACIÓN CENTRAL</v>
      </c>
      <c r="C37" s="16" t="str">
        <f ca="1">IFERROR(__xludf.DUMMYFUNCTION("""COMPUTED_VALUE""")," HABILITACIÓN DE ILUMINACIÓN PEATONAL EN AV. VÍCTOR JARA, EN POLÍGONO CASCO HISTÓRICO ")</f>
        <v xml:space="preserve"> HABILITACIÓN DE ILUMINACIÓN PEATONAL EN AV. VÍCTOR JARA, EN POLÍGONO CASCO HISTÓRICO </v>
      </c>
      <c r="D37" s="40" t="str">
        <f ca="1">IFERROR(__xludf.DUMMYFUNCTION("""COMPUTED_VALUE"""),"Con Giro por Anticipo")</f>
        <v>Con Giro por Anticipo</v>
      </c>
      <c r="E37" s="17">
        <f ca="1">IFERROR(__xludf.DUMMYFUNCTION("""COMPUTED_VALUE"""),45282)</f>
        <v>45282</v>
      </c>
      <c r="F37" s="21">
        <f ca="1">IFERROR(__xludf.DUMMYFUNCTION("""COMPUTED_VALUE"""),268663765)</f>
        <v>268663765</v>
      </c>
      <c r="G37" s="16" t="str">
        <f ca="1">IFERROR(__xludf.DUMMYFUNCTION("""COMPUTED_VALUE""")," Con Giro por Anticipo ")</f>
        <v xml:space="preserve"> Con Giro por Anticipo </v>
      </c>
      <c r="H37" s="16">
        <f ca="1">IFERROR(__xludf.DUMMYFUNCTION("""COMPUTED_VALUE"""),0)</f>
        <v>0</v>
      </c>
      <c r="I37" s="83" t="s">
        <v>48</v>
      </c>
      <c r="J37" s="22"/>
      <c r="K37" s="16"/>
      <c r="L37" s="16"/>
      <c r="M37" s="16"/>
      <c r="N37" s="19"/>
      <c r="O37" s="19"/>
      <c r="P37" s="19"/>
      <c r="Q37" s="19"/>
      <c r="R37" s="19"/>
      <c r="S37" s="19"/>
      <c r="T37" s="19"/>
      <c r="U37" s="19"/>
      <c r="V37" s="59">
        <f ca="1">IFERROR(__xludf.DUMMYFUNCTION("""COMPUTED_VALUE"""),0)</f>
        <v>0</v>
      </c>
      <c r="W37" s="20"/>
      <c r="X37" s="43" t="str">
        <f ca="1">IFERROR(__xludf.DUMMYFUNCTION("""COMPUTED_VALUE"""),"MUNICIPALIDAD DE ESTACIÓN CENTRAL")</f>
        <v>MUNICIPALIDAD DE ESTACIÓN CENTRAL</v>
      </c>
    </row>
    <row r="38" spans="1:24" ht="15.75" customHeight="1" x14ac:dyDescent="0.25">
      <c r="A38" s="16" t="str">
        <f ca="1">IFERROR(__xludf.DUMMYFUNCTION("""COMPUTED_VALUE""")," REGIÓN METROPOLITANA ")</f>
        <v xml:space="preserve"> REGIÓN METROPOLITANA </v>
      </c>
      <c r="B38" s="16" t="str">
        <f t="shared" ca="1" si="0"/>
        <v xml:space="preserve"> ESTACIÓN CENTRAL</v>
      </c>
      <c r="C38" s="16" t="str">
        <f ca="1">IFERROR(__xludf.DUMMYFUNCTION("""COMPUTED_VALUE""")," FORTALECIMIENTO INSTITUCIONAL 2024, DE LA COMUNA DE ESTACIÓN CENTRAL ")</f>
        <v xml:space="preserve"> FORTALECIMIENTO INSTITUCIONAL 2024, DE LA COMUNA DE ESTACIÓN CENTRAL </v>
      </c>
      <c r="D38" s="40" t="str">
        <f ca="1">IFERROR(__xludf.DUMMYFUNCTION("""COMPUTED_VALUE"""),"100% Girado")</f>
        <v>100% Girado</v>
      </c>
      <c r="E38" s="17">
        <f ca="1">IFERROR(__xludf.DUMMYFUNCTION("""COMPUTED_VALUE"""),45282)</f>
        <v>45282</v>
      </c>
      <c r="F38" s="21">
        <f ca="1">IFERROR(__xludf.DUMMYFUNCTION("""COMPUTED_VALUE"""),267662440)</f>
        <v>267662440</v>
      </c>
      <c r="G38" s="16" t="str">
        <f ca="1">IFERROR(__xludf.DUMMYFUNCTION("""COMPUTED_VALUE""")," 100% Girado ")</f>
        <v xml:space="preserve"> 100% Girado </v>
      </c>
      <c r="H38" s="16">
        <f ca="1">IFERROR(__xludf.DUMMYFUNCTION("""COMPUTED_VALUE"""),133831220)</f>
        <v>133831220</v>
      </c>
      <c r="I38" s="83" t="s">
        <v>48</v>
      </c>
      <c r="J38" s="22"/>
      <c r="K38" s="16"/>
      <c r="L38" s="16"/>
      <c r="M38" s="16"/>
      <c r="N38" s="19"/>
      <c r="O38" s="21">
        <f ca="1">IFERROR(__xludf.DUMMYFUNCTION("""COMPUTED_VALUE"""),133831220)</f>
        <v>133831220</v>
      </c>
      <c r="P38" s="19"/>
      <c r="Q38" s="19"/>
      <c r="R38" s="19"/>
      <c r="S38" s="19"/>
      <c r="T38" s="19"/>
      <c r="U38" s="19"/>
      <c r="V38" s="59">
        <f ca="1">IFERROR(__xludf.DUMMYFUNCTION("""COMPUTED_VALUE"""),133831220)</f>
        <v>133831220</v>
      </c>
      <c r="W38" s="20"/>
      <c r="X38" s="43" t="str">
        <f ca="1">IFERROR(__xludf.DUMMYFUNCTION("""COMPUTED_VALUE"""),"MUNICIPALIDAD DE ESTACIÓN CENTRAL")</f>
        <v>MUNICIPALIDAD DE ESTACIÓN CENTRAL</v>
      </c>
    </row>
    <row r="39" spans="1:24" ht="15.75" customHeight="1" x14ac:dyDescent="0.25">
      <c r="A39" s="16" t="str">
        <f ca="1">IFERROR(__xludf.DUMMYFUNCTION("""COMPUTED_VALUE""")," REGIÓN METROPOLITANA ")</f>
        <v xml:space="preserve"> REGIÓN METROPOLITANA </v>
      </c>
      <c r="B39" s="16" t="str">
        <f t="shared" ca="1" si="0"/>
        <v xml:space="preserve"> ESTACIÓN CENTRAL</v>
      </c>
      <c r="C39" s="16" t="str">
        <f ca="1">IFERROR(__xludf.DUMMYFUNCTION("""COMPUTED_VALUE""")," MEJORAMIENTO DE FACHADAS Y ESPACIO PÚBLICO AV. VÍCTOR JARA EN POLÍGONO CASCO HISTÓRICO ")</f>
        <v xml:space="preserve"> MEJORAMIENTO DE FACHADAS Y ESPACIO PÚBLICO AV. VÍCTOR JARA EN POLÍGONO CASCO HISTÓRICO </v>
      </c>
      <c r="D39" s="40" t="str">
        <f ca="1">IFERROR(__xludf.DUMMYFUNCTION("""COMPUTED_VALUE"""),"Con Giro por Anticipo")</f>
        <v>Con Giro por Anticipo</v>
      </c>
      <c r="E39" s="17">
        <f ca="1">IFERROR(__xludf.DUMMYFUNCTION("""COMPUTED_VALUE"""),45378)</f>
        <v>45378</v>
      </c>
      <c r="F39" s="21">
        <f ca="1">IFERROR(__xludf.DUMMYFUNCTION("""COMPUTED_VALUE"""),308230561)</f>
        <v>308230561</v>
      </c>
      <c r="G39" s="16" t="str">
        <f ca="1">IFERROR(__xludf.DUMMYFUNCTION("""COMPUTED_VALUE""")," Con Giro por Anticipo ")</f>
        <v xml:space="preserve"> Con Giro por Anticipo </v>
      </c>
      <c r="H39" s="16">
        <f ca="1">IFERROR(__xludf.DUMMYFUNCTION("""COMPUTED_VALUE"""),246584449)</f>
        <v>246584449</v>
      </c>
      <c r="I39" s="83" t="s">
        <v>48</v>
      </c>
      <c r="J39" s="22"/>
      <c r="K39" s="16"/>
      <c r="L39" s="16"/>
      <c r="M39" s="16">
        <f ca="1">IFERROR(__xludf.DUMMYFUNCTION("""COMPUTED_VALUE"""),246584449)</f>
        <v>246584449</v>
      </c>
      <c r="N39" s="19"/>
      <c r="O39" s="19"/>
      <c r="P39" s="19"/>
      <c r="Q39" s="19"/>
      <c r="R39" s="19"/>
      <c r="S39" s="19"/>
      <c r="T39" s="19"/>
      <c r="U39" s="19"/>
      <c r="V39" s="59">
        <f ca="1">IFERROR(__xludf.DUMMYFUNCTION("""COMPUTED_VALUE"""),246584449)</f>
        <v>246584449</v>
      </c>
      <c r="W39" s="20"/>
      <c r="X39" s="43" t="str">
        <f ca="1">IFERROR(__xludf.DUMMYFUNCTION("""COMPUTED_VALUE"""),"MUNICIPALIDAD DE ESTACIÓN CENTRAL")</f>
        <v>MUNICIPALIDAD DE ESTACIÓN CENTRAL</v>
      </c>
    </row>
    <row r="40" spans="1:24" ht="15.75" customHeight="1" x14ac:dyDescent="0.25">
      <c r="A40" s="16" t="str">
        <f ca="1">IFERROR(__xludf.DUMMYFUNCTION("""COMPUTED_VALUE""")," REGIÓN METROPOLITANA ")</f>
        <v xml:space="preserve"> REGIÓN METROPOLITANA </v>
      </c>
      <c r="B40" s="16" t="str">
        <f t="shared" ca="1" si="0"/>
        <v xml:space="preserve"> ESTACIÓN CENTRAL</v>
      </c>
      <c r="C40" s="16" t="str">
        <f ca="1">IFERROR(__xludf.DUMMYFUNCTION("""COMPUTED_VALUE""")," REPOSICIÓN DE VEREDAS EN UV Nº4, POLÍGONO CASCO HISTÓRICO ")</f>
        <v xml:space="preserve"> REPOSICIÓN DE VEREDAS EN UV Nº4, POLÍGONO CASCO HISTÓRICO </v>
      </c>
      <c r="D40" s="40" t="str">
        <f ca="1">IFERROR(__xludf.DUMMYFUNCTION("""COMPUTED_VALUE"""),"Con Giro por Anticipo")</f>
        <v>Con Giro por Anticipo</v>
      </c>
      <c r="E40" s="17">
        <f ca="1">IFERROR(__xludf.DUMMYFUNCTION("""COMPUTED_VALUE"""),45387)</f>
        <v>45387</v>
      </c>
      <c r="F40" s="21">
        <f ca="1">IFERROR(__xludf.DUMMYFUNCTION("""COMPUTED_VALUE"""),251343531)</f>
        <v>251343531</v>
      </c>
      <c r="G40" s="16" t="str">
        <f ca="1">IFERROR(__xludf.DUMMYFUNCTION("""COMPUTED_VALUE""")," Con Giro por Anticipo ")</f>
        <v xml:space="preserve"> Con Giro por Anticipo </v>
      </c>
      <c r="H40" s="16">
        <f ca="1">IFERROR(__xludf.DUMMYFUNCTION("""COMPUTED_VALUE"""),201074825)</f>
        <v>201074825</v>
      </c>
      <c r="I40" s="83" t="s">
        <v>48</v>
      </c>
      <c r="J40" s="22"/>
      <c r="K40" s="16"/>
      <c r="L40" s="16"/>
      <c r="M40" s="16">
        <f ca="1">IFERROR(__xludf.DUMMYFUNCTION("""COMPUTED_VALUE"""),201074825)</f>
        <v>201074825</v>
      </c>
      <c r="N40" s="19"/>
      <c r="O40" s="19"/>
      <c r="P40" s="19"/>
      <c r="Q40" s="19"/>
      <c r="R40" s="19"/>
      <c r="S40" s="19"/>
      <c r="T40" s="19"/>
      <c r="U40" s="19"/>
      <c r="V40" s="59">
        <f ca="1">IFERROR(__xludf.DUMMYFUNCTION("""COMPUTED_VALUE"""),201074825)</f>
        <v>201074825</v>
      </c>
      <c r="W40" s="20"/>
      <c r="X40" s="43" t="str">
        <f ca="1">IFERROR(__xludf.DUMMYFUNCTION("""COMPUTED_VALUE"""),"MUNICIPALIDAD DE ESTACIÓN CENTRAL")</f>
        <v>MUNICIPALIDAD DE ESTACIÓN CENTRAL</v>
      </c>
    </row>
    <row r="41" spans="1:24" ht="15.75" customHeight="1" x14ac:dyDescent="0.25">
      <c r="A41" s="16" t="str">
        <f ca="1">IFERROR(__xludf.DUMMYFUNCTION("""COMPUTED_VALUE""")," REGIÓN METROPOLITANA ")</f>
        <v xml:space="preserve"> REGIÓN METROPOLITANA </v>
      </c>
      <c r="B41" s="16" t="str">
        <f t="shared" ca="1" si="0"/>
        <v xml:space="preserve"> ESTACIÓN CENTRAL</v>
      </c>
      <c r="C41" s="16" t="str">
        <f ca="1">IFERROR(__xludf.DUMMYFUNCTION("""COMPUTED_VALUE""")," MEJORAMIENTO INTEGRAL EN CALLE 8 DE ENERO, POLÍGONO LOS NOGALES ")</f>
        <v xml:space="preserve"> MEJORAMIENTO INTEGRAL EN CALLE 8 DE ENERO, POLÍGONO LOS NOGALES </v>
      </c>
      <c r="D41" s="40" t="str">
        <f ca="1">IFERROR(__xludf.DUMMYFUNCTION("""COMPUTED_VALUE"""),"Con Giro por Anticipo")</f>
        <v>Con Giro por Anticipo</v>
      </c>
      <c r="E41" s="17">
        <f ca="1">IFERROR(__xludf.DUMMYFUNCTION("""COMPUTED_VALUE"""),45407)</f>
        <v>45407</v>
      </c>
      <c r="F41" s="21">
        <f ca="1">IFERROR(__xludf.DUMMYFUNCTION("""COMPUTED_VALUE"""),308414501)</f>
        <v>308414501</v>
      </c>
      <c r="G41" s="16" t="str">
        <f ca="1">IFERROR(__xludf.DUMMYFUNCTION("""COMPUTED_VALUE""")," Con Giro por Anticipo ")</f>
        <v xml:space="preserve"> Con Giro por Anticipo </v>
      </c>
      <c r="H41" s="16">
        <f ca="1">IFERROR(__xludf.DUMMYFUNCTION("""COMPUTED_VALUE"""),246731601)</f>
        <v>246731601</v>
      </c>
      <c r="I41" s="83" t="s">
        <v>48</v>
      </c>
      <c r="J41" s="22"/>
      <c r="K41" s="16"/>
      <c r="L41" s="16"/>
      <c r="M41" s="16"/>
      <c r="N41" s="21">
        <f ca="1">IFERROR(__xludf.DUMMYFUNCTION("""COMPUTED_VALUE"""),246731601)</f>
        <v>246731601</v>
      </c>
      <c r="O41" s="19"/>
      <c r="P41" s="19"/>
      <c r="Q41" s="19"/>
      <c r="R41" s="19"/>
      <c r="S41" s="19"/>
      <c r="T41" s="19"/>
      <c r="U41" s="19"/>
      <c r="V41" s="59">
        <f ca="1">IFERROR(__xludf.DUMMYFUNCTION("""COMPUTED_VALUE"""),246731601)</f>
        <v>246731601</v>
      </c>
      <c r="W41" s="20"/>
      <c r="X41" s="43" t="str">
        <f ca="1">IFERROR(__xludf.DUMMYFUNCTION("""COMPUTED_VALUE"""),"MUNICIPALIDAD DE ESTACIÓN CENTRAL")</f>
        <v>MUNICIPALIDAD DE ESTACIÓN CENTRAL</v>
      </c>
    </row>
    <row r="42" spans="1:24" ht="15.75" customHeight="1" x14ac:dyDescent="0.25">
      <c r="A42" s="16" t="str">
        <f ca="1">IFERROR(__xludf.DUMMYFUNCTION("""COMPUTED_VALUE""")," REGIÓN DEL BIOBÍO ")</f>
        <v xml:space="preserve"> REGIÓN DEL BIOBÍO </v>
      </c>
      <c r="B42" s="16" t="str">
        <f t="shared" ca="1" si="0"/>
        <v xml:space="preserve"> LOTA</v>
      </c>
      <c r="C42" s="16" t="str">
        <f ca="1">IFERROR(__xludf.DUMMYFUNCTION("""COMPUTED_VALUE""")," ESTUDIO MEJORAMIENTO CASA DE LA CULTURA LOTA ALTO ")</f>
        <v xml:space="preserve"> ESTUDIO MEJORAMIENTO CASA DE LA CULTURA LOTA ALTO </v>
      </c>
      <c r="D42" s="40" t="str">
        <f ca="1">IFERROR(__xludf.DUMMYFUNCTION("""COMPUTED_VALUE"""),"En Proceso de Cierre")</f>
        <v>En Proceso de Cierre</v>
      </c>
      <c r="E42" s="17">
        <f ca="1">IFERROR(__xludf.DUMMYFUNCTION("""COMPUTED_VALUE"""),42943)</f>
        <v>42943</v>
      </c>
      <c r="F42" s="21">
        <f ca="1">IFERROR(__xludf.DUMMYFUNCTION("""COMPUTED_VALUE"""),99955000)</f>
        <v>99955000</v>
      </c>
      <c r="G42" s="16" t="str">
        <f ca="1">IFERROR(__xludf.DUMMYFUNCTION("""COMPUTED_VALUE""")," En Proceso de Cierre ")</f>
        <v xml:space="preserve"> En Proceso de Cierre </v>
      </c>
      <c r="H42" s="16">
        <f ca="1">IFERROR(__xludf.DUMMYFUNCTION("""COMPUTED_VALUE"""),9672000)</f>
        <v>9672000</v>
      </c>
      <c r="I42" s="83" t="s">
        <v>48</v>
      </c>
      <c r="J42" s="22"/>
      <c r="K42" s="16"/>
      <c r="L42" s="16">
        <f ca="1">IFERROR(__xludf.DUMMYFUNCTION("""COMPUTED_VALUE"""),9672000)</f>
        <v>9672000</v>
      </c>
      <c r="M42" s="16"/>
      <c r="N42" s="19"/>
      <c r="O42" s="19"/>
      <c r="P42" s="19"/>
      <c r="Q42" s="19"/>
      <c r="R42" s="19"/>
      <c r="S42" s="19"/>
      <c r="T42" s="19"/>
      <c r="U42" s="19"/>
      <c r="V42" s="59">
        <f ca="1">IFERROR(__xludf.DUMMYFUNCTION("""COMPUTED_VALUE"""),9672000)</f>
        <v>9672000</v>
      </c>
      <c r="W42" s="20"/>
      <c r="X42" s="43" t="str">
        <f ca="1">IFERROR(__xludf.DUMMYFUNCTION("""COMPUTED_VALUE"""),"MUNICIPALIDAD DE LOTA")</f>
        <v>MUNICIPALIDAD DE LOTA</v>
      </c>
    </row>
    <row r="43" spans="1:24" ht="15.75" customHeight="1" x14ac:dyDescent="0.25">
      <c r="A43" s="16" t="str">
        <f ca="1">IFERROR(__xludf.DUMMYFUNCTION("""COMPUTED_VALUE""")," REGIÓN DEL BIOBÍO ")</f>
        <v xml:space="preserve"> REGIÓN DEL BIOBÍO </v>
      </c>
      <c r="B43" s="16" t="str">
        <f t="shared" ca="1" si="0"/>
        <v xml:space="preserve"> LOTA</v>
      </c>
      <c r="C43" s="16" t="str">
        <f ca="1">IFERROR(__xludf.DUMMYFUNCTION("""COMPUTED_VALUE""")," DISEÑO PARA DOS SECTORES, REMODELACIÓN PLAZA, MULTICANCHA Y MIRADOR SECTOR BARRIO CHINO Y ESPACIOS PÚBLICOS PARA RECREACIÓN Y HORNO SECTOR LUIS VIDELA ")</f>
        <v xml:space="preserve"> DISEÑO PARA DOS SECTORES, REMODELACIÓN PLAZA, MULTICANCHA Y MIRADOR SECTOR BARRIO CHINO Y ESPACIOS PÚBLICOS PARA RECREACIÓN Y HORNO SECTOR LUIS VIDELA </v>
      </c>
      <c r="D43" s="40" t="str">
        <f ca="1">IFERROR(__xludf.DUMMYFUNCTION("""COMPUTED_VALUE"""),"En Ejecución")</f>
        <v>En Ejecución</v>
      </c>
      <c r="E43" s="17">
        <f ca="1">IFERROR(__xludf.DUMMYFUNCTION("""COMPUTED_VALUE"""),42943)</f>
        <v>42943</v>
      </c>
      <c r="F43" s="21">
        <f ca="1">IFERROR(__xludf.DUMMYFUNCTION("""COMPUTED_VALUE"""),96850000)</f>
        <v>96850000</v>
      </c>
      <c r="G43" s="16" t="str">
        <f ca="1">IFERROR(__xludf.DUMMYFUNCTION("""COMPUTED_VALUE""")," En Ejecución ")</f>
        <v xml:space="preserve"> En Ejecución </v>
      </c>
      <c r="H43" s="16">
        <f ca="1">IFERROR(__xludf.DUMMYFUNCTION("""COMPUTED_VALUE"""),0)</f>
        <v>0</v>
      </c>
      <c r="I43" s="83" t="s">
        <v>48</v>
      </c>
      <c r="J43" s="22"/>
      <c r="K43" s="16"/>
      <c r="L43" s="16"/>
      <c r="M43" s="16"/>
      <c r="N43" s="19"/>
      <c r="O43" s="19"/>
      <c r="P43" s="19"/>
      <c r="Q43" s="19"/>
      <c r="R43" s="19"/>
      <c r="S43" s="19"/>
      <c r="T43" s="19"/>
      <c r="U43" s="19"/>
      <c r="V43" s="59">
        <f ca="1">IFERROR(__xludf.DUMMYFUNCTION("""COMPUTED_VALUE"""),0)</f>
        <v>0</v>
      </c>
      <c r="W43" s="20"/>
      <c r="X43" s="43" t="str">
        <f ca="1">IFERROR(__xludf.DUMMYFUNCTION("""COMPUTED_VALUE"""),"MUNICIPALIDAD DE LOTA")</f>
        <v>MUNICIPALIDAD DE LOTA</v>
      </c>
    </row>
    <row r="44" spans="1:24" ht="15.75" customHeight="1" x14ac:dyDescent="0.25">
      <c r="A44" s="16" t="str">
        <f ca="1">IFERROR(__xludf.DUMMYFUNCTION("""COMPUTED_VALUE""")," REGIÓN DEL BIOBÍO ")</f>
        <v xml:space="preserve"> REGIÓN DEL BIOBÍO </v>
      </c>
      <c r="B44" s="16" t="str">
        <f t="shared" ca="1" si="0"/>
        <v xml:space="preserve"> LOTA</v>
      </c>
      <c r="C44" s="16" t="str">
        <f ca="1">IFERROR(__xludf.DUMMYFUNCTION("""COMPUTED_VALUE""")," MEJORAMIENTO ESPACIO PÚBLICO CALLE CARLOS COUSIÑO ENTRE PLAZA CARRERA Y LORETO COUSIÑO, LOTA ALTO ")</f>
        <v xml:space="preserve"> MEJORAMIENTO ESPACIO PÚBLICO CALLE CARLOS COUSIÑO ENTRE PLAZA CARRERA Y LORETO COUSIÑO, LOTA ALTO </v>
      </c>
      <c r="D44" s="40" t="str">
        <f ca="1">IFERROR(__xludf.DUMMYFUNCTION("""COMPUTED_VALUE"""),"En Ejecución")</f>
        <v>En Ejecución</v>
      </c>
      <c r="E44" s="17">
        <f ca="1">IFERROR(__xludf.DUMMYFUNCTION("""COMPUTED_VALUE"""),44158)</f>
        <v>44158</v>
      </c>
      <c r="F44" s="21">
        <f ca="1">IFERROR(__xludf.DUMMYFUNCTION("""COMPUTED_VALUE"""),1060185720)</f>
        <v>1060185720</v>
      </c>
      <c r="G44" s="16" t="str">
        <f ca="1">IFERROR(__xludf.DUMMYFUNCTION("""COMPUTED_VALUE""")," En Ejecución ")</f>
        <v xml:space="preserve"> En Ejecución </v>
      </c>
      <c r="H44" s="16">
        <f ca="1">IFERROR(__xludf.DUMMYFUNCTION("""COMPUTED_VALUE"""),0)</f>
        <v>0</v>
      </c>
      <c r="I44" s="83" t="s">
        <v>48</v>
      </c>
      <c r="J44" s="22"/>
      <c r="K44" s="16"/>
      <c r="L44" s="16"/>
      <c r="M44" s="16"/>
      <c r="N44" s="19"/>
      <c r="O44" s="19"/>
      <c r="P44" s="19"/>
      <c r="Q44" s="19"/>
      <c r="R44" s="19"/>
      <c r="S44" s="19"/>
      <c r="T44" s="19"/>
      <c r="U44" s="19"/>
      <c r="V44" s="59">
        <f ca="1">IFERROR(__xludf.DUMMYFUNCTION("""COMPUTED_VALUE"""),0)</f>
        <v>0</v>
      </c>
      <c r="W44" s="20"/>
      <c r="X44" s="43" t="str">
        <f ca="1">IFERROR(__xludf.DUMMYFUNCTION("""COMPUTED_VALUE"""),"MUNICIPALIDAD DE LOTA")</f>
        <v>MUNICIPALIDAD DE LOTA</v>
      </c>
    </row>
    <row r="45" spans="1:24" ht="15.75" customHeight="1" x14ac:dyDescent="0.25">
      <c r="A45" s="16" t="str">
        <f ca="1">IFERROR(__xludf.DUMMYFUNCTION("""COMPUTED_VALUE""")," REGIÓN DEL BIOBÍO ")</f>
        <v xml:space="preserve"> REGIÓN DEL BIOBÍO </v>
      </c>
      <c r="B45" s="16" t="str">
        <f t="shared" ca="1" si="0"/>
        <v xml:space="preserve"> LOTA</v>
      </c>
      <c r="C45" s="16" t="str">
        <f ca="1">IFERROR(__xludf.DUMMYFUNCTION("""COMPUTED_VALUE""")," CONSTRUCCION CENTRO INSTRUMENTAL Y ESCUELA DE MUSICA ORFEON EX ENACAR ")</f>
        <v xml:space="preserve"> CONSTRUCCION CENTRO INSTRUMENTAL Y ESCUELA DE MUSICA ORFEON EX ENACAR </v>
      </c>
      <c r="D45" s="40" t="str">
        <f ca="1">IFERROR(__xludf.DUMMYFUNCTION("""COMPUTED_VALUE"""),"En Ejecución")</f>
        <v>En Ejecución</v>
      </c>
      <c r="E45" s="17">
        <f ca="1">IFERROR(__xludf.DUMMYFUNCTION("""COMPUTED_VALUE"""),44155)</f>
        <v>44155</v>
      </c>
      <c r="F45" s="21">
        <f ca="1">IFERROR(__xludf.DUMMYFUNCTION("""COMPUTED_VALUE"""),293693663)</f>
        <v>293693663</v>
      </c>
      <c r="G45" s="16" t="str">
        <f ca="1">IFERROR(__xludf.DUMMYFUNCTION("""COMPUTED_VALUE""")," En Ejecución ")</f>
        <v xml:space="preserve"> En Ejecución </v>
      </c>
      <c r="H45" s="16">
        <f ca="1">IFERROR(__xludf.DUMMYFUNCTION("""COMPUTED_VALUE"""),0)</f>
        <v>0</v>
      </c>
      <c r="I45" s="83" t="s">
        <v>48</v>
      </c>
      <c r="J45" s="22"/>
      <c r="K45" s="16"/>
      <c r="L45" s="16"/>
      <c r="M45" s="16"/>
      <c r="N45" s="19"/>
      <c r="O45" s="19"/>
      <c r="P45" s="19"/>
      <c r="Q45" s="19"/>
      <c r="R45" s="19"/>
      <c r="S45" s="19"/>
      <c r="T45" s="19"/>
      <c r="U45" s="19"/>
      <c r="V45" s="59">
        <f ca="1">IFERROR(__xludf.DUMMYFUNCTION("""COMPUTED_VALUE"""),0)</f>
        <v>0</v>
      </c>
      <c r="W45" s="20"/>
      <c r="X45" s="43" t="str">
        <f ca="1">IFERROR(__xludf.DUMMYFUNCTION("""COMPUTED_VALUE"""),"MUNICIPALIDAD DE LOTA")</f>
        <v>MUNICIPALIDAD DE LOTA</v>
      </c>
    </row>
    <row r="46" spans="1:24" ht="15.75" customHeight="1" x14ac:dyDescent="0.25">
      <c r="A46" s="16" t="str">
        <f ca="1">IFERROR(__xludf.DUMMYFUNCTION("""COMPUTED_VALUE""")," REGIÓN DEL BIOBÍO ")</f>
        <v xml:space="preserve"> REGIÓN DEL BIOBÍO </v>
      </c>
      <c r="B46" s="16" t="str">
        <f t="shared" ca="1" si="0"/>
        <v xml:space="preserve"> LOTA</v>
      </c>
      <c r="C46" s="16" t="str">
        <f ca="1">IFERROR(__xludf.DUMMYFUNCTION("""COMPUTED_VALUE""")," FORTALECIMIENTO MUNICIPAL 2024 ")</f>
        <v xml:space="preserve"> FORTALECIMIENTO MUNICIPAL 2024 </v>
      </c>
      <c r="D46" s="40" t="str">
        <f ca="1">IFERROR(__xludf.DUMMYFUNCTION("""COMPUTED_VALUE"""),"En Ejecución")</f>
        <v>En Ejecución</v>
      </c>
      <c r="E46" s="17">
        <f ca="1">IFERROR(__xludf.DUMMYFUNCTION("""COMPUTED_VALUE"""),45282)</f>
        <v>45282</v>
      </c>
      <c r="F46" s="21">
        <f ca="1">IFERROR(__xludf.DUMMYFUNCTION("""COMPUTED_VALUE"""),112926190)</f>
        <v>112926190</v>
      </c>
      <c r="G46" s="16" t="str">
        <f ca="1">IFERROR(__xludf.DUMMYFUNCTION("""COMPUTED_VALUE""")," En Ejecución ")</f>
        <v xml:space="preserve"> En Ejecución </v>
      </c>
      <c r="H46" s="16">
        <f ca="1">IFERROR(__xludf.DUMMYFUNCTION("""COMPUTED_VALUE"""),0)</f>
        <v>0</v>
      </c>
      <c r="I46" s="83" t="s">
        <v>48</v>
      </c>
      <c r="J46" s="22"/>
      <c r="K46" s="16"/>
      <c r="L46" s="16"/>
      <c r="M46" s="16"/>
      <c r="N46" s="19"/>
      <c r="O46" s="19"/>
      <c r="P46" s="19"/>
      <c r="Q46" s="19"/>
      <c r="R46" s="19"/>
      <c r="S46" s="19"/>
      <c r="T46" s="19"/>
      <c r="U46" s="19"/>
      <c r="V46" s="59">
        <f ca="1">IFERROR(__xludf.DUMMYFUNCTION("""COMPUTED_VALUE"""),0)</f>
        <v>0</v>
      </c>
      <c r="W46" s="20"/>
      <c r="X46" s="43" t="str">
        <f ca="1">IFERROR(__xludf.DUMMYFUNCTION("""COMPUTED_VALUE"""),"MUNICIPALIDAD DE LOTA")</f>
        <v>MUNICIPALIDAD DE LOTA</v>
      </c>
    </row>
    <row r="47" spans="1:24" ht="15.75" customHeight="1" x14ac:dyDescent="0.25">
      <c r="A47" s="16" t="str">
        <f ca="1">IFERROR(__xludf.DUMMYFUNCTION("""COMPUTED_VALUE""")," REGIÓN METROPOLITANA ")</f>
        <v xml:space="preserve"> REGIÓN METROPOLITANA </v>
      </c>
      <c r="B47" s="16" t="str">
        <f t="shared" ca="1" si="0"/>
        <v xml:space="preserve"> ÑUÑOA</v>
      </c>
      <c r="C47" s="16" t="str">
        <f ca="1">IFERROR(__xludf.DUMMYFUNCTION("""COMPUTED_VALUE""")," ASISTENCIA TECNICA EQUIPO COMUNAL REVIVE ÑUÑOA 2024 ")</f>
        <v xml:space="preserve"> ASISTENCIA TECNICA EQUIPO COMUNAL REVIVE ÑUÑOA 2024 </v>
      </c>
      <c r="D47" s="40" t="str">
        <f ca="1">IFERROR(__xludf.DUMMYFUNCTION("""COMPUTED_VALUE"""),"En Ejecución")</f>
        <v>En Ejecución</v>
      </c>
      <c r="E47" s="17">
        <f ca="1">IFERROR(__xludf.DUMMYFUNCTION("""COMPUTED_VALUE"""),45282)</f>
        <v>45282</v>
      </c>
      <c r="F47" s="21">
        <f ca="1">IFERROR(__xludf.DUMMYFUNCTION("""COMPUTED_VALUE"""),263792926)</f>
        <v>263792926</v>
      </c>
      <c r="G47" s="16" t="str">
        <f ca="1">IFERROR(__xludf.DUMMYFUNCTION("""COMPUTED_VALUE""")," En Ejecución ")</f>
        <v xml:space="preserve"> En Ejecución </v>
      </c>
      <c r="H47" s="16">
        <f ca="1">IFERROR(__xludf.DUMMYFUNCTION("""COMPUTED_VALUE"""),0)</f>
        <v>0</v>
      </c>
      <c r="I47" s="83" t="s">
        <v>48</v>
      </c>
      <c r="J47" s="22"/>
      <c r="K47" s="16"/>
      <c r="L47" s="16"/>
      <c r="M47" s="16"/>
      <c r="N47" s="19"/>
      <c r="O47" s="19"/>
      <c r="P47" s="19"/>
      <c r="Q47" s="19"/>
      <c r="R47" s="19"/>
      <c r="S47" s="19"/>
      <c r="T47" s="19"/>
      <c r="U47" s="19"/>
      <c r="V47" s="59">
        <f ca="1">IFERROR(__xludf.DUMMYFUNCTION("""COMPUTED_VALUE"""),0)</f>
        <v>0</v>
      </c>
      <c r="W47" s="20"/>
      <c r="X47" s="43" t="str">
        <f ca="1">IFERROR(__xludf.DUMMYFUNCTION("""COMPUTED_VALUE"""),"MUNICIPALIDAD DE ÑUÑOA")</f>
        <v>MUNICIPALIDAD DE ÑUÑOA</v>
      </c>
    </row>
    <row r="48" spans="1:24" ht="15.75" customHeight="1" x14ac:dyDescent="0.25">
      <c r="A48" s="16" t="str">
        <f ca="1">IFERROR(__xludf.DUMMYFUNCTION("""COMPUTED_VALUE""")," REGIÓN METROPOLITANA ")</f>
        <v xml:space="preserve"> REGIÓN METROPOLITANA </v>
      </c>
      <c r="B48" s="16" t="str">
        <f t="shared" ca="1" si="0"/>
        <v xml:space="preserve"> ÑUÑOA</v>
      </c>
      <c r="C48" s="16" t="str">
        <f ca="1">IFERROR(__xludf.DUMMYFUNCTION("""COMPUTED_VALUE""")," ASISTENCIA TÉCNICA PARA LA EJECUCIÓN DEL PLAN DE COMUNICACIONES Y VINCULACIÓN COMUNITARIA 2024 ")</f>
        <v xml:space="preserve"> ASISTENCIA TÉCNICA PARA LA EJECUCIÓN DEL PLAN DE COMUNICACIONES Y VINCULACIÓN COMUNITARIA 2024 </v>
      </c>
      <c r="D48" s="40" t="str">
        <f ca="1">IFERROR(__xludf.DUMMYFUNCTION("""COMPUTED_VALUE"""),"100% Girado")</f>
        <v>100% Girado</v>
      </c>
      <c r="E48" s="17">
        <f ca="1">IFERROR(__xludf.DUMMYFUNCTION("""COMPUTED_VALUE"""),45322)</f>
        <v>45322</v>
      </c>
      <c r="F48" s="21">
        <f ca="1">IFERROR(__xludf.DUMMYFUNCTION("""COMPUTED_VALUE"""),41091952)</f>
        <v>41091952</v>
      </c>
      <c r="G48" s="16" t="str">
        <f ca="1">IFERROR(__xludf.DUMMYFUNCTION("""COMPUTED_VALUE""")," 100% Girado ")</f>
        <v xml:space="preserve"> 100% Girado </v>
      </c>
      <c r="H48" s="16">
        <f ca="1">IFERROR(__xludf.DUMMYFUNCTION("""COMPUTED_VALUE"""),41091952)</f>
        <v>41091952</v>
      </c>
      <c r="I48" s="83" t="s">
        <v>48</v>
      </c>
      <c r="J48" s="22"/>
      <c r="K48" s="16">
        <f ca="1">IFERROR(__xludf.DUMMYFUNCTION("""COMPUTED_VALUE"""),41091952)</f>
        <v>41091952</v>
      </c>
      <c r="L48" s="16"/>
      <c r="M48" s="16"/>
      <c r="N48" s="19"/>
      <c r="O48" s="19"/>
      <c r="P48" s="19"/>
      <c r="Q48" s="19"/>
      <c r="R48" s="19"/>
      <c r="S48" s="19"/>
      <c r="T48" s="19"/>
      <c r="U48" s="19"/>
      <c r="V48" s="59">
        <f ca="1">IFERROR(__xludf.DUMMYFUNCTION("""COMPUTED_VALUE"""),41091952)</f>
        <v>41091952</v>
      </c>
      <c r="W48" s="20"/>
      <c r="X48" s="43" t="str">
        <f ca="1">IFERROR(__xludf.DUMMYFUNCTION("""COMPUTED_VALUE"""),"MUNICIPALIDAD DE ÑUÑOA")</f>
        <v>MUNICIPALIDAD DE ÑUÑOA</v>
      </c>
    </row>
    <row r="49" spans="1:24" ht="15.75" customHeight="1" x14ac:dyDescent="0.25">
      <c r="A49" s="16" t="str">
        <f ca="1">IFERROR(__xludf.DUMMYFUNCTION("""COMPUTED_VALUE""")," REGIÓN METROPOLITANA ")</f>
        <v xml:space="preserve"> REGIÓN METROPOLITANA </v>
      </c>
      <c r="B49" s="16" t="str">
        <f t="shared" ca="1" si="0"/>
        <v xml:space="preserve"> ÑUÑOA</v>
      </c>
      <c r="C49" s="16" t="str">
        <f ca="1">IFERROR(__xludf.DUMMYFUNCTION("""COMPUTED_VALUE""")," MURALES PASO BAJO NIVEL ÑUBLE ")</f>
        <v xml:space="preserve"> MURALES PASO BAJO NIVEL ÑUBLE </v>
      </c>
      <c r="D49" s="40" t="str">
        <f ca="1">IFERROR(__xludf.DUMMYFUNCTION("""COMPUTED_VALUE"""),"Con Giro por Anticipo")</f>
        <v>Con Giro por Anticipo</v>
      </c>
      <c r="E49" s="17">
        <f ca="1">IFERROR(__xludf.DUMMYFUNCTION("""COMPUTED_VALUE"""),45369)</f>
        <v>45369</v>
      </c>
      <c r="F49" s="21">
        <f ca="1">IFERROR(__xludf.DUMMYFUNCTION("""COMPUTED_VALUE"""),300330000)</f>
        <v>300330000</v>
      </c>
      <c r="G49" s="16" t="str">
        <f ca="1">IFERROR(__xludf.DUMMYFUNCTION("""COMPUTED_VALUE""")," Con Giro por Anticipo ")</f>
        <v xml:space="preserve"> Con Giro por Anticipo </v>
      </c>
      <c r="H49" s="16">
        <f ca="1">IFERROR(__xludf.DUMMYFUNCTION("""COMPUTED_VALUE"""),240264000)</f>
        <v>240264000</v>
      </c>
      <c r="I49" s="83" t="s">
        <v>48</v>
      </c>
      <c r="J49" s="22"/>
      <c r="K49" s="16"/>
      <c r="L49" s="16">
        <f ca="1">IFERROR(__xludf.DUMMYFUNCTION("""COMPUTED_VALUE"""),240264000)</f>
        <v>240264000</v>
      </c>
      <c r="M49" s="16"/>
      <c r="N49" s="19"/>
      <c r="O49" s="19"/>
      <c r="P49" s="19"/>
      <c r="Q49" s="19"/>
      <c r="R49" s="19"/>
      <c r="S49" s="19"/>
      <c r="T49" s="19"/>
      <c r="U49" s="19"/>
      <c r="V49" s="59">
        <f ca="1">IFERROR(__xludf.DUMMYFUNCTION("""COMPUTED_VALUE"""),240264000)</f>
        <v>240264000</v>
      </c>
      <c r="W49" s="20"/>
      <c r="X49" s="43" t="str">
        <f ca="1">IFERROR(__xludf.DUMMYFUNCTION("""COMPUTED_VALUE"""),"MUNICIPALIDAD DE ÑUÑOA")</f>
        <v>MUNICIPALIDAD DE ÑUÑOA</v>
      </c>
    </row>
    <row r="50" spans="1:24" ht="15.75" customHeight="1" x14ac:dyDescent="0.25">
      <c r="A50" s="16" t="str">
        <f ca="1">IFERROR(__xludf.DUMMYFUNCTION("""COMPUTED_VALUE""")," REGIÓN METROPOLITANA ")</f>
        <v xml:space="preserve"> REGIÓN METROPOLITANA </v>
      </c>
      <c r="B50" s="16" t="str">
        <f t="shared" ca="1" si="0"/>
        <v xml:space="preserve"> ÑUÑOA</v>
      </c>
      <c r="C50" s="16" t="str">
        <f ca="1">IFERROR(__xludf.DUMMYFUNCTION("""COMPUTED_VALUE""")," MEJORAMIENTO DE FACHADAS Y CARTELES DE LOCALES COMERCIALES DE VILLA FREI"", COMUNA DE ÑUÑOA ")</f>
        <v xml:space="preserve"> MEJORAMIENTO DE FACHADAS Y CARTELES DE LOCALES COMERCIALES DE VILLA FREI", COMUNA DE ÑUÑOA </v>
      </c>
      <c r="D50" s="40" t="str">
        <f ca="1">IFERROR(__xludf.DUMMYFUNCTION("""COMPUTED_VALUE"""),"Con Giro por Anticipo")</f>
        <v>Con Giro por Anticipo</v>
      </c>
      <c r="E50" s="17">
        <f ca="1">IFERROR(__xludf.DUMMYFUNCTION("""COMPUTED_VALUE"""),45378)</f>
        <v>45378</v>
      </c>
      <c r="F50" s="21">
        <f ca="1">IFERROR(__xludf.DUMMYFUNCTION("""COMPUTED_VALUE"""),287956490)</f>
        <v>287956490</v>
      </c>
      <c r="G50" s="16" t="str">
        <f ca="1">IFERROR(__xludf.DUMMYFUNCTION("""COMPUTED_VALUE""")," Con Giro por Anticipo ")</f>
        <v xml:space="preserve"> Con Giro por Anticipo </v>
      </c>
      <c r="H50" s="16">
        <f ca="1">IFERROR(__xludf.DUMMYFUNCTION("""COMPUTED_VALUE"""),230365192)</f>
        <v>230365192</v>
      </c>
      <c r="I50" s="83" t="s">
        <v>48</v>
      </c>
      <c r="J50" s="22"/>
      <c r="K50" s="16"/>
      <c r="L50" s="16"/>
      <c r="M50" s="16">
        <f ca="1">IFERROR(__xludf.DUMMYFUNCTION("""COMPUTED_VALUE"""),230365192)</f>
        <v>230365192</v>
      </c>
      <c r="N50" s="19"/>
      <c r="O50" s="19"/>
      <c r="P50" s="19"/>
      <c r="Q50" s="19"/>
      <c r="R50" s="19"/>
      <c r="S50" s="19"/>
      <c r="T50" s="19"/>
      <c r="U50" s="19"/>
      <c r="V50" s="59">
        <f ca="1">IFERROR(__xludf.DUMMYFUNCTION("""COMPUTED_VALUE"""),230365192)</f>
        <v>230365192</v>
      </c>
      <c r="W50" s="20"/>
      <c r="X50" s="43" t="str">
        <f ca="1">IFERROR(__xludf.DUMMYFUNCTION("""COMPUTED_VALUE"""),"MUNICIPALIDAD DE ÑUÑOA")</f>
        <v>MUNICIPALIDAD DE ÑUÑOA</v>
      </c>
    </row>
    <row r="51" spans="1:24" ht="15.75" customHeight="1" x14ac:dyDescent="0.25">
      <c r="A51" s="16" t="str">
        <f ca="1">IFERROR(__xludf.DUMMYFUNCTION("""COMPUTED_VALUE""")," REGIÓN METROPOLITANA ")</f>
        <v xml:space="preserve"> REGIÓN METROPOLITANA </v>
      </c>
      <c r="B51" s="16" t="str">
        <f t="shared" ca="1" si="0"/>
        <v xml:space="preserve"> ÑUÑOA</v>
      </c>
      <c r="C51" s="16" t="str">
        <f ca="1">IFERROR(__xludf.DUMMYFUNCTION("""COMPUTED_VALUE""")," PLAN DE EMERGENCIA Y SEGURIDAD COMUNITARIA VILLA FREI ")</f>
        <v xml:space="preserve"> PLAN DE EMERGENCIA Y SEGURIDAD COMUNITARIA VILLA FREI </v>
      </c>
      <c r="D51" s="40" t="str">
        <f ca="1">IFERROR(__xludf.DUMMYFUNCTION("""COMPUTED_VALUE"""),"Con Giro por Anticipo")</f>
        <v>Con Giro por Anticipo</v>
      </c>
      <c r="E51" s="17">
        <f ca="1">IFERROR(__xludf.DUMMYFUNCTION("""COMPUTED_VALUE"""),45419)</f>
        <v>45419</v>
      </c>
      <c r="F51" s="21">
        <f ca="1">IFERROR(__xludf.DUMMYFUNCTION("""COMPUTED_VALUE"""),130000000)</f>
        <v>130000000</v>
      </c>
      <c r="G51" s="16" t="str">
        <f ca="1">IFERROR(__xludf.DUMMYFUNCTION("""COMPUTED_VALUE""")," Con Giro por Anticipo ")</f>
        <v xml:space="preserve"> Con Giro por Anticipo </v>
      </c>
      <c r="H51" s="16">
        <f ca="1">IFERROR(__xludf.DUMMYFUNCTION("""COMPUTED_VALUE"""),65000000)</f>
        <v>65000000</v>
      </c>
      <c r="I51" s="83" t="s">
        <v>48</v>
      </c>
      <c r="J51" s="22"/>
      <c r="K51" s="16"/>
      <c r="L51" s="16"/>
      <c r="M51" s="16"/>
      <c r="N51" s="19"/>
      <c r="O51" s="21">
        <f ca="1">IFERROR(__xludf.DUMMYFUNCTION("""COMPUTED_VALUE"""),65000000)</f>
        <v>65000000</v>
      </c>
      <c r="P51" s="19"/>
      <c r="Q51" s="19"/>
      <c r="R51" s="19"/>
      <c r="S51" s="19"/>
      <c r="T51" s="19"/>
      <c r="U51" s="19"/>
      <c r="V51" s="59">
        <f ca="1">IFERROR(__xludf.DUMMYFUNCTION("""COMPUTED_VALUE"""),65000000)</f>
        <v>65000000</v>
      </c>
      <c r="W51" s="20"/>
      <c r="X51" s="43" t="str">
        <f ca="1">IFERROR(__xludf.DUMMYFUNCTION("""COMPUTED_VALUE"""),"MUNICIPALIDAD DE ÑUÑOA")</f>
        <v>MUNICIPALIDAD DE ÑUÑOA</v>
      </c>
    </row>
    <row r="52" spans="1:24" ht="15.75" customHeight="1" x14ac:dyDescent="0.25">
      <c r="A52" s="16" t="str">
        <f ca="1">IFERROR(__xludf.DUMMYFUNCTION("""COMPUTED_VALUE""")," REGIÓN METROPOLITANA ")</f>
        <v xml:space="preserve"> REGIÓN METROPOLITANA </v>
      </c>
      <c r="B52" s="16" t="str">
        <f t="shared" ca="1" si="0"/>
        <v xml:space="preserve"> ÑUÑOA</v>
      </c>
      <c r="C52" s="16" t="str">
        <f ca="1">IFERROR(__xludf.DUMMYFUNCTION("""COMPUTED_VALUE""")," MEJORAMIENTO DE FACHADAS BLOQUES 4 Y 21 VILLA FREI SECTOR 1 ")</f>
        <v xml:space="preserve"> MEJORAMIENTO DE FACHADAS BLOQUES 4 Y 21 VILLA FREI SECTOR 1 </v>
      </c>
      <c r="D52" s="40" t="str">
        <f ca="1">IFERROR(__xludf.DUMMYFUNCTION("""COMPUTED_VALUE"""),"Con Giro por Anticipo")</f>
        <v>Con Giro por Anticipo</v>
      </c>
      <c r="E52" s="17">
        <f ca="1">IFERROR(__xludf.DUMMYFUNCTION("""COMPUTED_VALUE"""),45419)</f>
        <v>45419</v>
      </c>
      <c r="F52" s="21">
        <f ca="1">IFERROR(__xludf.DUMMYFUNCTION("""COMPUTED_VALUE"""),284430081)</f>
        <v>284430081</v>
      </c>
      <c r="G52" s="16" t="str">
        <f ca="1">IFERROR(__xludf.DUMMYFUNCTION("""COMPUTED_VALUE""")," Con Giro por Anticipo ")</f>
        <v xml:space="preserve"> Con Giro por Anticipo </v>
      </c>
      <c r="H52" s="16">
        <f ca="1">IFERROR(__xludf.DUMMYFUNCTION("""COMPUTED_VALUE"""),142215041)</f>
        <v>142215041</v>
      </c>
      <c r="I52" s="83" t="s">
        <v>48</v>
      </c>
      <c r="J52" s="22"/>
      <c r="K52" s="16"/>
      <c r="L52" s="16"/>
      <c r="M52" s="16"/>
      <c r="N52" s="21">
        <f ca="1">IFERROR(__xludf.DUMMYFUNCTION("""COMPUTED_VALUE"""),142215041)</f>
        <v>142215041</v>
      </c>
      <c r="O52" s="19"/>
      <c r="P52" s="19"/>
      <c r="Q52" s="19"/>
      <c r="R52" s="19"/>
      <c r="S52" s="19"/>
      <c r="T52" s="19"/>
      <c r="U52" s="19"/>
      <c r="V52" s="59">
        <f ca="1">IFERROR(__xludf.DUMMYFUNCTION("""COMPUTED_VALUE"""),142215041)</f>
        <v>142215041</v>
      </c>
      <c r="W52" s="20"/>
      <c r="X52" s="43" t="str">
        <f ca="1">IFERROR(__xludf.DUMMYFUNCTION("""COMPUTED_VALUE"""),"MUNICIPALIDAD DE ÑUÑOA")</f>
        <v>MUNICIPALIDAD DE ÑUÑOA</v>
      </c>
    </row>
    <row r="53" spans="1:24" ht="15.75" customHeight="1" x14ac:dyDescent="0.25">
      <c r="A53" s="16" t="str">
        <f ca="1">IFERROR(__xludf.DUMMYFUNCTION("""COMPUTED_VALUE""")," REGIÓN METROPOLITANA ")</f>
        <v xml:space="preserve"> REGIÓN METROPOLITANA </v>
      </c>
      <c r="B53" s="16" t="str">
        <f t="shared" ca="1" si="0"/>
        <v xml:space="preserve"> ÑUÑOA</v>
      </c>
      <c r="C53" s="16" t="str">
        <f ca="1">IFERROR(__xludf.DUMMYFUNCTION("""COMPUTED_VALUE""")," MEJORAMIENTO BAJO NIVEL ÑUBLE ")</f>
        <v xml:space="preserve"> MEJORAMIENTO BAJO NIVEL ÑUBLE </v>
      </c>
      <c r="D53" s="40" t="str">
        <f ca="1">IFERROR(__xludf.DUMMYFUNCTION("""COMPUTED_VALUE"""),"100% Girado")</f>
        <v>100% Girado</v>
      </c>
      <c r="E53" s="17">
        <f ca="1">IFERROR(__xludf.DUMMYFUNCTION("""COMPUTED_VALUE"""),45419)</f>
        <v>45419</v>
      </c>
      <c r="F53" s="21">
        <f ca="1">IFERROR(__xludf.DUMMYFUNCTION("""COMPUTED_VALUE"""),175621937)</f>
        <v>175621937</v>
      </c>
      <c r="G53" s="16" t="str">
        <f ca="1">IFERROR(__xludf.DUMMYFUNCTION("""COMPUTED_VALUE""")," 100% Girado ")</f>
        <v xml:space="preserve"> 100% Girado </v>
      </c>
      <c r="H53" s="16">
        <f ca="1">IFERROR(__xludf.DUMMYFUNCTION("""COMPUTED_VALUE"""),175621937)</f>
        <v>175621937</v>
      </c>
      <c r="I53" s="83" t="s">
        <v>48</v>
      </c>
      <c r="J53" s="22"/>
      <c r="K53" s="16"/>
      <c r="L53" s="16"/>
      <c r="M53" s="16"/>
      <c r="N53" s="21">
        <f ca="1">IFERROR(__xludf.DUMMYFUNCTION("""COMPUTED_VALUE"""),175621937)</f>
        <v>175621937</v>
      </c>
      <c r="O53" s="19"/>
      <c r="P53" s="19"/>
      <c r="Q53" s="19"/>
      <c r="R53" s="19"/>
      <c r="S53" s="19"/>
      <c r="T53" s="19"/>
      <c r="U53" s="19"/>
      <c r="V53" s="59">
        <f ca="1">IFERROR(__xludf.DUMMYFUNCTION("""COMPUTED_VALUE"""),175621937)</f>
        <v>175621937</v>
      </c>
      <c r="W53" s="20"/>
      <c r="X53" s="43" t="str">
        <f ca="1">IFERROR(__xludf.DUMMYFUNCTION("""COMPUTED_VALUE"""),"MUNICIPALIDAD DE ÑUÑOA")</f>
        <v>MUNICIPALIDAD DE ÑUÑOA</v>
      </c>
    </row>
    <row r="54" spans="1:24" ht="15.75" customHeight="1" x14ac:dyDescent="0.25">
      <c r="A54" s="16" t="str">
        <f ca="1">IFERROR(__xludf.DUMMYFUNCTION("""COMPUTED_VALUE""")," REGIÓN METROPOLITANA ")</f>
        <v xml:space="preserve"> REGIÓN METROPOLITANA </v>
      </c>
      <c r="B54" s="16" t="str">
        <f t="shared" ca="1" si="0"/>
        <v xml:space="preserve"> ÑUÑOA</v>
      </c>
      <c r="C54" s="16" t="str">
        <f ca="1">IFERROR(__xludf.DUMMYFUNCTION("""COMPUTED_VALUE""")," MEJORAMIENTO PASEO ÑUBLE - COMUNA DE ÑUÑOA ")</f>
        <v xml:space="preserve"> MEJORAMIENTO PASEO ÑUBLE - COMUNA DE ÑUÑOA </v>
      </c>
      <c r="D54" s="40" t="str">
        <f ca="1">IFERROR(__xludf.DUMMYFUNCTION("""COMPUTED_VALUE"""),"100% Girado")</f>
        <v>100% Girado</v>
      </c>
      <c r="E54" s="17">
        <f ca="1">IFERROR(__xludf.DUMMYFUNCTION("""COMPUTED_VALUE"""),45420)</f>
        <v>45420</v>
      </c>
      <c r="F54" s="21">
        <f ca="1">IFERROR(__xludf.DUMMYFUNCTION("""COMPUTED_VALUE"""),222477165)</f>
        <v>222477165</v>
      </c>
      <c r="G54" s="16" t="str">
        <f ca="1">IFERROR(__xludf.DUMMYFUNCTION("""COMPUTED_VALUE""")," 100% Girado ")</f>
        <v xml:space="preserve"> 100% Girado </v>
      </c>
      <c r="H54" s="16">
        <f ca="1">IFERROR(__xludf.DUMMYFUNCTION("""COMPUTED_VALUE"""),222477165)</f>
        <v>222477165</v>
      </c>
      <c r="I54" s="83" t="s">
        <v>48</v>
      </c>
      <c r="J54" s="22"/>
      <c r="K54" s="16"/>
      <c r="L54" s="16"/>
      <c r="M54" s="16"/>
      <c r="N54" s="21">
        <f ca="1">IFERROR(__xludf.DUMMYFUNCTION("""COMPUTED_VALUE"""),222477165)</f>
        <v>222477165</v>
      </c>
      <c r="O54" s="19"/>
      <c r="P54" s="19"/>
      <c r="Q54" s="19"/>
      <c r="R54" s="19"/>
      <c r="S54" s="19"/>
      <c r="T54" s="19"/>
      <c r="U54" s="19"/>
      <c r="V54" s="59">
        <f ca="1">IFERROR(__xludf.DUMMYFUNCTION("""COMPUTED_VALUE"""),222477165)</f>
        <v>222477165</v>
      </c>
      <c r="W54" s="20"/>
      <c r="X54" s="43" t="str">
        <f ca="1">IFERROR(__xludf.DUMMYFUNCTION("""COMPUTED_VALUE"""),"MUNICIPALIDAD DE ÑUÑOA")</f>
        <v>MUNICIPALIDAD DE ÑUÑOA</v>
      </c>
    </row>
    <row r="55" spans="1:24" ht="15.75" customHeight="1" x14ac:dyDescent="0.25">
      <c r="A55" s="16" t="str">
        <f ca="1">IFERROR(__xludf.DUMMYFUNCTION("""COMPUTED_VALUE""")," REGIÓN METROPOLITANA ")</f>
        <v xml:space="preserve"> REGIÓN METROPOLITANA </v>
      </c>
      <c r="B55" s="16" t="str">
        <f t="shared" ca="1" si="0"/>
        <v xml:space="preserve"> PROVIDENCIA</v>
      </c>
      <c r="C55" s="16" t="str">
        <f ca="1">IFERROR(__xludf.DUMMYFUNCTION("""COMPUTED_VALUE""")," EJECUCIÓN ""MEJORAMIENTO SANTA ISABEL ENTRE B. VICUÑA MACKENNA Y GENERAL BUSTAMANTE, PROVIDENCIA"" ")</f>
        <v xml:space="preserve"> EJECUCIÓN "MEJORAMIENTO SANTA ISABEL ENTRE B. VICUÑA MACKENNA Y GENERAL BUSTAMANTE, PROVIDENCIA" </v>
      </c>
      <c r="D55" s="40" t="str">
        <f ca="1">IFERROR(__xludf.DUMMYFUNCTION("""COMPUTED_VALUE"""),"En Ejecución")</f>
        <v>En Ejecución</v>
      </c>
      <c r="E55" s="17">
        <f ca="1">IFERROR(__xludf.DUMMYFUNCTION("""COMPUTED_VALUE"""),44620)</f>
        <v>44620</v>
      </c>
      <c r="F55" s="21">
        <f ca="1">IFERROR(__xludf.DUMMYFUNCTION("""COMPUTED_VALUE"""),753708969)</f>
        <v>753708969</v>
      </c>
      <c r="G55" s="16" t="str">
        <f ca="1">IFERROR(__xludf.DUMMYFUNCTION("""COMPUTED_VALUE""")," En Ejecución ")</f>
        <v xml:space="preserve"> En Ejecución </v>
      </c>
      <c r="H55" s="16">
        <f ca="1">IFERROR(__xludf.DUMMYFUNCTION("""COMPUTED_VALUE"""),271155247)</f>
        <v>271155247</v>
      </c>
      <c r="I55" s="83" t="s">
        <v>48</v>
      </c>
      <c r="J55" s="22"/>
      <c r="K55" s="16"/>
      <c r="L55" s="16"/>
      <c r="M55" s="16"/>
      <c r="N55" s="19"/>
      <c r="O55" s="19"/>
      <c r="P55" s="19"/>
      <c r="Q55" s="21">
        <f ca="1">IFERROR(__xludf.DUMMYFUNCTION("""COMPUTED_VALUE"""),271155247)</f>
        <v>271155247</v>
      </c>
      <c r="R55" s="19"/>
      <c r="S55" s="19"/>
      <c r="T55" s="19"/>
      <c r="U55" s="19"/>
      <c r="V55" s="59">
        <f ca="1">IFERROR(__xludf.DUMMYFUNCTION("""COMPUTED_VALUE"""),271155247)</f>
        <v>271155247</v>
      </c>
      <c r="W55" s="20"/>
      <c r="X55" s="43" t="str">
        <f ca="1">IFERROR(__xludf.DUMMYFUNCTION("""COMPUTED_VALUE"""),"MUNICIPALIDAD DE PROVIDENCIA")</f>
        <v>MUNICIPALIDAD DE PROVIDENCIA</v>
      </c>
    </row>
    <row r="56" spans="1:24" ht="15.75" customHeight="1" x14ac:dyDescent="0.25">
      <c r="A56" s="16" t="str">
        <f ca="1">IFERROR(__xludf.DUMMYFUNCTION("""COMPUTED_VALUE""")," REGIÓN METROPOLITANA ")</f>
        <v xml:space="preserve"> REGIÓN METROPOLITANA </v>
      </c>
      <c r="B56" s="16" t="str">
        <f t="shared" ca="1" si="0"/>
        <v xml:space="preserve"> PROVIDENCIA</v>
      </c>
      <c r="C56" s="16" t="str">
        <f ca="1">IFERROR(__xludf.DUMMYFUNCTION("""COMPUTED_VALUE""")," TERRAZAS PRO: BELLAVISTA ")</f>
        <v xml:space="preserve"> TERRAZAS PRO: BELLAVISTA </v>
      </c>
      <c r="D56" s="40" t="str">
        <f ca="1">IFERROR(__xludf.DUMMYFUNCTION("""COMPUTED_VALUE"""),"100% Girado")</f>
        <v>100% Girado</v>
      </c>
      <c r="E56" s="17">
        <f ca="1">IFERROR(__xludf.DUMMYFUNCTION("""COMPUTED_VALUE"""),44524)</f>
        <v>44524</v>
      </c>
      <c r="F56" s="21">
        <f ca="1">IFERROR(__xludf.DUMMYFUNCTION("""COMPUTED_VALUE"""),138463938)</f>
        <v>138463938</v>
      </c>
      <c r="G56" s="16" t="str">
        <f ca="1">IFERROR(__xludf.DUMMYFUNCTION("""COMPUTED_VALUE""")," 100% Girado ")</f>
        <v xml:space="preserve"> 100% Girado </v>
      </c>
      <c r="H56" s="16">
        <f ca="1">IFERROR(__xludf.DUMMYFUNCTION("""COMPUTED_VALUE"""),45927843)</f>
        <v>45927843</v>
      </c>
      <c r="I56" s="83" t="s">
        <v>48</v>
      </c>
      <c r="J56" s="22"/>
      <c r="K56" s="16"/>
      <c r="L56" s="16"/>
      <c r="M56" s="16"/>
      <c r="N56" s="19"/>
      <c r="O56" s="19"/>
      <c r="P56" s="21">
        <f ca="1">IFERROR(__xludf.DUMMYFUNCTION("""COMPUTED_VALUE"""),45927843)</f>
        <v>45927843</v>
      </c>
      <c r="Q56" s="19"/>
      <c r="R56" s="19"/>
      <c r="S56" s="19"/>
      <c r="T56" s="19"/>
      <c r="U56" s="19"/>
      <c r="V56" s="59">
        <f ca="1">IFERROR(__xludf.DUMMYFUNCTION("""COMPUTED_VALUE"""),45927843)</f>
        <v>45927843</v>
      </c>
      <c r="W56" s="20"/>
      <c r="X56" s="43" t="str">
        <f ca="1">IFERROR(__xludf.DUMMYFUNCTION("""COMPUTED_VALUE"""),"MUNICIPALIDAD DE PROVIDENCIA")</f>
        <v>MUNICIPALIDAD DE PROVIDENCIA</v>
      </c>
    </row>
    <row r="57" spans="1:24" ht="15.75" customHeight="1" x14ac:dyDescent="0.25">
      <c r="A57" s="16" t="str">
        <f ca="1">IFERROR(__xludf.DUMMYFUNCTION("""COMPUTED_VALUE""")," REGIÓN METROPOLITANA ")</f>
        <v xml:space="preserve"> REGIÓN METROPOLITANA </v>
      </c>
      <c r="B57" s="16" t="str">
        <f t="shared" ca="1" si="0"/>
        <v xml:space="preserve"> PROVIDENCIA</v>
      </c>
      <c r="C57" s="16" t="str">
        <f ca="1">IFERROR(__xludf.DUMMYFUNCTION("""COMPUTED_VALUE""")," DISEÑO Y ESPECIALIDADES DEL PROYECTO “MEJORAMIENTO INTEGRAL CALLE MANUEL MONTT” ")</f>
        <v xml:space="preserve"> DISEÑO Y ESPECIALIDADES DEL PROYECTO “MEJORAMIENTO INTEGRAL CALLE MANUEL MONTT” </v>
      </c>
      <c r="D57" s="40" t="str">
        <f ca="1">IFERROR(__xludf.DUMMYFUNCTION("""COMPUTED_VALUE"""),"En Ejecución")</f>
        <v>En Ejecución</v>
      </c>
      <c r="E57" s="17">
        <f ca="1">IFERROR(__xludf.DUMMYFUNCTION("""COMPUTED_VALUE"""),43768)</f>
        <v>43768</v>
      </c>
      <c r="F57" s="21">
        <f ca="1">IFERROR(__xludf.DUMMYFUNCTION("""COMPUTED_VALUE"""),151012956)</f>
        <v>151012956</v>
      </c>
      <c r="G57" s="16" t="str">
        <f ca="1">IFERROR(__xludf.DUMMYFUNCTION("""COMPUTED_VALUE""")," En Ejecución ")</f>
        <v xml:space="preserve"> En Ejecución </v>
      </c>
      <c r="H57" s="16">
        <f ca="1">IFERROR(__xludf.DUMMYFUNCTION("""COMPUTED_VALUE"""),0)</f>
        <v>0</v>
      </c>
      <c r="I57" s="83" t="s">
        <v>48</v>
      </c>
      <c r="J57" s="22"/>
      <c r="K57" s="16"/>
      <c r="L57" s="16"/>
      <c r="M57" s="16"/>
      <c r="N57" s="19"/>
      <c r="O57" s="19"/>
      <c r="P57" s="19"/>
      <c r="Q57" s="19"/>
      <c r="R57" s="19"/>
      <c r="S57" s="19"/>
      <c r="T57" s="19"/>
      <c r="U57" s="19"/>
      <c r="V57" s="59">
        <f ca="1">IFERROR(__xludf.DUMMYFUNCTION("""COMPUTED_VALUE"""),0)</f>
        <v>0</v>
      </c>
      <c r="W57" s="20"/>
      <c r="X57" s="43" t="str">
        <f ca="1">IFERROR(__xludf.DUMMYFUNCTION("""COMPUTED_VALUE"""),"MUNICIPALIDAD DE PROVIDENCIA")</f>
        <v>MUNICIPALIDAD DE PROVIDENCIA</v>
      </c>
    </row>
    <row r="58" spans="1:24" ht="15.75" customHeight="1" x14ac:dyDescent="0.25">
      <c r="A58" s="16" t="str">
        <f ca="1">IFERROR(__xludf.DUMMYFUNCTION("""COMPUTED_VALUE""")," REGIÓN METROPOLITANA ")</f>
        <v xml:space="preserve"> REGIÓN METROPOLITANA </v>
      </c>
      <c r="B58" s="16" t="str">
        <f t="shared" ca="1" si="0"/>
        <v xml:space="preserve"> PROVIDENCIA</v>
      </c>
      <c r="C58" s="16" t="str">
        <f ca="1">IFERROR(__xludf.DUMMYFUNCTION("""COMPUTED_VALUE""")," DISEÑO Y ESPECIALIDADES DEL PARQUE BUSTAMANTE ")</f>
        <v xml:space="preserve"> DISEÑO Y ESPECIALIDADES DEL PARQUE BUSTAMANTE </v>
      </c>
      <c r="D58" s="40" t="str">
        <f ca="1">IFERROR(__xludf.DUMMYFUNCTION("""COMPUTED_VALUE"""),"En Ejecución")</f>
        <v>En Ejecución</v>
      </c>
      <c r="E58" s="17">
        <f ca="1">IFERROR(__xludf.DUMMYFUNCTION("""COMPUTED_VALUE"""),44096)</f>
        <v>44096</v>
      </c>
      <c r="F58" s="21">
        <f ca="1">IFERROR(__xludf.DUMMYFUNCTION("""COMPUTED_VALUE"""),214253956)</f>
        <v>214253956</v>
      </c>
      <c r="G58" s="16" t="str">
        <f ca="1">IFERROR(__xludf.DUMMYFUNCTION("""COMPUTED_VALUE""")," En Ejecución ")</f>
        <v xml:space="preserve"> En Ejecución </v>
      </c>
      <c r="H58" s="16">
        <f ca="1">IFERROR(__xludf.DUMMYFUNCTION("""COMPUTED_VALUE"""),0)</f>
        <v>0</v>
      </c>
      <c r="I58" s="83" t="s">
        <v>48</v>
      </c>
      <c r="J58" s="22"/>
      <c r="K58" s="16"/>
      <c r="L58" s="16"/>
      <c r="M58" s="16"/>
      <c r="N58" s="19"/>
      <c r="O58" s="19"/>
      <c r="P58" s="19"/>
      <c r="Q58" s="19"/>
      <c r="R58" s="19"/>
      <c r="S58" s="19"/>
      <c r="T58" s="19"/>
      <c r="U58" s="19"/>
      <c r="V58" s="59">
        <f ca="1">IFERROR(__xludf.DUMMYFUNCTION("""COMPUTED_VALUE"""),0)</f>
        <v>0</v>
      </c>
      <c r="W58" s="20"/>
      <c r="X58" s="43" t="str">
        <f ca="1">IFERROR(__xludf.DUMMYFUNCTION("""COMPUTED_VALUE"""),"MUNICIPALIDAD DE PROVIDENCIA")</f>
        <v>MUNICIPALIDAD DE PROVIDENCIA</v>
      </c>
    </row>
    <row r="59" spans="1:24" ht="15.75" customHeight="1" x14ac:dyDescent="0.25">
      <c r="A59" s="16" t="str">
        <f ca="1">IFERROR(__xludf.DUMMYFUNCTION("""COMPUTED_VALUE""")," REGIÓN METROPOLITANA ")</f>
        <v xml:space="preserve"> REGIÓN METROPOLITANA </v>
      </c>
      <c r="B59" s="16" t="str">
        <f t="shared" ca="1" si="0"/>
        <v xml:space="preserve"> PROVIDENCIA</v>
      </c>
      <c r="C59" s="16" t="str">
        <f ca="1">IFERROR(__xludf.DUMMYFUNCTION("""COMPUTED_VALUE""")," BIBLIOLAB BELLAVISTA ")</f>
        <v xml:space="preserve"> BIBLIOLAB BELLAVISTA </v>
      </c>
      <c r="D59" s="40" t="str">
        <f ca="1">IFERROR(__xludf.DUMMYFUNCTION("""COMPUTED_VALUE"""),"Con Giro por Anticipo")</f>
        <v>Con Giro por Anticipo</v>
      </c>
      <c r="E59" s="17">
        <f ca="1">IFERROR(__xludf.DUMMYFUNCTION("""COMPUTED_VALUE"""),44524)</f>
        <v>44524</v>
      </c>
      <c r="F59" s="21">
        <f ca="1">IFERROR(__xludf.DUMMYFUNCTION("""COMPUTED_VALUE"""),100000000)</f>
        <v>100000000</v>
      </c>
      <c r="G59" s="16" t="str">
        <f ca="1">IFERROR(__xludf.DUMMYFUNCTION("""COMPUTED_VALUE""")," Con Giro por Anticipo ")</f>
        <v xml:space="preserve"> Con Giro por Anticipo </v>
      </c>
      <c r="H59" s="16">
        <f ca="1">IFERROR(__xludf.DUMMYFUNCTION("""COMPUTED_VALUE"""),0)</f>
        <v>0</v>
      </c>
      <c r="I59" s="83" t="s">
        <v>48</v>
      </c>
      <c r="J59" s="22"/>
      <c r="K59" s="16"/>
      <c r="L59" s="16"/>
      <c r="M59" s="16"/>
      <c r="N59" s="19"/>
      <c r="O59" s="19"/>
      <c r="P59" s="19"/>
      <c r="Q59" s="19"/>
      <c r="R59" s="19"/>
      <c r="S59" s="19"/>
      <c r="T59" s="19"/>
      <c r="U59" s="19"/>
      <c r="V59" s="59">
        <f ca="1">IFERROR(__xludf.DUMMYFUNCTION("""COMPUTED_VALUE"""),0)</f>
        <v>0</v>
      </c>
      <c r="W59" s="20"/>
      <c r="X59" s="43" t="str">
        <f ca="1">IFERROR(__xludf.DUMMYFUNCTION("""COMPUTED_VALUE"""),"MUNICIPALIDAD DE PROVIDENCIA")</f>
        <v>MUNICIPALIDAD DE PROVIDENCIA</v>
      </c>
    </row>
    <row r="60" spans="1:24" ht="15.75" customHeight="1" x14ac:dyDescent="0.25">
      <c r="A60" s="16" t="str">
        <f ca="1">IFERROR(__xludf.DUMMYFUNCTION("""COMPUTED_VALUE""")," REGIÓN METROPOLITANA ")</f>
        <v xml:space="preserve"> REGIÓN METROPOLITANA </v>
      </c>
      <c r="B60" s="16" t="str">
        <f t="shared" ca="1" si="0"/>
        <v xml:space="preserve"> PROVIDENCIA</v>
      </c>
      <c r="C60" s="16" t="str">
        <f ca="1">IFERROR(__xludf.DUMMYFUNCTION("""COMPUTED_VALUE""")," “ESPACIOS COMUNES” EN BARRIO PARQUES BUSTAMANTE – BALMACEDA ")</f>
        <v xml:space="preserve"> “ESPACIOS COMUNES” EN BARRIO PARQUES BUSTAMANTE – BALMACEDA </v>
      </c>
      <c r="D60" s="40" t="str">
        <f ca="1">IFERROR(__xludf.DUMMYFUNCTION("""COMPUTED_VALUE"""),"100% Girado")</f>
        <v>100% Girado</v>
      </c>
      <c r="E60" s="17">
        <f ca="1">IFERROR(__xludf.DUMMYFUNCTION("""COMPUTED_VALUE"""),44186)</f>
        <v>44186</v>
      </c>
      <c r="F60" s="21">
        <f ca="1">IFERROR(__xludf.DUMMYFUNCTION("""COMPUTED_VALUE"""),47581110)</f>
        <v>47581110</v>
      </c>
      <c r="G60" s="16" t="str">
        <f ca="1">IFERROR(__xludf.DUMMYFUNCTION("""COMPUTED_VALUE""")," 100% Girado ")</f>
        <v xml:space="preserve"> 100% Girado </v>
      </c>
      <c r="H60" s="16">
        <f ca="1">IFERROR(__xludf.DUMMYFUNCTION("""COMPUTED_VALUE"""),32143100)</f>
        <v>32143100</v>
      </c>
      <c r="I60" s="83" t="s">
        <v>48</v>
      </c>
      <c r="J60" s="22"/>
      <c r="K60" s="16"/>
      <c r="L60" s="16"/>
      <c r="M60" s="16"/>
      <c r="N60" s="21">
        <f ca="1">IFERROR(__xludf.DUMMYFUNCTION("""COMPUTED_VALUE"""),32143100)</f>
        <v>32143100</v>
      </c>
      <c r="O60" s="19"/>
      <c r="P60" s="19"/>
      <c r="Q60" s="19"/>
      <c r="R60" s="19"/>
      <c r="S60" s="19"/>
      <c r="T60" s="19"/>
      <c r="U60" s="19"/>
      <c r="V60" s="59">
        <f ca="1">IFERROR(__xludf.DUMMYFUNCTION("""COMPUTED_VALUE"""),32143100)</f>
        <v>32143100</v>
      </c>
      <c r="W60" s="20"/>
      <c r="X60" s="43" t="str">
        <f ca="1">IFERROR(__xludf.DUMMYFUNCTION("""COMPUTED_VALUE"""),"MUNICIPALIDAD DE PROVIDENCIA")</f>
        <v>MUNICIPALIDAD DE PROVIDENCIA</v>
      </c>
    </row>
    <row r="61" spans="1:24" ht="15.75" customHeight="1" x14ac:dyDescent="0.25">
      <c r="A61" s="16" t="str">
        <f ca="1">IFERROR(__xludf.DUMMYFUNCTION("""COMPUTED_VALUE""")," REGIÓN METROPOLITANA ")</f>
        <v xml:space="preserve"> REGIÓN METROPOLITANA </v>
      </c>
      <c r="B61" s="16" t="str">
        <f t="shared" ca="1" si="0"/>
        <v xml:space="preserve"> PROVIDENCIA</v>
      </c>
      <c r="C61" s="16" t="str">
        <f ca="1">IFERROR(__xludf.DUMMYFUNCTION("""COMPUTED_VALUE""")," PROYECTO EQUIPO PRBIPE COMUNAL 2024 ")</f>
        <v xml:space="preserve"> PROYECTO EQUIPO PRBIPE COMUNAL 2024 </v>
      </c>
      <c r="D61" s="40" t="str">
        <f ca="1">IFERROR(__xludf.DUMMYFUNCTION("""COMPUTED_VALUE"""),"En Ejecución")</f>
        <v>En Ejecución</v>
      </c>
      <c r="E61" s="17">
        <f ca="1">IFERROR(__xludf.DUMMYFUNCTION("""COMPUTED_VALUE"""),45281)</f>
        <v>45281</v>
      </c>
      <c r="F61" s="21">
        <f ca="1">IFERROR(__xludf.DUMMYFUNCTION("""COMPUTED_VALUE"""),249134400)</f>
        <v>249134400</v>
      </c>
      <c r="G61" s="16" t="str">
        <f ca="1">IFERROR(__xludf.DUMMYFUNCTION("""COMPUTED_VALUE""")," En Ejecución ")</f>
        <v xml:space="preserve"> En Ejecución </v>
      </c>
      <c r="H61" s="16">
        <f ca="1">IFERROR(__xludf.DUMMYFUNCTION("""COMPUTED_VALUE"""),0)</f>
        <v>0</v>
      </c>
      <c r="I61" s="83" t="s">
        <v>48</v>
      </c>
      <c r="J61" s="22"/>
      <c r="K61" s="16"/>
      <c r="L61" s="16"/>
      <c r="M61" s="16"/>
      <c r="N61" s="19"/>
      <c r="O61" s="19"/>
      <c r="P61" s="19"/>
      <c r="Q61" s="19"/>
      <c r="R61" s="19"/>
      <c r="S61" s="19"/>
      <c r="T61" s="19"/>
      <c r="U61" s="19"/>
      <c r="V61" s="59">
        <f ca="1">IFERROR(__xludf.DUMMYFUNCTION("""COMPUTED_VALUE"""),0)</f>
        <v>0</v>
      </c>
      <c r="W61" s="20"/>
      <c r="X61" s="43" t="str">
        <f ca="1">IFERROR(__xludf.DUMMYFUNCTION("""COMPUTED_VALUE"""),"MUNICIPALIDAD DE PROVIDENCIA")</f>
        <v>MUNICIPALIDAD DE PROVIDENCIA</v>
      </c>
    </row>
    <row r="62" spans="1:24" ht="15.75" customHeight="1" x14ac:dyDescent="0.25">
      <c r="A62" s="16" t="str">
        <f ca="1">IFERROR(__xludf.DUMMYFUNCTION("""COMPUTED_VALUE""")," REGIÓN METROPOLITANA ")</f>
        <v xml:space="preserve"> REGIÓN METROPOLITANA </v>
      </c>
      <c r="B62" s="16" t="str">
        <f t="shared" ca="1" si="0"/>
        <v xml:space="preserve"> PROVIDENCIA</v>
      </c>
      <c r="C62" s="16" t="str">
        <f ca="1">IFERROR(__xludf.DUMMYFUNCTION("""COMPUTED_VALUE""")," MEJORAMIENTO PLACA COMERCIAL UNIDAD VECINAL PROVIDENCIA, COMUNA DE PROVIDENCIA ")</f>
        <v xml:space="preserve"> MEJORAMIENTO PLACA COMERCIAL UNIDAD VECINAL PROVIDENCIA, COMUNA DE PROVIDENCIA </v>
      </c>
      <c r="D62" s="40" t="str">
        <f ca="1">IFERROR(__xludf.DUMMYFUNCTION("""COMPUTED_VALUE"""),"Con Giro por Anticipo")</f>
        <v>Con Giro por Anticipo</v>
      </c>
      <c r="E62" s="17">
        <f ca="1">IFERROR(__xludf.DUMMYFUNCTION("""COMPUTED_VALUE"""),45385)</f>
        <v>45385</v>
      </c>
      <c r="F62" s="21">
        <f ca="1">IFERROR(__xludf.DUMMYFUNCTION("""COMPUTED_VALUE"""),767519129)</f>
        <v>767519129</v>
      </c>
      <c r="G62" s="16" t="str">
        <f ca="1">IFERROR(__xludf.DUMMYFUNCTION("""COMPUTED_VALUE""")," Con Giro por Anticipo ")</f>
        <v xml:space="preserve"> Con Giro por Anticipo </v>
      </c>
      <c r="H62" s="16">
        <f ca="1">IFERROR(__xludf.DUMMYFUNCTION("""COMPUTED_VALUE"""),383759565)</f>
        <v>383759565</v>
      </c>
      <c r="I62" s="83" t="s">
        <v>48</v>
      </c>
      <c r="J62" s="22"/>
      <c r="K62" s="16"/>
      <c r="L62" s="16"/>
      <c r="M62" s="16">
        <f ca="1">IFERROR(__xludf.DUMMYFUNCTION("""COMPUTED_VALUE"""),383759565)</f>
        <v>383759565</v>
      </c>
      <c r="N62" s="19"/>
      <c r="O62" s="19"/>
      <c r="P62" s="19"/>
      <c r="Q62" s="19"/>
      <c r="R62" s="19"/>
      <c r="S62" s="19"/>
      <c r="T62" s="19"/>
      <c r="U62" s="19"/>
      <c r="V62" s="59">
        <f ca="1">IFERROR(__xludf.DUMMYFUNCTION("""COMPUTED_VALUE"""),383759565)</f>
        <v>383759565</v>
      </c>
      <c r="W62" s="20"/>
      <c r="X62" s="43" t="str">
        <f ca="1">IFERROR(__xludf.DUMMYFUNCTION("""COMPUTED_VALUE"""),"MUNICIPALIDAD DE PROVIDENCIA")</f>
        <v>MUNICIPALIDAD DE PROVIDENCIA</v>
      </c>
    </row>
    <row r="63" spans="1:24" ht="15.75" customHeight="1" x14ac:dyDescent="0.25">
      <c r="A63" s="16" t="str">
        <f ca="1">IFERROR(__xludf.DUMMYFUNCTION("""COMPUTED_VALUE""")," REGIÓN METROPOLITANA ")</f>
        <v xml:space="preserve"> REGIÓN METROPOLITANA </v>
      </c>
      <c r="B63" s="16" t="str">
        <f t="shared" ca="1" si="0"/>
        <v xml:space="preserve"> QUINTA NORMAL</v>
      </c>
      <c r="C63" s="16" t="str">
        <f ca="1">IFERROR(__xludf.DUMMYFUNCTION("""COMPUTED_VALUE""")," FORTALECIMIENTO MUNICIPAL REVIVE QUINTA NORMAL 2024 ")</f>
        <v xml:space="preserve"> FORTALECIMIENTO MUNICIPAL REVIVE QUINTA NORMAL 2024 </v>
      </c>
      <c r="D63" s="40" t="str">
        <f ca="1">IFERROR(__xludf.DUMMYFUNCTION("""COMPUTED_VALUE"""),"En Ejecución")</f>
        <v>En Ejecución</v>
      </c>
      <c r="E63" s="17">
        <f ca="1">IFERROR(__xludf.DUMMYFUNCTION("""COMPUTED_VALUE"""),45282)</f>
        <v>45282</v>
      </c>
      <c r="F63" s="21">
        <f ca="1">IFERROR(__xludf.DUMMYFUNCTION("""COMPUTED_VALUE"""),115200000)</f>
        <v>115200000</v>
      </c>
      <c r="G63" s="16" t="str">
        <f ca="1">IFERROR(__xludf.DUMMYFUNCTION("""COMPUTED_VALUE""")," En Ejecución ")</f>
        <v xml:space="preserve"> En Ejecución </v>
      </c>
      <c r="H63" s="16">
        <f ca="1">IFERROR(__xludf.DUMMYFUNCTION("""COMPUTED_VALUE"""),0)</f>
        <v>0</v>
      </c>
      <c r="I63" s="83" t="s">
        <v>48</v>
      </c>
      <c r="J63" s="22"/>
      <c r="K63" s="16"/>
      <c r="L63" s="16"/>
      <c r="M63" s="16"/>
      <c r="N63" s="19"/>
      <c r="O63" s="19"/>
      <c r="P63" s="19"/>
      <c r="Q63" s="19"/>
      <c r="R63" s="19"/>
      <c r="S63" s="19"/>
      <c r="T63" s="19"/>
      <c r="U63" s="19"/>
      <c r="V63" s="59">
        <f ca="1">IFERROR(__xludf.DUMMYFUNCTION("""COMPUTED_VALUE"""),0)</f>
        <v>0</v>
      </c>
      <c r="W63" s="20"/>
      <c r="X63" s="43" t="str">
        <f ca="1">IFERROR(__xludf.DUMMYFUNCTION("""COMPUTED_VALUE"""),"MUNICIPALIDAD DE QUINTA NORMAL")</f>
        <v>MUNICIPALIDAD DE QUINTA NORMAL</v>
      </c>
    </row>
    <row r="64" spans="1:24" ht="15.75" customHeight="1" x14ac:dyDescent="0.25">
      <c r="A64" s="16" t="str">
        <f ca="1">IFERROR(__xludf.DUMMYFUNCTION("""COMPUTED_VALUE""")," REGIÓN METROPOLITANA ")</f>
        <v xml:space="preserve"> REGIÓN METROPOLITANA </v>
      </c>
      <c r="B64" s="16" t="str">
        <f t="shared" ca="1" si="0"/>
        <v xml:space="preserve"> QUINTA NORMAL</v>
      </c>
      <c r="C64" s="16" t="str">
        <f ca="1">IFERROR(__xludf.DUMMYFUNCTION("""COMPUTED_VALUE""")," MEJORAMIENTO PASEO PEATONAL LOURDES, COMUNA DE QUINTA NORMAL ")</f>
        <v xml:space="preserve"> MEJORAMIENTO PASEO PEATONAL LOURDES, COMUNA DE QUINTA NORMAL </v>
      </c>
      <c r="D64" s="40" t="str">
        <f ca="1">IFERROR(__xludf.DUMMYFUNCTION("""COMPUTED_VALUE"""),"Con Giro por Anticipo")</f>
        <v>Con Giro por Anticipo</v>
      </c>
      <c r="E64" s="17">
        <f ca="1">IFERROR(__xludf.DUMMYFUNCTION("""COMPUTED_VALUE"""),45401)</f>
        <v>45401</v>
      </c>
      <c r="F64" s="21">
        <f ca="1">IFERROR(__xludf.DUMMYFUNCTION("""COMPUTED_VALUE"""),311653995)</f>
        <v>311653995</v>
      </c>
      <c r="G64" s="16" t="str">
        <f ca="1">IFERROR(__xludf.DUMMYFUNCTION("""COMPUTED_VALUE""")," Con Giro por Anticipo ")</f>
        <v xml:space="preserve"> Con Giro por Anticipo </v>
      </c>
      <c r="H64" s="16">
        <f ca="1">IFERROR(__xludf.DUMMYFUNCTION("""COMPUTED_VALUE"""),155826998)</f>
        <v>155826998</v>
      </c>
      <c r="I64" s="83" t="s">
        <v>48</v>
      </c>
      <c r="J64" s="22"/>
      <c r="K64" s="16"/>
      <c r="L64" s="16"/>
      <c r="M64" s="16"/>
      <c r="N64" s="21">
        <f ca="1">IFERROR(__xludf.DUMMYFUNCTION("""COMPUTED_VALUE"""),155826998)</f>
        <v>155826998</v>
      </c>
      <c r="O64" s="19"/>
      <c r="P64" s="19"/>
      <c r="Q64" s="19"/>
      <c r="R64" s="19"/>
      <c r="S64" s="19"/>
      <c r="T64" s="19"/>
      <c r="U64" s="19"/>
      <c r="V64" s="59">
        <f ca="1">IFERROR(__xludf.DUMMYFUNCTION("""COMPUTED_VALUE"""),155826998)</f>
        <v>155826998</v>
      </c>
      <c r="W64" s="20"/>
      <c r="X64" s="43" t="str">
        <f ca="1">IFERROR(__xludf.DUMMYFUNCTION("""COMPUTED_VALUE"""),"MUNICIPALIDAD DE QUINTA NORMAL")</f>
        <v>MUNICIPALIDAD DE QUINTA NORMAL</v>
      </c>
    </row>
    <row r="65" spans="1:24" ht="15.75" customHeight="1" x14ac:dyDescent="0.25">
      <c r="A65" s="16" t="str">
        <f ca="1">IFERROR(__xludf.DUMMYFUNCTION("""COMPUTED_VALUE""")," REGIÓN METROPOLITANA ")</f>
        <v xml:space="preserve"> REGIÓN METROPOLITANA </v>
      </c>
      <c r="B65" s="16" t="str">
        <f t="shared" ca="1" si="0"/>
        <v xml:space="preserve"> QUINTA NORMAL</v>
      </c>
      <c r="C65" s="16" t="str">
        <f ca="1">IFERROR(__xludf.DUMMYFUNCTION("""COMPUTED_VALUE""")," FONDO CONCURSABLE FORTALECIMIENTO PEQUEÑOS LOCALES COMERCIALES BARRIO MATUCANA-LOURDES ")</f>
        <v xml:space="preserve"> FONDO CONCURSABLE FORTALECIMIENTO PEQUEÑOS LOCALES COMERCIALES BARRIO MATUCANA-LOURDES </v>
      </c>
      <c r="D65" s="40" t="str">
        <f ca="1">IFERROR(__xludf.DUMMYFUNCTION("""COMPUTED_VALUE"""),"100% Girado")</f>
        <v>100% Girado</v>
      </c>
      <c r="E65" s="17">
        <f ca="1">IFERROR(__xludf.DUMMYFUNCTION("""COMPUTED_VALUE"""),45517)</f>
        <v>45517</v>
      </c>
      <c r="F65" s="21">
        <f ca="1">IFERROR(__xludf.DUMMYFUNCTION("""COMPUTED_VALUE"""),268749705)</f>
        <v>268749705</v>
      </c>
      <c r="G65" s="16" t="str">
        <f ca="1">IFERROR(__xludf.DUMMYFUNCTION("""COMPUTED_VALUE""")," 100% Girado ")</f>
        <v xml:space="preserve"> 100% Girado </v>
      </c>
      <c r="H65" s="16">
        <f ca="1">IFERROR(__xludf.DUMMYFUNCTION("""COMPUTED_VALUE"""),268749705)</f>
        <v>268749705</v>
      </c>
      <c r="I65" s="83" t="s">
        <v>48</v>
      </c>
      <c r="J65" s="22"/>
      <c r="K65" s="16"/>
      <c r="L65" s="16"/>
      <c r="M65" s="16"/>
      <c r="N65" s="19"/>
      <c r="O65" s="19"/>
      <c r="P65" s="19"/>
      <c r="Q65" s="21">
        <f ca="1">IFERROR(__xludf.DUMMYFUNCTION("""COMPUTED_VALUE"""),268749705)</f>
        <v>268749705</v>
      </c>
      <c r="R65" s="19"/>
      <c r="S65" s="19"/>
      <c r="T65" s="19"/>
      <c r="U65" s="19"/>
      <c r="V65" s="59">
        <f ca="1">IFERROR(__xludf.DUMMYFUNCTION("""COMPUTED_VALUE"""),268749705)</f>
        <v>268749705</v>
      </c>
      <c r="W65" s="20"/>
      <c r="X65" s="43" t="str">
        <f ca="1">IFERROR(__xludf.DUMMYFUNCTION("""COMPUTED_VALUE"""),"MUNICIPALIDAD DE QUINTA NORMAL")</f>
        <v>MUNICIPALIDAD DE QUINTA NORMAL</v>
      </c>
    </row>
    <row r="66" spans="1:24" ht="15.75" customHeight="1" x14ac:dyDescent="0.25">
      <c r="A66" s="16" t="str">
        <f ca="1">IFERROR(__xludf.DUMMYFUNCTION("""COMPUTED_VALUE""")," REGIÓN DEL BIOBÍO ")</f>
        <v xml:space="preserve"> REGIÓN DEL BIOBÍO </v>
      </c>
      <c r="B66" s="16" t="str">
        <f t="shared" ca="1" si="0"/>
        <v xml:space="preserve"> SAN ROSENDO</v>
      </c>
      <c r="C66" s="16" t="str">
        <f ca="1">IFERROR(__xludf.DUMMYFUNCTION("""COMPUTED_VALUE""")," FORTALECIMIENTO MUNICIPAL EQUIPO REVIVE SAN ROSENDO 2024 ")</f>
        <v xml:space="preserve"> FORTALECIMIENTO MUNICIPAL EQUIPO REVIVE SAN ROSENDO 2024 </v>
      </c>
      <c r="D66" s="40" t="str">
        <f ca="1">IFERROR(__xludf.DUMMYFUNCTION("""COMPUTED_VALUE"""),"En Ejecución")</f>
        <v>En Ejecución</v>
      </c>
      <c r="E66" s="17">
        <f ca="1">IFERROR(__xludf.DUMMYFUNCTION("""COMPUTED_VALUE"""),45282)</f>
        <v>45282</v>
      </c>
      <c r="F66" s="21">
        <f ca="1">IFERROR(__xludf.DUMMYFUNCTION("""COMPUTED_VALUE"""),115200000)</f>
        <v>115200000</v>
      </c>
      <c r="G66" s="16" t="str">
        <f ca="1">IFERROR(__xludf.DUMMYFUNCTION("""COMPUTED_VALUE""")," En Ejecución ")</f>
        <v xml:space="preserve"> En Ejecución </v>
      </c>
      <c r="H66" s="16">
        <f ca="1">IFERROR(__xludf.DUMMYFUNCTION("""COMPUTED_VALUE"""),0)</f>
        <v>0</v>
      </c>
      <c r="I66" s="83" t="s">
        <v>48</v>
      </c>
      <c r="J66" s="22"/>
      <c r="K66" s="16"/>
      <c r="L66" s="16"/>
      <c r="M66" s="16"/>
      <c r="N66" s="19"/>
      <c r="O66" s="19"/>
      <c r="P66" s="19"/>
      <c r="Q66" s="19"/>
      <c r="R66" s="19"/>
      <c r="S66" s="19"/>
      <c r="T66" s="19"/>
      <c r="U66" s="19"/>
      <c r="V66" s="59">
        <f ca="1">IFERROR(__xludf.DUMMYFUNCTION("""COMPUTED_VALUE"""),0)</f>
        <v>0</v>
      </c>
      <c r="W66" s="20"/>
      <c r="X66" s="43" t="str">
        <f ca="1">IFERROR(__xludf.DUMMYFUNCTION("""COMPUTED_VALUE"""),"MUNICIPALIDAD DE SAN ROSENDO")</f>
        <v>MUNICIPALIDAD DE SAN ROSENDO</v>
      </c>
    </row>
    <row r="67" spans="1:24" ht="15.75" customHeight="1" x14ac:dyDescent="0.25">
      <c r="A67" s="16" t="str">
        <f ca="1">IFERROR(__xludf.DUMMYFUNCTION("""COMPUTED_VALUE""")," REGIÓN DEL BIOBÍO ")</f>
        <v xml:space="preserve"> REGIÓN DEL BIOBÍO </v>
      </c>
      <c r="B67" s="16" t="str">
        <f t="shared" ca="1" si="0"/>
        <v xml:space="preserve"> SAN ROSENDO</v>
      </c>
      <c r="C67" s="16" t="str">
        <f ca="1">IFERROR(__xludf.DUMMYFUNCTION("""COMPUTED_VALUE""")," CONMEMORACIÓN DÍA DE LOS PATRIMONIOS REVIVE SAN ROSENDO ")</f>
        <v xml:space="preserve"> CONMEMORACIÓN DÍA DE LOS PATRIMONIOS REVIVE SAN ROSENDO </v>
      </c>
      <c r="D67" s="40" t="str">
        <f ca="1">IFERROR(__xludf.DUMMYFUNCTION("""COMPUTED_VALUE"""),"100% Girado")</f>
        <v>100% Girado</v>
      </c>
      <c r="E67" s="17">
        <f ca="1">IFERROR(__xludf.DUMMYFUNCTION("""COMPUTED_VALUE"""),45401)</f>
        <v>45401</v>
      </c>
      <c r="F67" s="21">
        <f ca="1">IFERROR(__xludf.DUMMYFUNCTION("""COMPUTED_VALUE"""),50200000)</f>
        <v>50200000</v>
      </c>
      <c r="G67" s="16" t="str">
        <f ca="1">IFERROR(__xludf.DUMMYFUNCTION("""COMPUTED_VALUE""")," 100% Girado ")</f>
        <v xml:space="preserve"> 100% Girado </v>
      </c>
      <c r="H67" s="16">
        <f ca="1">IFERROR(__xludf.DUMMYFUNCTION("""COMPUTED_VALUE"""),50200000)</f>
        <v>50200000</v>
      </c>
      <c r="I67" s="83" t="s">
        <v>48</v>
      </c>
      <c r="J67" s="22"/>
      <c r="K67" s="16"/>
      <c r="L67" s="16"/>
      <c r="M67" s="16">
        <f ca="1">IFERROR(__xludf.DUMMYFUNCTION("""COMPUTED_VALUE"""),50200000)</f>
        <v>50200000</v>
      </c>
      <c r="N67" s="19"/>
      <c r="O67" s="19"/>
      <c r="P67" s="19"/>
      <c r="Q67" s="19"/>
      <c r="R67" s="19"/>
      <c r="S67" s="19"/>
      <c r="T67" s="19"/>
      <c r="U67" s="19"/>
      <c r="V67" s="59">
        <f ca="1">IFERROR(__xludf.DUMMYFUNCTION("""COMPUTED_VALUE"""),50200000)</f>
        <v>50200000</v>
      </c>
      <c r="W67" s="20"/>
      <c r="X67" s="43" t="str">
        <f ca="1">IFERROR(__xludf.DUMMYFUNCTION("""COMPUTED_VALUE"""),"MUNICIPALIDAD DE SAN ROSENDO")</f>
        <v>MUNICIPALIDAD DE SAN ROSENDO</v>
      </c>
    </row>
    <row r="68" spans="1:24" ht="15.75" customHeight="1" x14ac:dyDescent="0.25">
      <c r="A68" s="16" t="str">
        <f ca="1">IFERROR(__xludf.DUMMYFUNCTION("""COMPUTED_VALUE""")," REGIÓN METROPOLITANA ")</f>
        <v xml:space="preserve"> REGIÓN METROPOLITANA </v>
      </c>
      <c r="B68" s="16" t="str">
        <f t="shared" ca="1" si="0"/>
        <v xml:space="preserve"> SANTIAGO</v>
      </c>
      <c r="C68" s="16" t="str">
        <f ca="1">IFERROR(__xludf.DUMMYFUNCTION("""COMPUTED_VALUE""")," FORTALECIMIENTO MUNICIPAL PROGRAMA DE REVITALIZACIÓN DE BARRIOS E INFRAESTRUCTURA PATRIMONIAL EMBLEMÁTICA SANTIAGO 2022 ")</f>
        <v xml:space="preserve"> FORTALECIMIENTO MUNICIPAL PROGRAMA DE REVITALIZACIÓN DE BARRIOS E INFRAESTRUCTURA PATRIMONIAL EMBLEMÁTICA SANTIAGO 2022 </v>
      </c>
      <c r="D68" s="40" t="str">
        <f ca="1">IFERROR(__xludf.DUMMYFUNCTION("""COMPUTED_VALUE"""),"En Ejecución")</f>
        <v>En Ejecución</v>
      </c>
      <c r="E68" s="17">
        <f ca="1">IFERROR(__xludf.DUMMYFUNCTION("""COMPUTED_VALUE"""),44536)</f>
        <v>44536</v>
      </c>
      <c r="F68" s="21">
        <f ca="1">IFERROR(__xludf.DUMMYFUNCTION("""COMPUTED_VALUE"""),213000000)</f>
        <v>213000000</v>
      </c>
      <c r="G68" s="16" t="str">
        <f ca="1">IFERROR(__xludf.DUMMYFUNCTION("""COMPUTED_VALUE""")," En Ejecución ")</f>
        <v xml:space="preserve"> En Ejecución </v>
      </c>
      <c r="H68" s="16">
        <f ca="1">IFERROR(__xludf.DUMMYFUNCTION("""COMPUTED_VALUE"""),11511500)</f>
        <v>11511500</v>
      </c>
      <c r="I68" s="83" t="s">
        <v>48</v>
      </c>
      <c r="J68" s="22"/>
      <c r="K68" s="16">
        <f ca="1">IFERROR(__xludf.DUMMYFUNCTION("""COMPUTED_VALUE"""),11511500)</f>
        <v>11511500</v>
      </c>
      <c r="L68" s="16"/>
      <c r="M68" s="16"/>
      <c r="N68" s="19"/>
      <c r="O68" s="19"/>
      <c r="P68" s="19"/>
      <c r="Q68" s="19"/>
      <c r="R68" s="19"/>
      <c r="S68" s="19"/>
      <c r="T68" s="19"/>
      <c r="U68" s="19"/>
      <c r="V68" s="59">
        <f ca="1">IFERROR(__xludf.DUMMYFUNCTION("""COMPUTED_VALUE"""),11511500)</f>
        <v>11511500</v>
      </c>
      <c r="W68" s="20"/>
      <c r="X68" s="43" t="str">
        <f ca="1">IFERROR(__xludf.DUMMYFUNCTION("""COMPUTED_VALUE"""),"MUNICIPALIDAD DE SANTIAGO")</f>
        <v>MUNICIPALIDAD DE SANTIAGO</v>
      </c>
    </row>
    <row r="69" spans="1:24" ht="15.75" customHeight="1" x14ac:dyDescent="0.25">
      <c r="A69" s="16" t="str">
        <f ca="1">IFERROR(__xludf.DUMMYFUNCTION("""COMPUTED_VALUE""")," REGIÓN METROPOLITANA ")</f>
        <v xml:space="preserve"> REGIÓN METROPOLITANA </v>
      </c>
      <c r="B69" s="16" t="str">
        <f t="shared" ca="1" si="0"/>
        <v xml:space="preserve"> SANTIAGO</v>
      </c>
      <c r="C69" s="16" t="str">
        <f ca="1">IFERROR(__xludf.DUMMYFUNCTION("""COMPUTED_VALUE""")," “SISTEMA DE TELEVIGILANCIA ÁREA DE INFLUENCIA Y PUNTOS CRÍTICOS POLÍGONO PORTALES-MATUCANA” ")</f>
        <v xml:space="preserve"> “SISTEMA DE TELEVIGILANCIA ÁREA DE INFLUENCIA Y PUNTOS CRÍTICOS POLÍGONO PORTALES-MATUCANA” </v>
      </c>
      <c r="D69" s="40" t="str">
        <f ca="1">IFERROR(__xludf.DUMMYFUNCTION("""COMPUTED_VALUE"""),"Con Giro por Anticipo")</f>
        <v>Con Giro por Anticipo</v>
      </c>
      <c r="E69" s="17">
        <f ca="1">IFERROR(__xludf.DUMMYFUNCTION("""COMPUTED_VALUE"""),44125)</f>
        <v>44125</v>
      </c>
      <c r="F69" s="21">
        <f ca="1">IFERROR(__xludf.DUMMYFUNCTION("""COMPUTED_VALUE"""),244949999)</f>
        <v>244949999</v>
      </c>
      <c r="G69" s="16" t="str">
        <f ca="1">IFERROR(__xludf.DUMMYFUNCTION("""COMPUTED_VALUE""")," Con Giro por Anticipo ")</f>
        <v xml:space="preserve"> Con Giro por Anticipo </v>
      </c>
      <c r="H69" s="16">
        <f ca="1">IFERROR(__xludf.DUMMYFUNCTION("""COMPUTED_VALUE"""),0)</f>
        <v>0</v>
      </c>
      <c r="I69" s="83" t="s">
        <v>48</v>
      </c>
      <c r="J69" s="22"/>
      <c r="K69" s="16"/>
      <c r="L69" s="16"/>
      <c r="M69" s="16"/>
      <c r="N69" s="19"/>
      <c r="O69" s="19"/>
      <c r="P69" s="19"/>
      <c r="Q69" s="19"/>
      <c r="R69" s="19"/>
      <c r="S69" s="19"/>
      <c r="T69" s="19"/>
      <c r="U69" s="19"/>
      <c r="V69" s="59">
        <f ca="1">IFERROR(__xludf.DUMMYFUNCTION("""COMPUTED_VALUE"""),0)</f>
        <v>0</v>
      </c>
      <c r="W69" s="20"/>
      <c r="X69" s="43" t="str">
        <f ca="1">IFERROR(__xludf.DUMMYFUNCTION("""COMPUTED_VALUE"""),"MUNICIPALIDAD DE SANTIAGO")</f>
        <v>MUNICIPALIDAD DE SANTIAGO</v>
      </c>
    </row>
    <row r="70" spans="1:24" ht="15.75" customHeight="1" x14ac:dyDescent="0.25">
      <c r="A70" s="16" t="str">
        <f ca="1">IFERROR(__xludf.DUMMYFUNCTION("""COMPUTED_VALUE""")," REGIÓN METROPOLITANA ")</f>
        <v xml:space="preserve"> REGIÓN METROPOLITANA </v>
      </c>
      <c r="B70" s="16" t="str">
        <f t="shared" ca="1" si="0"/>
        <v xml:space="preserve"> SANTIAGO</v>
      </c>
      <c r="C70" s="16" t="str">
        <f ca="1">IFERROR(__xludf.DUMMYFUNCTION("""COMPUTED_VALUE""")," “SISTEMA DE TELEVIGILANCIA ÁREA DE INFLUENCIA Y PUNTOS CRÍTICOS POLÍGONO MATTA-MADRID” ")</f>
        <v xml:space="preserve"> “SISTEMA DE TELEVIGILANCIA ÁREA DE INFLUENCIA Y PUNTOS CRÍTICOS POLÍGONO MATTA-MADRID” </v>
      </c>
      <c r="D70" s="40" t="str">
        <f ca="1">IFERROR(__xludf.DUMMYFUNCTION("""COMPUTED_VALUE"""),"Con Giro por Anticipo")</f>
        <v>Con Giro por Anticipo</v>
      </c>
      <c r="E70" s="17">
        <f ca="1">IFERROR(__xludf.DUMMYFUNCTION("""COMPUTED_VALUE"""),44125)</f>
        <v>44125</v>
      </c>
      <c r="F70" s="21">
        <f ca="1">IFERROR(__xludf.DUMMYFUNCTION("""COMPUTED_VALUE"""),244549992)</f>
        <v>244549992</v>
      </c>
      <c r="G70" s="16" t="str">
        <f ca="1">IFERROR(__xludf.DUMMYFUNCTION("""COMPUTED_VALUE""")," Con Giro por Anticipo ")</f>
        <v xml:space="preserve"> Con Giro por Anticipo </v>
      </c>
      <c r="H70" s="16">
        <f ca="1">IFERROR(__xludf.DUMMYFUNCTION("""COMPUTED_VALUE"""),0)</f>
        <v>0</v>
      </c>
      <c r="I70" s="83" t="s">
        <v>48</v>
      </c>
      <c r="J70" s="22"/>
      <c r="K70" s="16"/>
      <c r="L70" s="16"/>
      <c r="M70" s="16"/>
      <c r="N70" s="19"/>
      <c r="O70" s="19"/>
      <c r="P70" s="19"/>
      <c r="Q70" s="19"/>
      <c r="R70" s="19"/>
      <c r="S70" s="19"/>
      <c r="T70" s="19"/>
      <c r="U70" s="19"/>
      <c r="V70" s="59">
        <f ca="1">IFERROR(__xludf.DUMMYFUNCTION("""COMPUTED_VALUE"""),0)</f>
        <v>0</v>
      </c>
      <c r="W70" s="20"/>
      <c r="X70" s="43" t="str">
        <f ca="1">IFERROR(__xludf.DUMMYFUNCTION("""COMPUTED_VALUE"""),"MUNICIPALIDAD DE SANTIAGO")</f>
        <v>MUNICIPALIDAD DE SANTIAGO</v>
      </c>
    </row>
    <row r="71" spans="1:24" ht="15.75" customHeight="1" x14ac:dyDescent="0.25">
      <c r="A71" s="16" t="str">
        <f ca="1">IFERROR(__xludf.DUMMYFUNCTION("""COMPUTED_VALUE""")," REGIÓN METROPOLITANA ")</f>
        <v xml:space="preserve"> REGIÓN METROPOLITANA </v>
      </c>
      <c r="B71" s="16" t="str">
        <f t="shared" ca="1" si="0"/>
        <v xml:space="preserve"> SANTIAGO</v>
      </c>
      <c r="C71" s="16" t="str">
        <f ca="1">IFERROR(__xludf.DUMMYFUNCTION("""COMPUTED_VALUE""")," FORTALECIMIENTO MUNICIPAL PROGRAMA DE REVITALIZACIÓN DE BARRIOS E INFRAESTRUCTURA PATRIMONIAL EMBLEMÁTICA STGO 2024 ")</f>
        <v xml:space="preserve"> FORTALECIMIENTO MUNICIPAL PROGRAMA DE REVITALIZACIÓN DE BARRIOS E INFRAESTRUCTURA PATRIMONIAL EMBLEMÁTICA STGO 2024 </v>
      </c>
      <c r="D71" s="40" t="str">
        <f ca="1">IFERROR(__xludf.DUMMYFUNCTION("""COMPUTED_VALUE"""),"En Ejecución")</f>
        <v>En Ejecución</v>
      </c>
      <c r="E71" s="17">
        <f ca="1">IFERROR(__xludf.DUMMYFUNCTION("""COMPUTED_VALUE"""),45281)</f>
        <v>45281</v>
      </c>
      <c r="F71" s="21">
        <f ca="1">IFERROR(__xludf.DUMMYFUNCTION("""COMPUTED_VALUE"""),273203376)</f>
        <v>273203376</v>
      </c>
      <c r="G71" s="16" t="str">
        <f ca="1">IFERROR(__xludf.DUMMYFUNCTION("""COMPUTED_VALUE""")," En Ejecución ")</f>
        <v xml:space="preserve"> En Ejecución </v>
      </c>
      <c r="H71" s="16">
        <f ca="1">IFERROR(__xludf.DUMMYFUNCTION("""COMPUTED_VALUE"""),0)</f>
        <v>0</v>
      </c>
      <c r="I71" s="83" t="s">
        <v>48</v>
      </c>
      <c r="J71" s="22"/>
      <c r="K71" s="16"/>
      <c r="L71" s="16"/>
      <c r="M71" s="16"/>
      <c r="N71" s="19"/>
      <c r="O71" s="19"/>
      <c r="P71" s="19"/>
      <c r="Q71" s="19"/>
      <c r="R71" s="19"/>
      <c r="S71" s="19"/>
      <c r="T71" s="19"/>
      <c r="U71" s="19"/>
      <c r="V71" s="59">
        <f ca="1">IFERROR(__xludf.DUMMYFUNCTION("""COMPUTED_VALUE"""),0)</f>
        <v>0</v>
      </c>
      <c r="W71" s="20"/>
      <c r="X71" s="43" t="str">
        <f ca="1">IFERROR(__xludf.DUMMYFUNCTION("""COMPUTED_VALUE"""),"MUNICIPALIDAD DE SANTIAGO")</f>
        <v>MUNICIPALIDAD DE SANTIAGO</v>
      </c>
    </row>
    <row r="72" spans="1:24" ht="15.75" customHeight="1" x14ac:dyDescent="0.25">
      <c r="A72" s="16" t="str">
        <f ca="1">IFERROR(__xludf.DUMMYFUNCTION("""COMPUTED_VALUE""")," REGIÓN METROPOLITANA ")</f>
        <v xml:space="preserve"> REGIÓN METROPOLITANA </v>
      </c>
      <c r="B72" s="16" t="str">
        <f t="shared" ca="1" si="0"/>
        <v xml:space="preserve"> SANTIAGO</v>
      </c>
      <c r="C72" s="16" t="str">
        <f ca="1">IFERROR(__xludf.DUMMYFUNCTION("""COMPUTED_VALUE""")," MEJORAMIENTO PARQUE PORTALES, COMUNA DE SANTIAGO ")</f>
        <v xml:space="preserve"> MEJORAMIENTO PARQUE PORTALES, COMUNA DE SANTIAGO </v>
      </c>
      <c r="D72" s="40" t="str">
        <f ca="1">IFERROR(__xludf.DUMMYFUNCTION("""COMPUTED_VALUE"""),"Con Giro por Anticipo")</f>
        <v>Con Giro por Anticipo</v>
      </c>
      <c r="E72" s="17">
        <f ca="1">IFERROR(__xludf.DUMMYFUNCTION("""COMPUTED_VALUE"""),45462)</f>
        <v>45462</v>
      </c>
      <c r="F72" s="21">
        <f ca="1">IFERROR(__xludf.DUMMYFUNCTION("""COMPUTED_VALUE"""),4601701000)</f>
        <v>4601701000</v>
      </c>
      <c r="G72" s="16" t="str">
        <f ca="1">IFERROR(__xludf.DUMMYFUNCTION("""COMPUTED_VALUE""")," Con Giro por Anticipo ")</f>
        <v xml:space="preserve"> Con Giro por Anticipo </v>
      </c>
      <c r="H72" s="16">
        <f ca="1">IFERROR(__xludf.DUMMYFUNCTION("""COMPUTED_VALUE"""),920339000)</f>
        <v>920339000</v>
      </c>
      <c r="I72" s="83" t="s">
        <v>48</v>
      </c>
      <c r="J72" s="22"/>
      <c r="K72" s="16"/>
      <c r="L72" s="16"/>
      <c r="M72" s="16"/>
      <c r="N72" s="19"/>
      <c r="O72" s="21">
        <f ca="1">IFERROR(__xludf.DUMMYFUNCTION("""COMPUTED_VALUE"""),920339000)</f>
        <v>920339000</v>
      </c>
      <c r="P72" s="19"/>
      <c r="Q72" s="19"/>
      <c r="R72" s="19"/>
      <c r="S72" s="19"/>
      <c r="T72" s="19"/>
      <c r="U72" s="19"/>
      <c r="V72" s="59">
        <f ca="1">IFERROR(__xludf.DUMMYFUNCTION("""COMPUTED_VALUE"""),920339000)</f>
        <v>920339000</v>
      </c>
      <c r="W72" s="20"/>
      <c r="X72" s="43" t="str">
        <f ca="1">IFERROR(__xludf.DUMMYFUNCTION("""COMPUTED_VALUE"""),"MUNICIPALIDAD DE SANTIAGO")</f>
        <v>MUNICIPALIDAD DE SANTIAGO</v>
      </c>
    </row>
    <row r="73" spans="1:24" ht="15.75" customHeight="1" x14ac:dyDescent="0.25">
      <c r="A73" s="16" t="str">
        <f ca="1">IFERROR(__xludf.DUMMYFUNCTION("""COMPUTED_VALUE""")," REGIÓN DE LA ARAUCANÍA ")</f>
        <v xml:space="preserve"> REGIÓN DE LA ARAUCANÍA </v>
      </c>
      <c r="B73" s="16" t="str">
        <f t="shared" ca="1" si="0"/>
        <v xml:space="preserve"> TEMUCO</v>
      </c>
      <c r="C73" s="16" t="str">
        <f ca="1">IFERROR(__xludf.DUMMYFUNCTION("""COMPUTED_VALUE""")," FORTALECIMIENTO MUNICIPAL PRBIPE TEMUCO, AÑO 2024 ")</f>
        <v xml:space="preserve"> FORTALECIMIENTO MUNICIPAL PRBIPE TEMUCO, AÑO 2024 </v>
      </c>
      <c r="D73" s="40" t="str">
        <f ca="1">IFERROR(__xludf.DUMMYFUNCTION("""COMPUTED_VALUE"""),"100% Girado")</f>
        <v>100% Girado</v>
      </c>
      <c r="E73" s="17">
        <f ca="1">IFERROR(__xludf.DUMMYFUNCTION("""COMPUTED_VALUE"""),45322)</f>
        <v>45322</v>
      </c>
      <c r="F73" s="21">
        <f ca="1">IFERROR(__xludf.DUMMYFUNCTION("""COMPUTED_VALUE"""),96800000)</f>
        <v>96800000</v>
      </c>
      <c r="G73" s="16" t="str">
        <f ca="1">IFERROR(__xludf.DUMMYFUNCTION("""COMPUTED_VALUE""")," 100% Girado ")</f>
        <v xml:space="preserve"> 100% Girado </v>
      </c>
      <c r="H73" s="16">
        <f ca="1">IFERROR(__xludf.DUMMYFUNCTION("""COMPUTED_VALUE"""),96800000)</f>
        <v>96800000</v>
      </c>
      <c r="I73" s="83" t="s">
        <v>48</v>
      </c>
      <c r="J73" s="22"/>
      <c r="K73" s="16">
        <f ca="1">IFERROR(__xludf.DUMMYFUNCTION("""COMPUTED_VALUE"""),96800000)</f>
        <v>96800000</v>
      </c>
      <c r="L73" s="16"/>
      <c r="M73" s="16"/>
      <c r="N73" s="19"/>
      <c r="O73" s="19"/>
      <c r="P73" s="19"/>
      <c r="Q73" s="19"/>
      <c r="R73" s="19"/>
      <c r="S73" s="19"/>
      <c r="T73" s="19"/>
      <c r="U73" s="19"/>
      <c r="V73" s="59">
        <f ca="1">IFERROR(__xludf.DUMMYFUNCTION("""COMPUTED_VALUE"""),96800000)</f>
        <v>96800000</v>
      </c>
      <c r="W73" s="20"/>
      <c r="X73" s="43" t="str">
        <f ca="1">IFERROR(__xludf.DUMMYFUNCTION("""COMPUTED_VALUE"""),"MUNICIPALIDAD DE TEMUCO")</f>
        <v>MUNICIPALIDAD DE TEMUCO</v>
      </c>
    </row>
    <row r="74" spans="1:24" ht="15.75" customHeight="1" x14ac:dyDescent="0.25">
      <c r="A74" s="16" t="str">
        <f ca="1">IFERROR(__xludf.DUMMYFUNCTION("""COMPUTED_VALUE""")," REGIÓN DE LA ARAUCANÍA ")</f>
        <v xml:space="preserve"> REGIÓN DE LA ARAUCANÍA </v>
      </c>
      <c r="B74" s="16" t="str">
        <f t="shared" ca="1" si="0"/>
        <v xml:space="preserve"> TEMUCO</v>
      </c>
      <c r="C74" s="16" t="str">
        <f ca="1">IFERROR(__xludf.DUMMYFUNCTION("""COMPUTED_VALUE""")," REPOSICIÓN DE SEÑALETICA Y ESCAÑOS DEL POLÍGONO CASCO HISTORICO, TEMUCO ")</f>
        <v xml:space="preserve"> REPOSICIÓN DE SEÑALETICA Y ESCAÑOS DEL POLÍGONO CASCO HISTORICO, TEMUCO </v>
      </c>
      <c r="D74" s="40" t="str">
        <f ca="1">IFERROR(__xludf.DUMMYFUNCTION("""COMPUTED_VALUE"""),"Con Giro por Anticipo")</f>
        <v>Con Giro por Anticipo</v>
      </c>
      <c r="E74" s="17">
        <f ca="1">IFERROR(__xludf.DUMMYFUNCTION("""COMPUTED_VALUE"""),45517)</f>
        <v>45517</v>
      </c>
      <c r="F74" s="21">
        <f ca="1">IFERROR(__xludf.DUMMYFUNCTION("""COMPUTED_VALUE"""),230184363)</f>
        <v>230184363</v>
      </c>
      <c r="G74" s="16" t="str">
        <f ca="1">IFERROR(__xludf.DUMMYFUNCTION("""COMPUTED_VALUE""")," Con Giro por Anticipo ")</f>
        <v xml:space="preserve"> Con Giro por Anticipo </v>
      </c>
      <c r="H74" s="16">
        <f ca="1">IFERROR(__xludf.DUMMYFUNCTION("""COMPUTED_VALUE"""),184147490)</f>
        <v>184147490</v>
      </c>
      <c r="I74" s="83" t="s">
        <v>48</v>
      </c>
      <c r="J74" s="22"/>
      <c r="K74" s="16"/>
      <c r="L74" s="16"/>
      <c r="M74" s="16"/>
      <c r="N74" s="19"/>
      <c r="O74" s="19"/>
      <c r="P74" s="19"/>
      <c r="Q74" s="21">
        <f ca="1">IFERROR(__xludf.DUMMYFUNCTION("""COMPUTED_VALUE"""),184147490)</f>
        <v>184147490</v>
      </c>
      <c r="R74" s="19"/>
      <c r="S74" s="19"/>
      <c r="T74" s="19"/>
      <c r="U74" s="19"/>
      <c r="V74" s="59">
        <f ca="1">IFERROR(__xludf.DUMMYFUNCTION("""COMPUTED_VALUE"""),184147490)</f>
        <v>184147490</v>
      </c>
      <c r="W74" s="20"/>
      <c r="X74" s="43" t="str">
        <f ca="1">IFERROR(__xludf.DUMMYFUNCTION("""COMPUTED_VALUE"""),"MUNICIPALIDAD DE TEMUCO")</f>
        <v>MUNICIPALIDAD DE TEMUCO</v>
      </c>
    </row>
    <row r="75" spans="1:24" ht="15.75" customHeight="1" x14ac:dyDescent="0.25">
      <c r="A75" s="16" t="str">
        <f ca="1">IFERROR(__xludf.DUMMYFUNCTION("""COMPUTED_VALUE""")," REGIÓN DE LA ARAUCANÍA ")</f>
        <v xml:space="preserve"> REGIÓN DE LA ARAUCANÍA </v>
      </c>
      <c r="B75" s="16" t="str">
        <f t="shared" ca="1" si="0"/>
        <v xml:space="preserve"> TEMUCO</v>
      </c>
      <c r="C75" s="16" t="str">
        <f ca="1">IFERROR(__xludf.DUMMYFUNCTION("""COMPUTED_VALUE""")," ADQUISICION DE BARREDORAS PARA LIMPIEZA POLÍGONO CASCO HISTÓRICO DE TEMUCO ")</f>
        <v xml:space="preserve"> ADQUISICION DE BARREDORAS PARA LIMPIEZA POLÍGONO CASCO HISTÓRICO DE TEMUCO </v>
      </c>
      <c r="D75" s="40" t="str">
        <f ca="1">IFERROR(__xludf.DUMMYFUNCTION("""COMPUTED_VALUE"""),"100% Girado")</f>
        <v>100% Girado</v>
      </c>
      <c r="E75" s="17">
        <f ca="1">IFERROR(__xludf.DUMMYFUNCTION("""COMPUTED_VALUE"""),45517)</f>
        <v>45517</v>
      </c>
      <c r="F75" s="21">
        <f ca="1">IFERROR(__xludf.DUMMYFUNCTION("""COMPUTED_VALUE"""),293930000)</f>
        <v>293930000</v>
      </c>
      <c r="G75" s="16" t="str">
        <f ca="1">IFERROR(__xludf.DUMMYFUNCTION("""COMPUTED_VALUE""")," 100% Girado ")</f>
        <v xml:space="preserve"> 100% Girado </v>
      </c>
      <c r="H75" s="16">
        <f ca="1">IFERROR(__xludf.DUMMYFUNCTION("""COMPUTED_VALUE"""),293930000)</f>
        <v>293930000</v>
      </c>
      <c r="I75" s="83" t="s">
        <v>48</v>
      </c>
      <c r="J75" s="22"/>
      <c r="K75" s="16"/>
      <c r="L75" s="16"/>
      <c r="M75" s="16"/>
      <c r="N75" s="19"/>
      <c r="O75" s="19"/>
      <c r="P75" s="19"/>
      <c r="Q75" s="21">
        <f ca="1">IFERROR(__xludf.DUMMYFUNCTION("""COMPUTED_VALUE"""),293930000)</f>
        <v>293930000</v>
      </c>
      <c r="R75" s="19"/>
      <c r="S75" s="19"/>
      <c r="T75" s="19"/>
      <c r="U75" s="19"/>
      <c r="V75" s="59">
        <f ca="1">IFERROR(__xludf.DUMMYFUNCTION("""COMPUTED_VALUE"""),293930000)</f>
        <v>293930000</v>
      </c>
      <c r="W75" s="20"/>
      <c r="X75" s="43" t="str">
        <f ca="1">IFERROR(__xludf.DUMMYFUNCTION("""COMPUTED_VALUE"""),"MUNICIPALIDAD DE TEMUCO")</f>
        <v>MUNICIPALIDAD DE TEMUCO</v>
      </c>
    </row>
    <row r="76" spans="1:24" ht="15.75" customHeight="1" x14ac:dyDescent="0.25">
      <c r="A76" s="16" t="str">
        <f ca="1">IFERROR(__xludf.DUMMYFUNCTION("""COMPUTED_VALUE""")," REGIÓN DE VALPARAÍSO ")</f>
        <v xml:space="preserve"> REGIÓN DE VALPARAÍSO </v>
      </c>
      <c r="B76" s="16" t="str">
        <f t="shared" ca="1" si="0"/>
        <v xml:space="preserve"> VALPARAÍSO</v>
      </c>
      <c r="C76" s="16" t="str">
        <f ca="1">IFERROR(__xludf.DUMMYFUNCTION("""COMPUTED_VALUE""")," FORTALECIMIENTO MUNICIPAL VALPARAÍSO 2024 ")</f>
        <v xml:space="preserve"> FORTALECIMIENTO MUNICIPAL VALPARAÍSO 2024 </v>
      </c>
      <c r="D76" s="40" t="str">
        <f ca="1">IFERROR(__xludf.DUMMYFUNCTION("""COMPUTED_VALUE"""),"En Ejecución")</f>
        <v>En Ejecución</v>
      </c>
      <c r="E76" s="17">
        <f ca="1">IFERROR(__xludf.DUMMYFUNCTION("""COMPUTED_VALUE"""),45273)</f>
        <v>45273</v>
      </c>
      <c r="F76" s="21">
        <f ca="1">IFERROR(__xludf.DUMMYFUNCTION("""COMPUTED_VALUE"""),115200000)</f>
        <v>115200000</v>
      </c>
      <c r="G76" s="16" t="str">
        <f ca="1">IFERROR(__xludf.DUMMYFUNCTION("""COMPUTED_VALUE""")," En Ejecución ")</f>
        <v xml:space="preserve"> En Ejecución </v>
      </c>
      <c r="H76" s="16">
        <f ca="1">IFERROR(__xludf.DUMMYFUNCTION("""COMPUTED_VALUE"""),0)</f>
        <v>0</v>
      </c>
      <c r="I76" s="83" t="s">
        <v>48</v>
      </c>
      <c r="J76" s="22"/>
      <c r="K76" s="16"/>
      <c r="L76" s="16"/>
      <c r="M76" s="16"/>
      <c r="N76" s="19"/>
      <c r="O76" s="19"/>
      <c r="P76" s="19"/>
      <c r="Q76" s="19"/>
      <c r="R76" s="19"/>
      <c r="S76" s="19"/>
      <c r="T76" s="19"/>
      <c r="U76" s="19"/>
      <c r="V76" s="59">
        <f ca="1">IFERROR(__xludf.DUMMYFUNCTION("""COMPUTED_VALUE"""),0)</f>
        <v>0</v>
      </c>
      <c r="W76" s="20"/>
      <c r="X76" s="43" t="str">
        <f ca="1">IFERROR(__xludf.DUMMYFUNCTION("""COMPUTED_VALUE"""),"MUNICIPALIDAD DE VALPARAÍSO")</f>
        <v>MUNICIPALIDAD DE VALPARAÍSO</v>
      </c>
    </row>
    <row r="77" spans="1:24" ht="15.75" customHeight="1" x14ac:dyDescent="0.25">
      <c r="A77" s="16" t="str">
        <f ca="1">IFERROR(__xludf.DUMMYFUNCTION("""COMPUTED_VALUE""")," REGIÓN DE VALPARAÍSO ")</f>
        <v xml:space="preserve"> REGIÓN DE VALPARAÍSO </v>
      </c>
      <c r="B77" s="16" t="str">
        <f t="shared" ca="1" si="0"/>
        <v xml:space="preserve"> VIÑA DEL MAR</v>
      </c>
      <c r="C77" s="16" t="str">
        <f ca="1">IFERROR(__xludf.DUMMYFUNCTION("""COMPUTED_VALUE""")," CONSTRUCCIÓN PLAZA LÚDICA FAMILIAR ")</f>
        <v xml:space="preserve"> CONSTRUCCIÓN PLAZA LÚDICA FAMILIAR </v>
      </c>
      <c r="D77" s="40" t="str">
        <f ca="1">IFERROR(__xludf.DUMMYFUNCTION("""COMPUTED_VALUE"""),"En Ejecución")</f>
        <v>En Ejecución</v>
      </c>
      <c r="E77" s="17">
        <f ca="1">IFERROR(__xludf.DUMMYFUNCTION("""COMPUTED_VALUE"""),44558)</f>
        <v>44558</v>
      </c>
      <c r="F77" s="21">
        <f ca="1">IFERROR(__xludf.DUMMYFUNCTION("""COMPUTED_VALUE"""),230375853)</f>
        <v>230375853</v>
      </c>
      <c r="G77" s="16" t="str">
        <f ca="1">IFERROR(__xludf.DUMMYFUNCTION("""COMPUTED_VALUE""")," En Ejecución ")</f>
        <v xml:space="preserve"> En Ejecución </v>
      </c>
      <c r="H77" s="16">
        <f ca="1">IFERROR(__xludf.DUMMYFUNCTION("""COMPUTED_VALUE"""),71938940)</f>
        <v>71938940</v>
      </c>
      <c r="I77" s="83" t="s">
        <v>48</v>
      </c>
      <c r="J77" s="22"/>
      <c r="K77" s="16"/>
      <c r="L77" s="16"/>
      <c r="M77" s="16"/>
      <c r="N77" s="19"/>
      <c r="O77" s="19"/>
      <c r="P77" s="19"/>
      <c r="Q77" s="21">
        <f ca="1">IFERROR(__xludf.DUMMYFUNCTION("""COMPUTED_VALUE"""),71938940)</f>
        <v>71938940</v>
      </c>
      <c r="R77" s="19"/>
      <c r="S77" s="19"/>
      <c r="T77" s="19"/>
      <c r="U77" s="19"/>
      <c r="V77" s="59">
        <f ca="1">IFERROR(__xludf.DUMMYFUNCTION("""COMPUTED_VALUE"""),71938940)</f>
        <v>71938940</v>
      </c>
      <c r="W77" s="20"/>
      <c r="X77" s="43" t="str">
        <f ca="1">IFERROR(__xludf.DUMMYFUNCTION("""COMPUTED_VALUE"""),"MUNICIPALIDAD DE VIÑA DEL MAR")</f>
        <v>MUNICIPALIDAD DE VIÑA DEL MAR</v>
      </c>
    </row>
    <row r="78" spans="1:24" ht="15.75" customHeight="1" x14ac:dyDescent="0.25">
      <c r="A78" s="16" t="str">
        <f ca="1">IFERROR(__xludf.DUMMYFUNCTION("""COMPUTED_VALUE""")," REGIÓN DE VALPARAÍSO ")</f>
        <v xml:space="preserve"> REGIÓN DE VALPARAÍSO </v>
      </c>
      <c r="B78" s="16" t="str">
        <f t="shared" ca="1" si="0"/>
        <v xml:space="preserve"> VIÑA DEL MAR</v>
      </c>
      <c r="C78" s="16" t="str">
        <f ca="1">IFERROR(__xludf.DUMMYFUNCTION("""COMPUTED_VALUE""")," CONSTRUCCIÓN PLAZA ESTACIÓN VIÑA DEL MAR ")</f>
        <v xml:space="preserve"> CONSTRUCCIÓN PLAZA ESTACIÓN VIÑA DEL MAR </v>
      </c>
      <c r="D78" s="40" t="str">
        <f ca="1">IFERROR(__xludf.DUMMYFUNCTION("""COMPUTED_VALUE"""),"En Ejecución")</f>
        <v>En Ejecución</v>
      </c>
      <c r="E78" s="17">
        <f ca="1">IFERROR(__xludf.DUMMYFUNCTION("""COMPUTED_VALUE"""),44558)</f>
        <v>44558</v>
      </c>
      <c r="F78" s="21">
        <f ca="1">IFERROR(__xludf.DUMMYFUNCTION("""COMPUTED_VALUE"""),249310306)</f>
        <v>249310306</v>
      </c>
      <c r="G78" s="16" t="str">
        <f ca="1">IFERROR(__xludf.DUMMYFUNCTION("""COMPUTED_VALUE""")," En Ejecución ")</f>
        <v xml:space="preserve"> En Ejecución </v>
      </c>
      <c r="H78" s="16">
        <f ca="1">IFERROR(__xludf.DUMMYFUNCTION("""COMPUTED_VALUE"""),84346634)</f>
        <v>84346634</v>
      </c>
      <c r="I78" s="83" t="s">
        <v>48</v>
      </c>
      <c r="J78" s="22"/>
      <c r="K78" s="16"/>
      <c r="L78" s="16"/>
      <c r="M78" s="16"/>
      <c r="N78" s="19"/>
      <c r="O78" s="19"/>
      <c r="P78" s="19"/>
      <c r="Q78" s="21">
        <f ca="1">IFERROR(__xludf.DUMMYFUNCTION("""COMPUTED_VALUE"""),84346634)</f>
        <v>84346634</v>
      </c>
      <c r="R78" s="19"/>
      <c r="S78" s="19"/>
      <c r="T78" s="19"/>
      <c r="U78" s="19"/>
      <c r="V78" s="59">
        <f ca="1">IFERROR(__xludf.DUMMYFUNCTION("""COMPUTED_VALUE"""),84346634)</f>
        <v>84346634</v>
      </c>
      <c r="W78" s="20"/>
      <c r="X78" s="43" t="str">
        <f ca="1">IFERROR(__xludf.DUMMYFUNCTION("""COMPUTED_VALUE"""),"MUNICIPALIDAD DE VIÑA DEL MAR")</f>
        <v>MUNICIPALIDAD DE VIÑA DEL MAR</v>
      </c>
    </row>
    <row r="79" spans="1:24" ht="15.75" customHeight="1" x14ac:dyDescent="0.25">
      <c r="A79" s="16" t="str">
        <f ca="1">IFERROR(__xludf.DUMMYFUNCTION("""COMPUTED_VALUE""")," REGIÓN DE VALPARAÍSO ")</f>
        <v xml:space="preserve"> REGIÓN DE VALPARAÍSO </v>
      </c>
      <c r="B79" s="16" t="str">
        <f t="shared" ca="1" si="0"/>
        <v xml:space="preserve"> VIÑA DEL MAR</v>
      </c>
      <c r="C79" s="16" t="str">
        <f ca="1">IFERROR(__xludf.DUMMYFUNCTION("""COMPUTED_VALUE""")," CONSTRUCCIÓN PLAZA DEL ENCUENTRO Y LA INFANCIA ")</f>
        <v xml:space="preserve"> CONSTRUCCIÓN PLAZA DEL ENCUENTRO Y LA INFANCIA </v>
      </c>
      <c r="D79" s="40" t="str">
        <f ca="1">IFERROR(__xludf.DUMMYFUNCTION("""COMPUTED_VALUE"""),"En Ejecución")</f>
        <v>En Ejecución</v>
      </c>
      <c r="E79" s="17">
        <f ca="1">IFERROR(__xludf.DUMMYFUNCTION("""COMPUTED_VALUE"""),44558)</f>
        <v>44558</v>
      </c>
      <c r="F79" s="21">
        <f ca="1">IFERROR(__xludf.DUMMYFUNCTION("""COMPUTED_VALUE"""),201224140)</f>
        <v>201224140</v>
      </c>
      <c r="G79" s="16" t="str">
        <f ca="1">IFERROR(__xludf.DUMMYFUNCTION("""COMPUTED_VALUE""")," En Ejecución ")</f>
        <v xml:space="preserve"> En Ejecución </v>
      </c>
      <c r="H79" s="16">
        <f ca="1">IFERROR(__xludf.DUMMYFUNCTION("""COMPUTED_VALUE"""),45275550)</f>
        <v>45275550</v>
      </c>
      <c r="I79" s="83" t="s">
        <v>48</v>
      </c>
      <c r="J79" s="22"/>
      <c r="K79" s="16"/>
      <c r="L79" s="16"/>
      <c r="M79" s="16"/>
      <c r="N79" s="19"/>
      <c r="O79" s="19"/>
      <c r="P79" s="19"/>
      <c r="Q79" s="21">
        <f ca="1">IFERROR(__xludf.DUMMYFUNCTION("""COMPUTED_VALUE"""),45275550)</f>
        <v>45275550</v>
      </c>
      <c r="R79" s="19"/>
      <c r="S79" s="19"/>
      <c r="T79" s="19"/>
      <c r="U79" s="19"/>
      <c r="V79" s="59">
        <f ca="1">IFERROR(__xludf.DUMMYFUNCTION("""COMPUTED_VALUE"""),45275550)</f>
        <v>45275550</v>
      </c>
      <c r="W79" s="20"/>
      <c r="X79" s="43" t="str">
        <f ca="1">IFERROR(__xludf.DUMMYFUNCTION("""COMPUTED_VALUE"""),"MUNICIPALIDAD DE VIÑA DEL MAR")</f>
        <v>MUNICIPALIDAD DE VIÑA DEL MAR</v>
      </c>
    </row>
    <row r="80" spans="1:24" ht="15.75" customHeight="1" x14ac:dyDescent="0.25">
      <c r="A80" s="16" t="str">
        <f ca="1">IFERROR(__xludf.DUMMYFUNCTION("""COMPUTED_VALUE""")," REGIÓN DE LOS LAGOS ")</f>
        <v xml:space="preserve"> REGIÓN DE LOS LAGOS </v>
      </c>
      <c r="B80" s="16" t="str">
        <f t="shared" ca="1" si="0"/>
        <v xml:space="preserve"> CASTRO</v>
      </c>
      <c r="C80" s="16" t="str">
        <f ca="1">IFERROR(__xludf.DUMMYFUNCTION("""COMPUTED_VALUE""")," CONSTRUCCIÓN PLAZA DE INTERACCIÓN MEDIOAMBIENTAL ")</f>
        <v xml:space="preserve"> CONSTRUCCIÓN PLAZA DE INTERACCIÓN MEDIOAMBIENTAL </v>
      </c>
      <c r="D80" s="40" t="str">
        <f ca="1">IFERROR(__xludf.DUMMYFUNCTION("""COMPUTED_VALUE"""),"En Ejecución")</f>
        <v>En Ejecución</v>
      </c>
      <c r="E80" s="17">
        <f ca="1">IFERROR(__xludf.DUMMYFUNCTION("""COMPUTED_VALUE"""),44558)</f>
        <v>44558</v>
      </c>
      <c r="F80" s="21">
        <f ca="1">IFERROR(__xludf.DUMMYFUNCTION("""COMPUTED_VALUE"""),207946864)</f>
        <v>207946864</v>
      </c>
      <c r="G80" s="16" t="str">
        <f ca="1">IFERROR(__xludf.DUMMYFUNCTION("""COMPUTED_VALUE""")," En Ejecución ")</f>
        <v xml:space="preserve"> En Ejecución </v>
      </c>
      <c r="H80" s="16">
        <f ca="1">IFERROR(__xludf.DUMMYFUNCTION("""COMPUTED_VALUE"""),51382697)</f>
        <v>51382697</v>
      </c>
      <c r="I80" s="83" t="s">
        <v>48</v>
      </c>
      <c r="J80" s="22"/>
      <c r="K80" s="16"/>
      <c r="L80" s="16"/>
      <c r="M80" s="16"/>
      <c r="N80" s="19"/>
      <c r="O80" s="19"/>
      <c r="P80" s="19"/>
      <c r="Q80" s="21">
        <f ca="1">IFERROR(__xludf.DUMMYFUNCTION("""COMPUTED_VALUE"""),51382697)</f>
        <v>51382697</v>
      </c>
      <c r="R80" s="19"/>
      <c r="S80" s="19"/>
      <c r="T80" s="19"/>
      <c r="U80" s="19"/>
      <c r="V80" s="59">
        <f ca="1">IFERROR(__xludf.DUMMYFUNCTION("""COMPUTED_VALUE"""),51382697)</f>
        <v>51382697</v>
      </c>
      <c r="W80" s="20"/>
      <c r="X80" s="43" t="str">
        <f ca="1">IFERROR(__xludf.DUMMYFUNCTION("""COMPUTED_VALUE"""),"MUNICIPALIDAD DE CASTRO")</f>
        <v>MUNICIPALIDAD DE CASTRO</v>
      </c>
    </row>
    <row r="81" spans="1:24" ht="15.75" customHeight="1" x14ac:dyDescent="0.25">
      <c r="A81" s="16" t="str">
        <f ca="1">IFERROR(__xludf.DUMMYFUNCTION("""COMPUTED_VALUE""")," REGIÓN DE VALPARAÍSO ")</f>
        <v xml:space="preserve"> REGIÓN DE VALPARAÍSO </v>
      </c>
      <c r="B81" s="16" t="str">
        <f t="shared" ca="1" si="0"/>
        <v xml:space="preserve"> VIÑA DEL MAR</v>
      </c>
      <c r="C81" s="16" t="str">
        <f ca="1">IFERROR(__xludf.DUMMYFUNCTION("""COMPUTED_VALUE""")," EQUIPO TÉCNICO PARA LA EJECUCIÓN DEL PRB VIÑA DEL MAR AÑO 2024 ")</f>
        <v xml:space="preserve"> EQUIPO TÉCNICO PARA LA EJECUCIÓN DEL PRB VIÑA DEL MAR AÑO 2024 </v>
      </c>
      <c r="D81" s="40" t="str">
        <f ca="1">IFERROR(__xludf.DUMMYFUNCTION("""COMPUTED_VALUE"""),"En Ejecución")</f>
        <v>En Ejecución</v>
      </c>
      <c r="E81" s="17">
        <f ca="1">IFERROR(__xludf.DUMMYFUNCTION("""COMPUTED_VALUE"""),45282)</f>
        <v>45282</v>
      </c>
      <c r="F81" s="21">
        <f ca="1">IFERROR(__xludf.DUMMYFUNCTION("""COMPUTED_VALUE"""),181470000)</f>
        <v>181470000</v>
      </c>
      <c r="G81" s="16" t="str">
        <f ca="1">IFERROR(__xludf.DUMMYFUNCTION("""COMPUTED_VALUE""")," En Ejecución ")</f>
        <v xml:space="preserve"> En Ejecución </v>
      </c>
      <c r="H81" s="16">
        <f ca="1">IFERROR(__xludf.DUMMYFUNCTION("""COMPUTED_VALUE"""),0)</f>
        <v>0</v>
      </c>
      <c r="I81" s="83" t="s">
        <v>48</v>
      </c>
      <c r="J81" s="22"/>
      <c r="K81" s="16"/>
      <c r="L81" s="16"/>
      <c r="M81" s="16"/>
      <c r="N81" s="19"/>
      <c r="O81" s="19"/>
      <c r="P81" s="19"/>
      <c r="Q81" s="19"/>
      <c r="R81" s="19"/>
      <c r="S81" s="19"/>
      <c r="T81" s="19"/>
      <c r="U81" s="19"/>
      <c r="V81" s="59">
        <f ca="1">IFERROR(__xludf.DUMMYFUNCTION("""COMPUTED_VALUE"""),0)</f>
        <v>0</v>
      </c>
      <c r="W81" s="20"/>
      <c r="X81" s="43" t="str">
        <f ca="1">IFERROR(__xludf.DUMMYFUNCTION("""COMPUTED_VALUE"""),"MUNICIPALIDAD DE VIÑA DEL MAR")</f>
        <v>MUNICIPALIDAD DE VIÑA DEL MAR</v>
      </c>
    </row>
    <row r="82" spans="1:24" ht="15.75" customHeight="1" x14ac:dyDescent="0.25">
      <c r="A82" s="16" t="str">
        <f ca="1">IFERROR(__xludf.DUMMYFUNCTION("""COMPUTED_VALUE""")," REGIÓN DE VALPARAÍSO ")</f>
        <v xml:space="preserve"> REGIÓN DE VALPARAÍSO </v>
      </c>
      <c r="B82" s="16" t="str">
        <f t="shared" ca="1" si="0"/>
        <v xml:space="preserve"> VIÑA DEL MAR</v>
      </c>
      <c r="C82" s="16" t="str">
        <f ca="1">IFERROR(__xludf.DUMMYFUNCTION("""COMPUTED_VALUE""")," CONSTRUCCION PLAZA MIRADOR, PARQUE QUINTA VERGARA ")</f>
        <v xml:space="preserve"> CONSTRUCCION PLAZA MIRADOR, PARQUE QUINTA VERGARA </v>
      </c>
      <c r="D82" s="40" t="str">
        <f ca="1">IFERROR(__xludf.DUMMYFUNCTION("""COMPUTED_VALUE"""),"Con Giro por Anticipo")</f>
        <v>Con Giro por Anticipo</v>
      </c>
      <c r="E82" s="17">
        <f ca="1">IFERROR(__xludf.DUMMYFUNCTION("""COMPUTED_VALUE"""),45401)</f>
        <v>45401</v>
      </c>
      <c r="F82" s="21">
        <f ca="1">IFERROR(__xludf.DUMMYFUNCTION("""COMPUTED_VALUE"""),677856341)</f>
        <v>677856341</v>
      </c>
      <c r="G82" s="16" t="str">
        <f ca="1">IFERROR(__xludf.DUMMYFUNCTION("""COMPUTED_VALUE""")," Con Giro por Anticipo ")</f>
        <v xml:space="preserve"> Con Giro por Anticipo </v>
      </c>
      <c r="H82" s="16">
        <f ca="1">IFERROR(__xludf.DUMMYFUNCTION("""COMPUTED_VALUE"""),338928171)</f>
        <v>338928171</v>
      </c>
      <c r="I82" s="83" t="s">
        <v>48</v>
      </c>
      <c r="J82" s="22"/>
      <c r="K82" s="16"/>
      <c r="L82" s="16"/>
      <c r="M82" s="16"/>
      <c r="N82" s="21">
        <f ca="1">IFERROR(__xludf.DUMMYFUNCTION("""COMPUTED_VALUE"""),338928171)</f>
        <v>338928171</v>
      </c>
      <c r="O82" s="19"/>
      <c r="P82" s="19"/>
      <c r="Q82" s="19"/>
      <c r="R82" s="19"/>
      <c r="S82" s="19"/>
      <c r="T82" s="19"/>
      <c r="U82" s="19"/>
      <c r="V82" s="59">
        <f ca="1">IFERROR(__xludf.DUMMYFUNCTION("""COMPUTED_VALUE"""),338928171)</f>
        <v>338928171</v>
      </c>
      <c r="W82" s="20"/>
      <c r="X82" s="43" t="str">
        <f ca="1">IFERROR(__xludf.DUMMYFUNCTION("""COMPUTED_VALUE"""),"MUNICIPALIDAD DE VIÑA DEL MAR")</f>
        <v>MUNICIPALIDAD DE VIÑA DEL MAR</v>
      </c>
    </row>
    <row r="83" spans="1:24" ht="15.75" customHeight="1" x14ac:dyDescent="0.25">
      <c r="A83" s="16" t="str">
        <f ca="1">IFERROR(__xludf.DUMMYFUNCTION("""COMPUTED_VALUE""")," REGIÓN DE VALPARAÍSO ")</f>
        <v xml:space="preserve"> REGIÓN DE VALPARAÍSO </v>
      </c>
      <c r="B83" s="16"/>
      <c r="C83" s="16" t="str">
        <f ca="1">IFERROR(__xludf.DUMMYFUNCTION("""COMPUTED_VALUE""")," INSTALACION DE REFUGIOS PEATONALES ")</f>
        <v xml:space="preserve"> INSTALACION DE REFUGIOS PEATONALES </v>
      </c>
      <c r="D83" s="40" t="str">
        <f ca="1">IFERROR(__xludf.DUMMYFUNCTION("""COMPUTED_VALUE"""),"Con Giro por Anticipo")</f>
        <v>Con Giro por Anticipo</v>
      </c>
      <c r="E83" s="17">
        <f ca="1">IFERROR(__xludf.DUMMYFUNCTION("""COMPUTED_VALUE"""),45496)</f>
        <v>45496</v>
      </c>
      <c r="F83" s="21">
        <f ca="1">IFERROR(__xludf.DUMMYFUNCTION("""COMPUTED_VALUE"""),319540568)</f>
        <v>319540568</v>
      </c>
      <c r="G83" s="16" t="str">
        <f ca="1">IFERROR(__xludf.DUMMYFUNCTION("""COMPUTED_VALUE""")," Con Giro por Anticipo ")</f>
        <v xml:space="preserve"> Con Giro por Anticipo </v>
      </c>
      <c r="H83" s="16">
        <f ca="1">IFERROR(__xludf.DUMMYFUNCTION("""COMPUTED_VALUE"""),255632454)</f>
        <v>255632454</v>
      </c>
      <c r="I83" s="83" t="s">
        <v>48</v>
      </c>
      <c r="J83" s="22"/>
      <c r="K83" s="16"/>
      <c r="L83" s="16"/>
      <c r="M83" s="16"/>
      <c r="N83" s="19"/>
      <c r="O83" s="19"/>
      <c r="P83" s="21">
        <f ca="1">IFERROR(__xludf.DUMMYFUNCTION("""COMPUTED_VALUE"""),255632454)</f>
        <v>255632454</v>
      </c>
      <c r="Q83" s="19"/>
      <c r="R83" s="19"/>
      <c r="S83" s="19"/>
      <c r="T83" s="19"/>
      <c r="U83" s="19"/>
      <c r="V83" s="59">
        <f ca="1">IFERROR(__xludf.DUMMYFUNCTION("""COMPUTED_VALUE"""),255632454)</f>
        <v>255632454</v>
      </c>
      <c r="W83" s="20"/>
      <c r="X83" s="43" t="str">
        <f ca="1">IFERROR(__xludf.DUMMYFUNCTION("""COMPUTED_VALUE"""),"MUNICIPALIDAD DE VIÑA DEL MAR")</f>
        <v>MUNICIPALIDAD DE VIÑA DEL MAR</v>
      </c>
    </row>
    <row r="84" spans="1:24" ht="15.75" customHeight="1" x14ac:dyDescent="0.25">
      <c r="A84" s="16"/>
      <c r="B84" s="16"/>
      <c r="C84" s="16"/>
      <c r="D84" s="40"/>
      <c r="E84" s="17"/>
      <c r="F84" s="21"/>
      <c r="G84" s="16"/>
      <c r="H84" s="16"/>
      <c r="I84" s="22"/>
      <c r="J84" s="22"/>
      <c r="K84" s="16"/>
      <c r="L84" s="16"/>
      <c r="M84" s="16"/>
      <c r="N84" s="19"/>
      <c r="O84" s="19"/>
      <c r="P84" s="19"/>
      <c r="Q84" s="19"/>
      <c r="R84" s="19"/>
      <c r="S84" s="19"/>
      <c r="T84" s="19"/>
      <c r="U84" s="19"/>
      <c r="V84" s="59"/>
      <c r="W84" s="20"/>
      <c r="X84" s="43"/>
    </row>
    <row r="85" spans="1:24" ht="15.75" customHeight="1" x14ac:dyDescent="0.25">
      <c r="A85" s="16"/>
      <c r="B85" s="16"/>
      <c r="C85" s="16"/>
      <c r="D85" s="40"/>
      <c r="E85" s="17"/>
      <c r="F85" s="21"/>
      <c r="G85" s="16"/>
      <c r="H85" s="16"/>
      <c r="I85" s="22"/>
      <c r="J85" s="22"/>
      <c r="K85" s="16"/>
      <c r="L85" s="16"/>
      <c r="M85" s="16"/>
      <c r="N85" s="19"/>
      <c r="O85" s="19"/>
      <c r="P85" s="19"/>
      <c r="Q85" s="19"/>
      <c r="R85" s="19"/>
      <c r="S85" s="19"/>
      <c r="T85" s="19"/>
      <c r="U85" s="19"/>
      <c r="V85" s="59"/>
      <c r="W85" s="20"/>
      <c r="X85" s="43"/>
    </row>
    <row r="86" spans="1:24" ht="15.75" hidden="1" customHeight="1" x14ac:dyDescent="0.25">
      <c r="A86" s="16"/>
      <c r="B86" s="16"/>
      <c r="C86" s="16"/>
      <c r="D86" s="40"/>
      <c r="E86" s="17"/>
      <c r="F86" s="21"/>
      <c r="G86" s="16"/>
      <c r="H86" s="16"/>
      <c r="I86" s="22"/>
      <c r="J86" s="22"/>
      <c r="K86" s="16"/>
      <c r="L86" s="16"/>
      <c r="M86" s="16"/>
      <c r="N86" s="19"/>
      <c r="O86" s="19"/>
      <c r="P86" s="19"/>
      <c r="Q86" s="19"/>
      <c r="R86" s="19"/>
      <c r="S86" s="19"/>
      <c r="T86" s="19"/>
      <c r="U86" s="19"/>
      <c r="V86" s="59"/>
      <c r="W86" s="20"/>
      <c r="X86" s="43"/>
    </row>
    <row r="87" spans="1:24" ht="15.75" hidden="1" customHeight="1" x14ac:dyDescent="0.25">
      <c r="A87" s="16"/>
      <c r="B87" s="16"/>
      <c r="C87" s="16"/>
      <c r="D87" s="40"/>
      <c r="E87" s="17"/>
      <c r="F87" s="21"/>
      <c r="G87" s="16"/>
      <c r="H87" s="16"/>
      <c r="I87" s="22"/>
      <c r="J87" s="22"/>
      <c r="K87" s="16"/>
      <c r="L87" s="16"/>
      <c r="M87" s="16"/>
      <c r="N87" s="19"/>
      <c r="O87" s="19"/>
      <c r="P87" s="19"/>
      <c r="Q87" s="19"/>
      <c r="R87" s="19"/>
      <c r="S87" s="19"/>
      <c r="T87" s="19"/>
      <c r="U87" s="19"/>
      <c r="V87" s="59"/>
      <c r="W87" s="20"/>
      <c r="X87" s="43"/>
    </row>
    <row r="88" spans="1:24" ht="15.75" hidden="1" customHeight="1" x14ac:dyDescent="0.25">
      <c r="A88" s="16"/>
      <c r="B88" s="16"/>
      <c r="C88" s="16"/>
      <c r="D88" s="40"/>
      <c r="E88" s="17"/>
      <c r="F88" s="21"/>
      <c r="G88" s="16"/>
      <c r="H88" s="16"/>
      <c r="I88" s="22"/>
      <c r="J88" s="22"/>
      <c r="K88" s="16"/>
      <c r="L88" s="16"/>
      <c r="M88" s="16"/>
      <c r="N88" s="19"/>
      <c r="O88" s="19"/>
      <c r="P88" s="19"/>
      <c r="Q88" s="19"/>
      <c r="R88" s="19"/>
      <c r="S88" s="19"/>
      <c r="T88" s="19"/>
      <c r="U88" s="19"/>
      <c r="V88" s="59"/>
      <c r="W88" s="20"/>
      <c r="X88" s="43"/>
    </row>
    <row r="89" spans="1:24" ht="15.75" hidden="1" customHeight="1" x14ac:dyDescent="0.25">
      <c r="A89" s="16"/>
      <c r="B89" s="16"/>
      <c r="C89" s="16"/>
      <c r="D89" s="40"/>
      <c r="E89" s="17"/>
      <c r="F89" s="21"/>
      <c r="G89" s="16"/>
      <c r="H89" s="16"/>
      <c r="I89" s="22"/>
      <c r="J89" s="22"/>
      <c r="K89" s="16"/>
      <c r="L89" s="16"/>
      <c r="M89" s="16"/>
      <c r="N89" s="19"/>
      <c r="O89" s="19"/>
      <c r="P89" s="19"/>
      <c r="Q89" s="19"/>
      <c r="R89" s="19"/>
      <c r="S89" s="19"/>
      <c r="T89" s="19"/>
      <c r="U89" s="19"/>
      <c r="V89" s="59"/>
      <c r="W89" s="20"/>
      <c r="X89" s="43"/>
    </row>
    <row r="90" spans="1:24" ht="15.75" hidden="1" customHeight="1" x14ac:dyDescent="0.25">
      <c r="A90" s="16"/>
      <c r="B90" s="16"/>
      <c r="C90" s="16"/>
      <c r="D90" s="40"/>
      <c r="E90" s="17"/>
      <c r="F90" s="21"/>
      <c r="G90" s="16"/>
      <c r="H90" s="16"/>
      <c r="I90" s="22"/>
      <c r="J90" s="22"/>
      <c r="K90" s="16"/>
      <c r="L90" s="16"/>
      <c r="M90" s="16"/>
      <c r="N90" s="19"/>
      <c r="O90" s="19"/>
      <c r="P90" s="19"/>
      <c r="Q90" s="19"/>
      <c r="R90" s="19"/>
      <c r="S90" s="19"/>
      <c r="T90" s="19"/>
      <c r="U90" s="19"/>
      <c r="V90" s="59"/>
      <c r="W90" s="20"/>
      <c r="X90" s="43"/>
    </row>
    <row r="91" spans="1:24" ht="15.75" hidden="1" customHeight="1" x14ac:dyDescent="0.25">
      <c r="A91" s="16"/>
      <c r="B91" s="16"/>
      <c r="C91" s="16"/>
      <c r="D91" s="40"/>
      <c r="E91" s="17"/>
      <c r="F91" s="21"/>
      <c r="G91" s="16"/>
      <c r="H91" s="16"/>
      <c r="I91" s="22"/>
      <c r="J91" s="22"/>
      <c r="K91" s="16"/>
      <c r="L91" s="16"/>
      <c r="M91" s="16"/>
      <c r="N91" s="19"/>
      <c r="O91" s="19"/>
      <c r="P91" s="19"/>
      <c r="Q91" s="19"/>
      <c r="R91" s="19"/>
      <c r="S91" s="19"/>
      <c r="T91" s="19"/>
      <c r="U91" s="19"/>
      <c r="V91" s="59"/>
      <c r="W91" s="20"/>
      <c r="X91" s="43"/>
    </row>
    <row r="92" spans="1:24" ht="15.75" hidden="1" customHeight="1" x14ac:dyDescent="0.25">
      <c r="A92" s="16"/>
      <c r="B92" s="16"/>
      <c r="C92" s="16"/>
      <c r="D92" s="40"/>
      <c r="E92" s="17"/>
      <c r="F92" s="21"/>
      <c r="G92" s="16"/>
      <c r="H92" s="16"/>
      <c r="I92" s="22"/>
      <c r="J92" s="22"/>
      <c r="K92" s="16"/>
      <c r="L92" s="16"/>
      <c r="M92" s="16"/>
      <c r="N92" s="19"/>
      <c r="O92" s="19"/>
      <c r="P92" s="19"/>
      <c r="Q92" s="19"/>
      <c r="R92" s="19"/>
      <c r="S92" s="19"/>
      <c r="T92" s="19"/>
      <c r="U92" s="19"/>
      <c r="V92" s="59"/>
      <c r="W92" s="20"/>
      <c r="X92" s="43"/>
    </row>
    <row r="93" spans="1:24" ht="15.75" hidden="1" customHeight="1" x14ac:dyDescent="0.25">
      <c r="A93" s="16"/>
      <c r="B93" s="16"/>
      <c r="C93" s="16"/>
      <c r="D93" s="40"/>
      <c r="E93" s="17"/>
      <c r="F93" s="21"/>
      <c r="G93" s="16"/>
      <c r="H93" s="16"/>
      <c r="I93" s="22"/>
      <c r="J93" s="22"/>
      <c r="K93" s="16"/>
      <c r="L93" s="16"/>
      <c r="M93" s="16"/>
      <c r="N93" s="19"/>
      <c r="O93" s="19"/>
      <c r="P93" s="19"/>
      <c r="Q93" s="19"/>
      <c r="R93" s="19"/>
      <c r="S93" s="19"/>
      <c r="T93" s="19"/>
      <c r="U93" s="19"/>
      <c r="V93" s="59"/>
      <c r="W93" s="20"/>
      <c r="X93" s="43"/>
    </row>
    <row r="94" spans="1:24" ht="15.75" hidden="1" customHeight="1" x14ac:dyDescent="0.25">
      <c r="A94" s="16"/>
      <c r="B94" s="16"/>
      <c r="C94" s="16"/>
      <c r="D94" s="40"/>
      <c r="E94" s="17"/>
      <c r="F94" s="21"/>
      <c r="G94" s="16"/>
      <c r="H94" s="16"/>
      <c r="I94" s="22"/>
      <c r="J94" s="22"/>
      <c r="K94" s="16"/>
      <c r="L94" s="16"/>
      <c r="M94" s="16"/>
      <c r="N94" s="19"/>
      <c r="O94" s="19"/>
      <c r="P94" s="19"/>
      <c r="Q94" s="19"/>
      <c r="R94" s="19"/>
      <c r="S94" s="19"/>
      <c r="T94" s="19"/>
      <c r="U94" s="19"/>
      <c r="V94" s="59"/>
      <c r="W94" s="20"/>
      <c r="X94" s="43"/>
    </row>
    <row r="95" spans="1:24" ht="15.75" hidden="1" customHeight="1" x14ac:dyDescent="0.25">
      <c r="A95" s="16"/>
      <c r="B95" s="16"/>
      <c r="C95" s="16"/>
      <c r="D95" s="40"/>
      <c r="E95" s="17"/>
      <c r="F95" s="21"/>
      <c r="G95" s="16"/>
      <c r="H95" s="16"/>
      <c r="I95" s="22"/>
      <c r="J95" s="22"/>
      <c r="K95" s="16"/>
      <c r="L95" s="16"/>
      <c r="M95" s="16"/>
      <c r="N95" s="19"/>
      <c r="O95" s="19"/>
      <c r="P95" s="19"/>
      <c r="Q95" s="19"/>
      <c r="R95" s="19"/>
      <c r="S95" s="19"/>
      <c r="T95" s="19"/>
      <c r="U95" s="19"/>
      <c r="V95" s="59"/>
      <c r="W95" s="20"/>
      <c r="X95" s="43"/>
    </row>
    <row r="96" spans="1:24" ht="15.75" hidden="1" customHeight="1" x14ac:dyDescent="0.25">
      <c r="A96" s="16"/>
      <c r="B96" s="16"/>
      <c r="C96" s="16"/>
      <c r="D96" s="40"/>
      <c r="E96" s="17"/>
      <c r="F96" s="21"/>
      <c r="G96" s="16"/>
      <c r="H96" s="16"/>
      <c r="I96" s="22"/>
      <c r="J96" s="22"/>
      <c r="K96" s="16"/>
      <c r="L96" s="16"/>
      <c r="M96" s="16"/>
      <c r="N96" s="19"/>
      <c r="O96" s="19"/>
      <c r="P96" s="19"/>
      <c r="Q96" s="19"/>
      <c r="R96" s="19"/>
      <c r="S96" s="19"/>
      <c r="T96" s="19"/>
      <c r="U96" s="19"/>
      <c r="V96" s="59"/>
      <c r="W96" s="20"/>
      <c r="X96" s="43"/>
    </row>
    <row r="97" spans="1:24" ht="15.75" hidden="1" customHeight="1" x14ac:dyDescent="0.25">
      <c r="A97" s="16"/>
      <c r="B97" s="16"/>
      <c r="C97" s="16"/>
      <c r="D97" s="40"/>
      <c r="E97" s="17"/>
      <c r="F97" s="21"/>
      <c r="G97" s="16"/>
      <c r="H97" s="16"/>
      <c r="I97" s="22"/>
      <c r="J97" s="22"/>
      <c r="K97" s="16"/>
      <c r="L97" s="16"/>
      <c r="M97" s="16"/>
      <c r="N97" s="19"/>
      <c r="O97" s="19"/>
      <c r="P97" s="19"/>
      <c r="Q97" s="19"/>
      <c r="R97" s="19"/>
      <c r="S97" s="19"/>
      <c r="T97" s="19"/>
      <c r="U97" s="19"/>
      <c r="V97" s="59"/>
      <c r="W97" s="20"/>
      <c r="X97" s="43"/>
    </row>
    <row r="98" spans="1:24" ht="15.75" hidden="1" customHeight="1" x14ac:dyDescent="0.25">
      <c r="A98" s="16"/>
      <c r="B98" s="16"/>
      <c r="C98" s="16"/>
      <c r="D98" s="40"/>
      <c r="E98" s="17"/>
      <c r="F98" s="21"/>
      <c r="G98" s="16"/>
      <c r="H98" s="16"/>
      <c r="I98" s="22"/>
      <c r="J98" s="22"/>
      <c r="K98" s="16"/>
      <c r="L98" s="16"/>
      <c r="M98" s="16"/>
      <c r="N98" s="19"/>
      <c r="O98" s="19"/>
      <c r="P98" s="19"/>
      <c r="Q98" s="19"/>
      <c r="R98" s="19"/>
      <c r="S98" s="19"/>
      <c r="T98" s="19"/>
      <c r="U98" s="19"/>
      <c r="V98" s="59"/>
      <c r="W98" s="20"/>
      <c r="X98" s="43"/>
    </row>
    <row r="99" spans="1:24" ht="15.75" hidden="1" customHeight="1" x14ac:dyDescent="0.25">
      <c r="A99" s="16"/>
      <c r="B99" s="16"/>
      <c r="C99" s="16"/>
      <c r="D99" s="40"/>
      <c r="E99" s="17"/>
      <c r="F99" s="21"/>
      <c r="G99" s="16"/>
      <c r="H99" s="16"/>
      <c r="I99" s="22"/>
      <c r="J99" s="22"/>
      <c r="K99" s="16"/>
      <c r="L99" s="16"/>
      <c r="M99" s="16"/>
      <c r="N99" s="19"/>
      <c r="O99" s="19"/>
      <c r="P99" s="19"/>
      <c r="Q99" s="19"/>
      <c r="R99" s="19"/>
      <c r="S99" s="19"/>
      <c r="T99" s="19"/>
      <c r="U99" s="19"/>
      <c r="V99" s="59"/>
      <c r="W99" s="20"/>
      <c r="X99" s="43"/>
    </row>
    <row r="100" spans="1:24" ht="15.75" hidden="1" customHeight="1" x14ac:dyDescent="0.25">
      <c r="A100" s="16"/>
      <c r="B100" s="16"/>
      <c r="C100" s="16"/>
      <c r="D100" s="40"/>
      <c r="E100" s="17"/>
      <c r="F100" s="21"/>
      <c r="G100" s="16"/>
      <c r="H100" s="16"/>
      <c r="I100" s="22"/>
      <c r="J100" s="22"/>
      <c r="K100" s="16"/>
      <c r="L100" s="16"/>
      <c r="M100" s="16"/>
      <c r="N100" s="19"/>
      <c r="O100" s="19"/>
      <c r="P100" s="19"/>
      <c r="Q100" s="19"/>
      <c r="R100" s="19"/>
      <c r="S100" s="19"/>
      <c r="T100" s="19"/>
      <c r="U100" s="19"/>
      <c r="V100" s="59"/>
      <c r="W100" s="20"/>
      <c r="X100" s="43"/>
    </row>
    <row r="101" spans="1:24" ht="15.75" hidden="1" customHeight="1" x14ac:dyDescent="0.25">
      <c r="A101" s="16"/>
      <c r="B101" s="16"/>
      <c r="C101" s="16"/>
      <c r="D101" s="40"/>
      <c r="E101" s="17"/>
      <c r="F101" s="21"/>
      <c r="G101" s="16"/>
      <c r="H101" s="16"/>
      <c r="I101" s="22"/>
      <c r="J101" s="22"/>
      <c r="K101" s="16"/>
      <c r="L101" s="16"/>
      <c r="M101" s="16"/>
      <c r="N101" s="19"/>
      <c r="O101" s="19"/>
      <c r="P101" s="19"/>
      <c r="Q101" s="19"/>
      <c r="R101" s="19"/>
      <c r="S101" s="19"/>
      <c r="T101" s="19"/>
      <c r="U101" s="19"/>
      <c r="V101" s="59"/>
      <c r="W101" s="20"/>
      <c r="X101" s="43"/>
    </row>
    <row r="102" spans="1:24" ht="15.75" hidden="1" customHeight="1" x14ac:dyDescent="0.25">
      <c r="A102" s="16"/>
      <c r="B102" s="16"/>
      <c r="C102" s="16"/>
      <c r="D102" s="40"/>
      <c r="E102" s="17"/>
      <c r="F102" s="21"/>
      <c r="G102" s="16"/>
      <c r="H102" s="16"/>
      <c r="I102" s="22"/>
      <c r="J102" s="22"/>
      <c r="K102" s="16"/>
      <c r="L102" s="16"/>
      <c r="M102" s="16"/>
      <c r="N102" s="19"/>
      <c r="O102" s="19"/>
      <c r="P102" s="19"/>
      <c r="Q102" s="19"/>
      <c r="R102" s="19"/>
      <c r="S102" s="19"/>
      <c r="T102" s="19"/>
      <c r="U102" s="19"/>
      <c r="V102" s="59"/>
      <c r="W102" s="20"/>
      <c r="X102" s="43"/>
    </row>
    <row r="103" spans="1:24" ht="15.75" hidden="1" customHeight="1" x14ac:dyDescent="0.25">
      <c r="A103" s="16"/>
      <c r="B103" s="16"/>
      <c r="C103" s="16"/>
      <c r="D103" s="40"/>
      <c r="E103" s="17"/>
      <c r="F103" s="21"/>
      <c r="G103" s="16"/>
      <c r="H103" s="16"/>
      <c r="I103" s="22"/>
      <c r="J103" s="22"/>
      <c r="K103" s="16"/>
      <c r="L103" s="16"/>
      <c r="M103" s="16"/>
      <c r="N103" s="19"/>
      <c r="O103" s="19"/>
      <c r="P103" s="19"/>
      <c r="Q103" s="19"/>
      <c r="R103" s="19"/>
      <c r="S103" s="19"/>
      <c r="T103" s="19"/>
      <c r="U103" s="19"/>
      <c r="V103" s="59"/>
      <c r="W103" s="20"/>
      <c r="X103" s="43"/>
    </row>
    <row r="104" spans="1:24" ht="15.75" hidden="1" customHeight="1" x14ac:dyDescent="0.25">
      <c r="A104" s="16"/>
      <c r="B104" s="16"/>
      <c r="C104" s="16"/>
      <c r="D104" s="40"/>
      <c r="E104" s="17"/>
      <c r="F104" s="21"/>
      <c r="G104" s="16"/>
      <c r="H104" s="16"/>
      <c r="I104" s="22"/>
      <c r="J104" s="22"/>
      <c r="K104" s="16"/>
      <c r="L104" s="16"/>
      <c r="M104" s="16"/>
      <c r="N104" s="19"/>
      <c r="O104" s="19"/>
      <c r="P104" s="19"/>
      <c r="Q104" s="19"/>
      <c r="R104" s="19"/>
      <c r="S104" s="19"/>
      <c r="T104" s="19"/>
      <c r="U104" s="19"/>
      <c r="V104" s="59"/>
      <c r="W104" s="20"/>
      <c r="X104" s="43"/>
    </row>
    <row r="105" spans="1:24" ht="15.75" hidden="1" customHeight="1" x14ac:dyDescent="0.25">
      <c r="A105" s="16"/>
      <c r="B105" s="16"/>
      <c r="C105" s="16"/>
      <c r="D105" s="40"/>
      <c r="E105" s="17"/>
      <c r="F105" s="21"/>
      <c r="G105" s="16"/>
      <c r="H105" s="16"/>
      <c r="I105" s="22"/>
      <c r="J105" s="22"/>
      <c r="K105" s="16"/>
      <c r="L105" s="16"/>
      <c r="M105" s="16"/>
      <c r="N105" s="19"/>
      <c r="O105" s="19"/>
      <c r="P105" s="19"/>
      <c r="Q105" s="19"/>
      <c r="R105" s="19"/>
      <c r="S105" s="19"/>
      <c r="T105" s="19"/>
      <c r="U105" s="19"/>
      <c r="V105" s="59"/>
      <c r="W105" s="20"/>
      <c r="X105" s="43"/>
    </row>
    <row r="106" spans="1:24" ht="15.75" hidden="1" customHeight="1" x14ac:dyDescent="0.25">
      <c r="A106" s="16"/>
      <c r="B106" s="16"/>
      <c r="C106" s="16"/>
      <c r="D106" s="40"/>
      <c r="E106" s="17"/>
      <c r="F106" s="21"/>
      <c r="G106" s="16"/>
      <c r="H106" s="16"/>
      <c r="I106" s="22"/>
      <c r="J106" s="22"/>
      <c r="K106" s="16"/>
      <c r="L106" s="16"/>
      <c r="M106" s="16"/>
      <c r="N106" s="19"/>
      <c r="O106" s="19"/>
      <c r="P106" s="19"/>
      <c r="Q106" s="19"/>
      <c r="R106" s="19"/>
      <c r="S106" s="19"/>
      <c r="T106" s="19"/>
      <c r="U106" s="19"/>
      <c r="V106" s="59"/>
      <c r="W106" s="20"/>
      <c r="X106" s="43"/>
    </row>
    <row r="107" spans="1:24" ht="15.75" hidden="1" customHeight="1" x14ac:dyDescent="0.25">
      <c r="A107" s="16"/>
      <c r="B107" s="16"/>
      <c r="C107" s="16"/>
      <c r="D107" s="40"/>
      <c r="E107" s="17"/>
      <c r="F107" s="21"/>
      <c r="G107" s="16"/>
      <c r="H107" s="16"/>
      <c r="I107" s="22"/>
      <c r="J107" s="22"/>
      <c r="K107" s="16"/>
      <c r="L107" s="16"/>
      <c r="M107" s="16"/>
      <c r="N107" s="19"/>
      <c r="O107" s="19"/>
      <c r="P107" s="19"/>
      <c r="Q107" s="19"/>
      <c r="R107" s="19"/>
      <c r="S107" s="19"/>
      <c r="T107" s="19"/>
      <c r="U107" s="19"/>
      <c r="V107" s="59"/>
      <c r="W107" s="20"/>
      <c r="X107" s="43"/>
    </row>
    <row r="108" spans="1:24" ht="15.75" hidden="1" customHeight="1" x14ac:dyDescent="0.25">
      <c r="A108" s="16"/>
      <c r="B108" s="16"/>
      <c r="C108" s="16"/>
      <c r="D108" s="40"/>
      <c r="E108" s="17"/>
      <c r="F108" s="21"/>
      <c r="G108" s="16"/>
      <c r="H108" s="16"/>
      <c r="I108" s="22"/>
      <c r="J108" s="22"/>
      <c r="K108" s="16"/>
      <c r="L108" s="16"/>
      <c r="M108" s="16"/>
      <c r="N108" s="19"/>
      <c r="O108" s="19"/>
      <c r="P108" s="19"/>
      <c r="Q108" s="19"/>
      <c r="R108" s="19"/>
      <c r="S108" s="19"/>
      <c r="T108" s="19"/>
      <c r="U108" s="19"/>
      <c r="V108" s="59"/>
      <c r="W108" s="20"/>
      <c r="X108" s="43"/>
    </row>
    <row r="109" spans="1:24" ht="15.75" hidden="1" customHeight="1" x14ac:dyDescent="0.25">
      <c r="A109" s="16"/>
      <c r="B109" s="16"/>
      <c r="C109" s="16"/>
      <c r="D109" s="40"/>
      <c r="E109" s="17"/>
      <c r="F109" s="21"/>
      <c r="G109" s="16"/>
      <c r="H109" s="16"/>
      <c r="I109" s="22"/>
      <c r="J109" s="22"/>
      <c r="K109" s="16"/>
      <c r="L109" s="16"/>
      <c r="M109" s="16"/>
      <c r="N109" s="19"/>
      <c r="O109" s="19"/>
      <c r="P109" s="19"/>
      <c r="Q109" s="19"/>
      <c r="R109" s="19"/>
      <c r="S109" s="19"/>
      <c r="T109" s="19"/>
      <c r="U109" s="19"/>
      <c r="V109" s="59"/>
      <c r="W109" s="20"/>
      <c r="X109" s="43"/>
    </row>
    <row r="110" spans="1:24" ht="15.75" hidden="1" customHeight="1" x14ac:dyDescent="0.25">
      <c r="A110" s="16"/>
      <c r="B110" s="16"/>
      <c r="C110" s="16"/>
      <c r="D110" s="40"/>
      <c r="E110" s="17"/>
      <c r="F110" s="21"/>
      <c r="G110" s="16"/>
      <c r="H110" s="16"/>
      <c r="I110" s="22"/>
      <c r="J110" s="22"/>
      <c r="K110" s="16"/>
      <c r="L110" s="16"/>
      <c r="M110" s="16"/>
      <c r="N110" s="19"/>
      <c r="O110" s="19"/>
      <c r="P110" s="19"/>
      <c r="Q110" s="19"/>
      <c r="R110" s="19"/>
      <c r="S110" s="19"/>
      <c r="T110" s="19"/>
      <c r="U110" s="19"/>
      <c r="V110" s="59"/>
      <c r="W110" s="20"/>
      <c r="X110" s="43"/>
    </row>
    <row r="111" spans="1:24" ht="15.75" hidden="1" customHeight="1" x14ac:dyDescent="0.25">
      <c r="A111" s="16"/>
      <c r="B111" s="16"/>
      <c r="C111" s="16"/>
      <c r="D111" s="40"/>
      <c r="E111" s="17"/>
      <c r="F111" s="21"/>
      <c r="G111" s="16"/>
      <c r="H111" s="16"/>
      <c r="I111" s="22"/>
      <c r="J111" s="22"/>
      <c r="K111" s="16"/>
      <c r="L111" s="16"/>
      <c r="M111" s="16"/>
      <c r="N111" s="19"/>
      <c r="O111" s="19"/>
      <c r="P111" s="19"/>
      <c r="Q111" s="19"/>
      <c r="R111" s="19"/>
      <c r="S111" s="19"/>
      <c r="T111" s="19"/>
      <c r="U111" s="19"/>
      <c r="V111" s="59"/>
      <c r="W111" s="20"/>
      <c r="X111" s="43"/>
    </row>
    <row r="112" spans="1:24" ht="15.75" hidden="1" customHeight="1" x14ac:dyDescent="0.25">
      <c r="A112" s="16"/>
      <c r="B112" s="16"/>
      <c r="C112" s="16"/>
      <c r="D112" s="40"/>
      <c r="E112" s="17"/>
      <c r="F112" s="21"/>
      <c r="G112" s="16"/>
      <c r="H112" s="16"/>
      <c r="I112" s="22"/>
      <c r="J112" s="22"/>
      <c r="K112" s="16"/>
      <c r="L112" s="16"/>
      <c r="M112" s="16"/>
      <c r="N112" s="19"/>
      <c r="O112" s="19"/>
      <c r="P112" s="19"/>
      <c r="Q112" s="19"/>
      <c r="R112" s="19"/>
      <c r="S112" s="19"/>
      <c r="T112" s="19"/>
      <c r="U112" s="19"/>
      <c r="V112" s="59"/>
      <c r="W112" s="20"/>
      <c r="X112" s="43"/>
    </row>
    <row r="113" spans="1:24" ht="15.75" hidden="1" customHeight="1" x14ac:dyDescent="0.25">
      <c r="A113" s="16"/>
      <c r="B113" s="16"/>
      <c r="C113" s="16"/>
      <c r="D113" s="40"/>
      <c r="E113" s="17"/>
      <c r="F113" s="21"/>
      <c r="G113" s="16"/>
      <c r="H113" s="16"/>
      <c r="I113" s="22"/>
      <c r="J113" s="22"/>
      <c r="K113" s="16"/>
      <c r="L113" s="16"/>
      <c r="M113" s="16"/>
      <c r="N113" s="19"/>
      <c r="O113" s="19"/>
      <c r="P113" s="19"/>
      <c r="Q113" s="19"/>
      <c r="R113" s="19"/>
      <c r="S113" s="19"/>
      <c r="T113" s="19"/>
      <c r="U113" s="19"/>
      <c r="V113" s="59"/>
      <c r="W113" s="20"/>
      <c r="X113" s="43"/>
    </row>
    <row r="114" spans="1:24" ht="15.75" hidden="1" customHeight="1" x14ac:dyDescent="0.25">
      <c r="A114" s="16"/>
      <c r="B114" s="16"/>
      <c r="C114" s="16"/>
      <c r="D114" s="40"/>
      <c r="E114" s="17"/>
      <c r="F114" s="21"/>
      <c r="G114" s="16"/>
      <c r="H114" s="16"/>
      <c r="I114" s="22"/>
      <c r="J114" s="22"/>
      <c r="K114" s="16"/>
      <c r="L114" s="16"/>
      <c r="M114" s="16"/>
      <c r="N114" s="19"/>
      <c r="O114" s="19"/>
      <c r="P114" s="19"/>
      <c r="Q114" s="19"/>
      <c r="R114" s="19"/>
      <c r="S114" s="19"/>
      <c r="T114" s="19"/>
      <c r="U114" s="19"/>
      <c r="V114" s="59"/>
      <c r="W114" s="20"/>
      <c r="X114" s="43"/>
    </row>
    <row r="115" spans="1:24" ht="15.75" hidden="1" customHeight="1" x14ac:dyDescent="0.25">
      <c r="A115" s="16"/>
      <c r="B115" s="16"/>
      <c r="C115" s="16"/>
      <c r="D115" s="40"/>
      <c r="E115" s="17"/>
      <c r="F115" s="21"/>
      <c r="G115" s="16"/>
      <c r="H115" s="16"/>
      <c r="I115" s="22"/>
      <c r="J115" s="22"/>
      <c r="K115" s="16"/>
      <c r="L115" s="16"/>
      <c r="M115" s="16"/>
      <c r="N115" s="19"/>
      <c r="O115" s="19"/>
      <c r="P115" s="19"/>
      <c r="Q115" s="19"/>
      <c r="R115" s="19"/>
      <c r="S115" s="19"/>
      <c r="T115" s="19"/>
      <c r="U115" s="19"/>
      <c r="V115" s="59"/>
      <c r="W115" s="20"/>
      <c r="X115" s="43"/>
    </row>
    <row r="116" spans="1:24" ht="15.75" hidden="1" customHeight="1" x14ac:dyDescent="0.25">
      <c r="A116" s="16"/>
      <c r="B116" s="16"/>
      <c r="C116" s="16"/>
      <c r="D116" s="40"/>
      <c r="E116" s="17"/>
      <c r="F116" s="21"/>
      <c r="G116" s="16"/>
      <c r="H116" s="16"/>
      <c r="I116" s="22"/>
      <c r="J116" s="22"/>
      <c r="K116" s="16"/>
      <c r="L116" s="16"/>
      <c r="M116" s="16"/>
      <c r="N116" s="19"/>
      <c r="O116" s="19"/>
      <c r="P116" s="19"/>
      <c r="Q116" s="19"/>
      <c r="R116" s="19"/>
      <c r="S116" s="19"/>
      <c r="T116" s="19"/>
      <c r="U116" s="19"/>
      <c r="V116" s="59"/>
      <c r="W116" s="20"/>
      <c r="X116" s="43"/>
    </row>
    <row r="117" spans="1:24" ht="15.75" hidden="1" customHeight="1" x14ac:dyDescent="0.25">
      <c r="A117" s="16"/>
      <c r="B117" s="16"/>
      <c r="C117" s="16"/>
      <c r="D117" s="40"/>
      <c r="E117" s="17"/>
      <c r="F117" s="21"/>
      <c r="G117" s="16"/>
      <c r="H117" s="16"/>
      <c r="I117" s="22"/>
      <c r="J117" s="22"/>
      <c r="K117" s="16"/>
      <c r="L117" s="16"/>
      <c r="M117" s="16"/>
      <c r="N117" s="19"/>
      <c r="O117" s="19"/>
      <c r="P117" s="19"/>
      <c r="Q117" s="19"/>
      <c r="R117" s="19"/>
      <c r="S117" s="19"/>
      <c r="T117" s="19"/>
      <c r="U117" s="19"/>
      <c r="V117" s="59"/>
      <c r="W117" s="20"/>
      <c r="X117" s="43"/>
    </row>
    <row r="118" spans="1:24" ht="15.75" hidden="1" customHeight="1" x14ac:dyDescent="0.25">
      <c r="A118" s="16"/>
      <c r="B118" s="16"/>
      <c r="C118" s="16"/>
      <c r="D118" s="40"/>
      <c r="E118" s="17"/>
      <c r="F118" s="21"/>
      <c r="G118" s="16"/>
      <c r="H118" s="16"/>
      <c r="I118" s="22"/>
      <c r="J118" s="22"/>
      <c r="K118" s="16"/>
      <c r="L118" s="16"/>
      <c r="M118" s="16"/>
      <c r="N118" s="19"/>
      <c r="O118" s="19"/>
      <c r="P118" s="19"/>
      <c r="Q118" s="19"/>
      <c r="R118" s="19"/>
      <c r="S118" s="19"/>
      <c r="T118" s="19"/>
      <c r="U118" s="19"/>
      <c r="V118" s="59"/>
      <c r="W118" s="20"/>
      <c r="X118" s="43"/>
    </row>
    <row r="119" spans="1:24" ht="15.75" hidden="1" customHeight="1" x14ac:dyDescent="0.25">
      <c r="A119" s="16"/>
      <c r="B119" s="16"/>
      <c r="C119" s="16"/>
      <c r="D119" s="40"/>
      <c r="E119" s="17"/>
      <c r="F119" s="21"/>
      <c r="G119" s="16"/>
      <c r="H119" s="16"/>
      <c r="I119" s="22"/>
      <c r="J119" s="22"/>
      <c r="K119" s="16"/>
      <c r="L119" s="16"/>
      <c r="M119" s="16"/>
      <c r="N119" s="19"/>
      <c r="O119" s="19"/>
      <c r="P119" s="19"/>
      <c r="Q119" s="19"/>
      <c r="R119" s="19"/>
      <c r="S119" s="19"/>
      <c r="T119" s="19"/>
      <c r="U119" s="19"/>
      <c r="V119" s="59"/>
      <c r="W119" s="20"/>
      <c r="X119" s="43"/>
    </row>
    <row r="120" spans="1:24" ht="15.75" hidden="1" customHeight="1" x14ac:dyDescent="0.25">
      <c r="A120" s="16"/>
      <c r="B120" s="16"/>
      <c r="C120" s="16"/>
      <c r="D120" s="40"/>
      <c r="E120" s="17"/>
      <c r="F120" s="21"/>
      <c r="G120" s="16"/>
      <c r="H120" s="16"/>
      <c r="I120" s="22"/>
      <c r="J120" s="22"/>
      <c r="K120" s="16"/>
      <c r="L120" s="16"/>
      <c r="M120" s="16"/>
      <c r="N120" s="19"/>
      <c r="O120" s="19"/>
      <c r="P120" s="19"/>
      <c r="Q120" s="19"/>
      <c r="R120" s="19"/>
      <c r="S120" s="19"/>
      <c r="T120" s="19"/>
      <c r="U120" s="19"/>
      <c r="V120" s="59"/>
      <c r="W120" s="20"/>
      <c r="X120" s="43"/>
    </row>
    <row r="121" spans="1:24" ht="15.75" hidden="1" customHeight="1" x14ac:dyDescent="0.25">
      <c r="A121" s="16"/>
      <c r="B121" s="16"/>
      <c r="C121" s="16"/>
      <c r="D121" s="40"/>
      <c r="E121" s="17"/>
      <c r="F121" s="21"/>
      <c r="G121" s="16"/>
      <c r="H121" s="16"/>
      <c r="I121" s="22"/>
      <c r="J121" s="22"/>
      <c r="K121" s="16"/>
      <c r="L121" s="16"/>
      <c r="M121" s="16"/>
      <c r="N121" s="19"/>
      <c r="O121" s="19"/>
      <c r="P121" s="19"/>
      <c r="Q121" s="19"/>
      <c r="R121" s="19"/>
      <c r="S121" s="19"/>
      <c r="T121" s="19"/>
      <c r="U121" s="19"/>
      <c r="V121" s="59"/>
      <c r="W121" s="20"/>
      <c r="X121" s="43"/>
    </row>
    <row r="122" spans="1:24" ht="15.75" hidden="1" customHeight="1" x14ac:dyDescent="0.25">
      <c r="A122" s="16"/>
      <c r="B122" s="16"/>
      <c r="C122" s="16"/>
      <c r="D122" s="40"/>
      <c r="E122" s="17"/>
      <c r="F122" s="21"/>
      <c r="G122" s="16"/>
      <c r="H122" s="16"/>
      <c r="I122" s="22"/>
      <c r="J122" s="22"/>
      <c r="K122" s="16"/>
      <c r="L122" s="16"/>
      <c r="M122" s="16"/>
      <c r="N122" s="19"/>
      <c r="O122" s="19"/>
      <c r="P122" s="19"/>
      <c r="Q122" s="19"/>
      <c r="R122" s="19"/>
      <c r="S122" s="19"/>
      <c r="T122" s="19"/>
      <c r="U122" s="19"/>
      <c r="V122" s="59"/>
      <c r="W122" s="20"/>
      <c r="X122" s="43"/>
    </row>
    <row r="123" spans="1:24" ht="15.75" hidden="1" customHeight="1" x14ac:dyDescent="0.25">
      <c r="A123" s="16"/>
      <c r="B123" s="16"/>
      <c r="C123" s="16"/>
      <c r="D123" s="40"/>
      <c r="E123" s="17"/>
      <c r="F123" s="21"/>
      <c r="G123" s="16"/>
      <c r="H123" s="16"/>
      <c r="I123" s="22"/>
      <c r="J123" s="22"/>
      <c r="K123" s="16"/>
      <c r="L123" s="16"/>
      <c r="M123" s="16"/>
      <c r="N123" s="19"/>
      <c r="O123" s="19"/>
      <c r="P123" s="19"/>
      <c r="Q123" s="19"/>
      <c r="R123" s="19"/>
      <c r="S123" s="19"/>
      <c r="T123" s="19"/>
      <c r="U123" s="19"/>
      <c r="V123" s="59"/>
      <c r="W123" s="20"/>
      <c r="X123" s="43"/>
    </row>
    <row r="124" spans="1:24" ht="15.75" hidden="1" customHeight="1" x14ac:dyDescent="0.25">
      <c r="A124" s="16"/>
      <c r="B124" s="16"/>
      <c r="C124" s="16"/>
      <c r="D124" s="40"/>
      <c r="E124" s="17"/>
      <c r="F124" s="21"/>
      <c r="G124" s="16"/>
      <c r="H124" s="16"/>
      <c r="I124" s="22"/>
      <c r="J124" s="22"/>
      <c r="K124" s="16"/>
      <c r="L124" s="16"/>
      <c r="M124" s="16"/>
      <c r="N124" s="19"/>
      <c r="O124" s="19"/>
      <c r="P124" s="19"/>
      <c r="Q124" s="19"/>
      <c r="R124" s="19"/>
      <c r="S124" s="19"/>
      <c r="T124" s="19"/>
      <c r="U124" s="19"/>
      <c r="V124" s="59"/>
      <c r="W124" s="20"/>
      <c r="X124" s="43"/>
    </row>
    <row r="125" spans="1:24" ht="15.75" hidden="1" customHeight="1" x14ac:dyDescent="0.25">
      <c r="A125" s="16"/>
      <c r="B125" s="16"/>
      <c r="C125" s="16"/>
      <c r="D125" s="40"/>
      <c r="E125" s="17"/>
      <c r="F125" s="21"/>
      <c r="G125" s="16"/>
      <c r="H125" s="16"/>
      <c r="I125" s="22"/>
      <c r="J125" s="22"/>
      <c r="K125" s="16"/>
      <c r="L125" s="16"/>
      <c r="M125" s="16"/>
      <c r="N125" s="19"/>
      <c r="O125" s="19"/>
      <c r="P125" s="19"/>
      <c r="Q125" s="19"/>
      <c r="R125" s="19"/>
      <c r="S125" s="19"/>
      <c r="T125" s="19"/>
      <c r="U125" s="19"/>
      <c r="V125" s="59"/>
      <c r="W125" s="20"/>
      <c r="X125" s="43"/>
    </row>
    <row r="126" spans="1:24" ht="15.75" hidden="1" customHeight="1" x14ac:dyDescent="0.25">
      <c r="A126" s="16"/>
      <c r="B126" s="16"/>
      <c r="C126" s="16"/>
      <c r="D126" s="40"/>
      <c r="E126" s="17"/>
      <c r="F126" s="21"/>
      <c r="G126" s="16"/>
      <c r="H126" s="16"/>
      <c r="I126" s="22"/>
      <c r="J126" s="22"/>
      <c r="K126" s="16"/>
      <c r="L126" s="16"/>
      <c r="M126" s="16"/>
      <c r="N126" s="19"/>
      <c r="O126" s="19"/>
      <c r="P126" s="19"/>
      <c r="Q126" s="19"/>
      <c r="R126" s="19"/>
      <c r="S126" s="19"/>
      <c r="T126" s="19"/>
      <c r="U126" s="19"/>
      <c r="V126" s="59"/>
      <c r="W126" s="20"/>
      <c r="X126" s="43"/>
    </row>
    <row r="127" spans="1:24" ht="15.75" hidden="1" customHeight="1" x14ac:dyDescent="0.25">
      <c r="A127" s="16"/>
      <c r="B127" s="16"/>
      <c r="C127" s="16"/>
      <c r="D127" s="40"/>
      <c r="E127" s="17"/>
      <c r="F127" s="21"/>
      <c r="G127" s="16"/>
      <c r="H127" s="16"/>
      <c r="I127" s="22"/>
      <c r="J127" s="22"/>
      <c r="K127" s="16"/>
      <c r="L127" s="16"/>
      <c r="M127" s="16"/>
      <c r="N127" s="19"/>
      <c r="O127" s="19"/>
      <c r="P127" s="19"/>
      <c r="Q127" s="19"/>
      <c r="R127" s="19"/>
      <c r="S127" s="19"/>
      <c r="T127" s="19"/>
      <c r="U127" s="19"/>
      <c r="V127" s="59"/>
      <c r="W127" s="20"/>
      <c r="X127" s="43"/>
    </row>
    <row r="128" spans="1:24" ht="15.75" hidden="1" customHeight="1" x14ac:dyDescent="0.25">
      <c r="A128" s="16"/>
      <c r="B128" s="16"/>
      <c r="C128" s="16"/>
      <c r="D128" s="40"/>
      <c r="E128" s="17"/>
      <c r="F128" s="21"/>
      <c r="G128" s="16"/>
      <c r="H128" s="16"/>
      <c r="I128" s="22"/>
      <c r="J128" s="22"/>
      <c r="K128" s="16"/>
      <c r="L128" s="16"/>
      <c r="M128" s="16"/>
      <c r="N128" s="19"/>
      <c r="O128" s="19"/>
      <c r="P128" s="19"/>
      <c r="Q128" s="19"/>
      <c r="R128" s="19"/>
      <c r="S128" s="19"/>
      <c r="T128" s="19"/>
      <c r="U128" s="19"/>
      <c r="V128" s="59"/>
      <c r="W128" s="20"/>
      <c r="X128" s="43"/>
    </row>
    <row r="129" spans="1:24" ht="15.75" hidden="1" customHeight="1" x14ac:dyDescent="0.25">
      <c r="A129" s="16"/>
      <c r="B129" s="16"/>
      <c r="C129" s="16"/>
      <c r="D129" s="40"/>
      <c r="E129" s="17"/>
      <c r="F129" s="21"/>
      <c r="G129" s="16"/>
      <c r="H129" s="16"/>
      <c r="I129" s="22"/>
      <c r="J129" s="22"/>
      <c r="K129" s="16"/>
      <c r="L129" s="16"/>
      <c r="M129" s="16"/>
      <c r="N129" s="19"/>
      <c r="O129" s="19"/>
      <c r="P129" s="19"/>
      <c r="Q129" s="19"/>
      <c r="R129" s="19"/>
      <c r="S129" s="19"/>
      <c r="T129" s="19"/>
      <c r="U129" s="19"/>
      <c r="V129" s="59"/>
      <c r="W129" s="20"/>
      <c r="X129" s="43"/>
    </row>
    <row r="130" spans="1:24" ht="15.75" hidden="1" customHeight="1" x14ac:dyDescent="0.25">
      <c r="A130" s="16"/>
      <c r="B130" s="16"/>
      <c r="C130" s="16"/>
      <c r="D130" s="40"/>
      <c r="E130" s="17"/>
      <c r="F130" s="21"/>
      <c r="G130" s="16"/>
      <c r="H130" s="16"/>
      <c r="I130" s="22"/>
      <c r="J130" s="22"/>
      <c r="K130" s="16"/>
      <c r="L130" s="16"/>
      <c r="M130" s="16"/>
      <c r="N130" s="19"/>
      <c r="O130" s="19"/>
      <c r="P130" s="19"/>
      <c r="Q130" s="19"/>
      <c r="R130" s="19"/>
      <c r="S130" s="19"/>
      <c r="T130" s="19"/>
      <c r="U130" s="19"/>
      <c r="V130" s="59"/>
      <c r="W130" s="20"/>
      <c r="X130" s="43"/>
    </row>
    <row r="131" spans="1:24" ht="15.75" hidden="1" customHeight="1" x14ac:dyDescent="0.25">
      <c r="A131" s="16"/>
      <c r="B131" s="16"/>
      <c r="C131" s="16"/>
      <c r="D131" s="40"/>
      <c r="E131" s="17"/>
      <c r="F131" s="21"/>
      <c r="G131" s="16"/>
      <c r="H131" s="16"/>
      <c r="I131" s="22"/>
      <c r="J131" s="22"/>
      <c r="K131" s="16"/>
      <c r="L131" s="16"/>
      <c r="M131" s="16"/>
      <c r="N131" s="19"/>
      <c r="O131" s="19"/>
      <c r="P131" s="19"/>
      <c r="Q131" s="19"/>
      <c r="R131" s="19"/>
      <c r="S131" s="19"/>
      <c r="T131" s="19"/>
      <c r="U131" s="19"/>
      <c r="V131" s="59"/>
      <c r="W131" s="20"/>
      <c r="X131" s="43"/>
    </row>
    <row r="132" spans="1:24" ht="15.75" hidden="1" customHeight="1" x14ac:dyDescent="0.25">
      <c r="A132" s="16"/>
      <c r="B132" s="16"/>
      <c r="C132" s="16"/>
      <c r="D132" s="40"/>
      <c r="E132" s="17"/>
      <c r="F132" s="21"/>
      <c r="G132" s="16"/>
      <c r="H132" s="16"/>
      <c r="I132" s="22"/>
      <c r="J132" s="22"/>
      <c r="K132" s="16"/>
      <c r="L132" s="16"/>
      <c r="M132" s="16"/>
      <c r="N132" s="19"/>
      <c r="O132" s="19"/>
      <c r="P132" s="19"/>
      <c r="Q132" s="19"/>
      <c r="R132" s="19"/>
      <c r="S132" s="19"/>
      <c r="T132" s="19"/>
      <c r="U132" s="19"/>
      <c r="V132" s="59"/>
      <c r="W132" s="20"/>
      <c r="X132" s="43"/>
    </row>
    <row r="133" spans="1:24" ht="15.75" hidden="1" customHeight="1" x14ac:dyDescent="0.25">
      <c r="A133" s="16"/>
      <c r="B133" s="16"/>
      <c r="C133" s="16"/>
      <c r="D133" s="40"/>
      <c r="E133" s="17"/>
      <c r="F133" s="21"/>
      <c r="G133" s="16"/>
      <c r="H133" s="16"/>
      <c r="I133" s="22"/>
      <c r="J133" s="22"/>
      <c r="K133" s="16"/>
      <c r="L133" s="16"/>
      <c r="M133" s="16"/>
      <c r="N133" s="19"/>
      <c r="O133" s="19"/>
      <c r="P133" s="19"/>
      <c r="Q133" s="19"/>
      <c r="R133" s="19"/>
      <c r="S133" s="19"/>
      <c r="T133" s="19"/>
      <c r="U133" s="19"/>
      <c r="V133" s="59"/>
      <c r="W133" s="20"/>
      <c r="X133" s="43"/>
    </row>
    <row r="134" spans="1:24" ht="15.75" hidden="1" customHeight="1" x14ac:dyDescent="0.25">
      <c r="A134" s="16"/>
      <c r="B134" s="16"/>
      <c r="C134" s="16"/>
      <c r="D134" s="40"/>
      <c r="E134" s="17"/>
      <c r="F134" s="21"/>
      <c r="G134" s="16"/>
      <c r="H134" s="16"/>
      <c r="I134" s="22"/>
      <c r="J134" s="22"/>
      <c r="K134" s="16"/>
      <c r="L134" s="16"/>
      <c r="M134" s="16"/>
      <c r="N134" s="19"/>
      <c r="O134" s="19"/>
      <c r="P134" s="19"/>
      <c r="Q134" s="19"/>
      <c r="R134" s="19"/>
      <c r="S134" s="19"/>
      <c r="T134" s="19"/>
      <c r="U134" s="19"/>
      <c r="V134" s="59"/>
      <c r="W134" s="20"/>
      <c r="X134" s="43"/>
    </row>
    <row r="135" spans="1:24" ht="15.75" hidden="1" customHeight="1" x14ac:dyDescent="0.25">
      <c r="A135" s="16"/>
      <c r="B135" s="16"/>
      <c r="C135" s="16"/>
      <c r="D135" s="40"/>
      <c r="E135" s="17"/>
      <c r="F135" s="21"/>
      <c r="G135" s="16"/>
      <c r="H135" s="16"/>
      <c r="I135" s="22"/>
      <c r="J135" s="22"/>
      <c r="K135" s="16"/>
      <c r="L135" s="16"/>
      <c r="M135" s="16"/>
      <c r="N135" s="19"/>
      <c r="O135" s="19"/>
      <c r="P135" s="19"/>
      <c r="Q135" s="19"/>
      <c r="R135" s="19"/>
      <c r="S135" s="19"/>
      <c r="T135" s="19"/>
      <c r="U135" s="19"/>
      <c r="V135" s="59"/>
      <c r="W135" s="20"/>
      <c r="X135" s="43"/>
    </row>
    <row r="136" spans="1:24" ht="15.75" hidden="1" customHeight="1" x14ac:dyDescent="0.25">
      <c r="A136" s="16"/>
      <c r="B136" s="16"/>
      <c r="C136" s="16"/>
      <c r="D136" s="40"/>
      <c r="E136" s="17"/>
      <c r="F136" s="21"/>
      <c r="G136" s="16"/>
      <c r="H136" s="16"/>
      <c r="I136" s="22"/>
      <c r="J136" s="22"/>
      <c r="K136" s="16"/>
      <c r="L136" s="16"/>
      <c r="M136" s="16"/>
      <c r="N136" s="19"/>
      <c r="O136" s="19"/>
      <c r="P136" s="19"/>
      <c r="Q136" s="19"/>
      <c r="R136" s="19"/>
      <c r="S136" s="19"/>
      <c r="T136" s="19"/>
      <c r="U136" s="19"/>
      <c r="V136" s="59"/>
      <c r="W136" s="20"/>
      <c r="X136" s="43"/>
    </row>
    <row r="137" spans="1:24" ht="15.75" hidden="1" customHeight="1" x14ac:dyDescent="0.25">
      <c r="A137" s="16"/>
      <c r="B137" s="16"/>
      <c r="C137" s="16"/>
      <c r="D137" s="40"/>
      <c r="E137" s="17"/>
      <c r="F137" s="21"/>
      <c r="G137" s="16"/>
      <c r="H137" s="16"/>
      <c r="I137" s="22"/>
      <c r="J137" s="22"/>
      <c r="K137" s="16"/>
      <c r="L137" s="16"/>
      <c r="M137" s="16"/>
      <c r="N137" s="19"/>
      <c r="O137" s="19"/>
      <c r="P137" s="19"/>
      <c r="Q137" s="19"/>
      <c r="R137" s="19"/>
      <c r="S137" s="19"/>
      <c r="T137" s="19"/>
      <c r="U137" s="19"/>
      <c r="V137" s="59"/>
      <c r="W137" s="20"/>
      <c r="X137" s="43"/>
    </row>
    <row r="138" spans="1:24" ht="15.75" hidden="1" customHeight="1" x14ac:dyDescent="0.25">
      <c r="A138" s="16"/>
      <c r="B138" s="16"/>
      <c r="C138" s="16"/>
      <c r="D138" s="40"/>
      <c r="E138" s="17"/>
      <c r="F138" s="21"/>
      <c r="G138" s="16"/>
      <c r="H138" s="16"/>
      <c r="I138" s="22"/>
      <c r="J138" s="22"/>
      <c r="K138" s="16"/>
      <c r="L138" s="16"/>
      <c r="M138" s="16"/>
      <c r="N138" s="19"/>
      <c r="O138" s="19"/>
      <c r="P138" s="19"/>
      <c r="Q138" s="19"/>
      <c r="R138" s="19"/>
      <c r="S138" s="19"/>
      <c r="T138" s="19"/>
      <c r="U138" s="19"/>
      <c r="V138" s="59"/>
      <c r="W138" s="20"/>
      <c r="X138" s="43"/>
    </row>
    <row r="139" spans="1:24" ht="15.75" hidden="1" customHeight="1" x14ac:dyDescent="0.25">
      <c r="A139" s="16"/>
      <c r="B139" s="16"/>
      <c r="C139" s="16"/>
      <c r="D139" s="40"/>
      <c r="E139" s="17"/>
      <c r="F139" s="21"/>
      <c r="G139" s="16"/>
      <c r="H139" s="16"/>
      <c r="I139" s="22"/>
      <c r="J139" s="22"/>
      <c r="K139" s="16"/>
      <c r="L139" s="16"/>
      <c r="M139" s="16"/>
      <c r="N139" s="19"/>
      <c r="O139" s="19"/>
      <c r="P139" s="19"/>
      <c r="Q139" s="19"/>
      <c r="R139" s="19"/>
      <c r="S139" s="19"/>
      <c r="T139" s="19"/>
      <c r="U139" s="19"/>
      <c r="V139" s="59"/>
      <c r="W139" s="20"/>
      <c r="X139" s="43"/>
    </row>
    <row r="140" spans="1:24" ht="15.75" hidden="1" customHeight="1" x14ac:dyDescent="0.25">
      <c r="A140" s="16"/>
      <c r="B140" s="16"/>
      <c r="C140" s="16"/>
      <c r="D140" s="40"/>
      <c r="E140" s="17"/>
      <c r="F140" s="21"/>
      <c r="G140" s="16"/>
      <c r="H140" s="16"/>
      <c r="I140" s="22"/>
      <c r="J140" s="22"/>
      <c r="K140" s="16"/>
      <c r="L140" s="16"/>
      <c r="M140" s="16"/>
      <c r="N140" s="19"/>
      <c r="O140" s="19"/>
      <c r="P140" s="19"/>
      <c r="Q140" s="19"/>
      <c r="R140" s="19"/>
      <c r="S140" s="19"/>
      <c r="T140" s="19"/>
      <c r="U140" s="19"/>
      <c r="V140" s="59"/>
      <c r="W140" s="20"/>
      <c r="X140" s="43"/>
    </row>
    <row r="141" spans="1:24" ht="15.75" hidden="1" customHeight="1" x14ac:dyDescent="0.25">
      <c r="A141" s="16"/>
      <c r="B141" s="16"/>
      <c r="C141" s="16"/>
      <c r="D141" s="40"/>
      <c r="E141" s="17"/>
      <c r="F141" s="21"/>
      <c r="G141" s="16"/>
      <c r="H141" s="16"/>
      <c r="I141" s="22"/>
      <c r="J141" s="22"/>
      <c r="K141" s="16"/>
      <c r="L141" s="16"/>
      <c r="M141" s="16"/>
      <c r="N141" s="19"/>
      <c r="O141" s="19"/>
      <c r="P141" s="19"/>
      <c r="Q141" s="19"/>
      <c r="R141" s="19"/>
      <c r="S141" s="19"/>
      <c r="T141" s="19"/>
      <c r="U141" s="19"/>
      <c r="V141" s="59"/>
      <c r="W141" s="20"/>
      <c r="X141" s="43"/>
    </row>
    <row r="142" spans="1:24" ht="15.75" hidden="1" customHeight="1" x14ac:dyDescent="0.25">
      <c r="A142" s="16"/>
      <c r="B142" s="16"/>
      <c r="C142" s="16"/>
      <c r="D142" s="40"/>
      <c r="E142" s="17"/>
      <c r="F142" s="21"/>
      <c r="G142" s="16"/>
      <c r="H142" s="16"/>
      <c r="I142" s="22"/>
      <c r="J142" s="22"/>
      <c r="K142" s="16"/>
      <c r="L142" s="16"/>
      <c r="M142" s="16"/>
      <c r="N142" s="19"/>
      <c r="O142" s="19"/>
      <c r="P142" s="19"/>
      <c r="Q142" s="19"/>
      <c r="R142" s="19"/>
      <c r="S142" s="19"/>
      <c r="T142" s="19"/>
      <c r="U142" s="19"/>
      <c r="V142" s="59"/>
      <c r="W142" s="20"/>
      <c r="X142" s="43"/>
    </row>
    <row r="143" spans="1:24" ht="15.75" hidden="1" customHeight="1" x14ac:dyDescent="0.25">
      <c r="A143" s="16"/>
      <c r="B143" s="16"/>
      <c r="C143" s="16"/>
      <c r="D143" s="40"/>
      <c r="E143" s="17"/>
      <c r="F143" s="21"/>
      <c r="G143" s="16"/>
      <c r="H143" s="16"/>
      <c r="I143" s="22"/>
      <c r="J143" s="22"/>
      <c r="K143" s="16"/>
      <c r="L143" s="16"/>
      <c r="M143" s="16"/>
      <c r="N143" s="19"/>
      <c r="O143" s="19"/>
      <c r="P143" s="19"/>
      <c r="Q143" s="19"/>
      <c r="R143" s="19"/>
      <c r="S143" s="19"/>
      <c r="T143" s="19"/>
      <c r="U143" s="19"/>
      <c r="V143" s="59"/>
      <c r="W143" s="20"/>
      <c r="X143" s="43"/>
    </row>
    <row r="144" spans="1:24" ht="15.75" hidden="1" customHeight="1" x14ac:dyDescent="0.25">
      <c r="A144" s="16"/>
      <c r="B144" s="16"/>
      <c r="C144" s="16"/>
      <c r="D144" s="40"/>
      <c r="E144" s="17"/>
      <c r="F144" s="21"/>
      <c r="G144" s="16"/>
      <c r="H144" s="16"/>
      <c r="I144" s="22"/>
      <c r="J144" s="22"/>
      <c r="K144" s="16"/>
      <c r="L144" s="16"/>
      <c r="M144" s="16"/>
      <c r="N144" s="19"/>
      <c r="O144" s="19"/>
      <c r="P144" s="19"/>
      <c r="Q144" s="19"/>
      <c r="R144" s="19"/>
      <c r="S144" s="19"/>
      <c r="T144" s="19"/>
      <c r="U144" s="19"/>
      <c r="V144" s="59"/>
      <c r="W144" s="20"/>
      <c r="X144" s="43"/>
    </row>
    <row r="145" spans="1:24" ht="15.75" hidden="1" customHeight="1" x14ac:dyDescent="0.25">
      <c r="A145" s="16"/>
      <c r="B145" s="16"/>
      <c r="C145" s="16"/>
      <c r="D145" s="40"/>
      <c r="E145" s="17"/>
      <c r="F145" s="21"/>
      <c r="G145" s="16"/>
      <c r="H145" s="16"/>
      <c r="I145" s="22"/>
      <c r="J145" s="22"/>
      <c r="K145" s="16"/>
      <c r="L145" s="16"/>
      <c r="M145" s="16"/>
      <c r="N145" s="19"/>
      <c r="O145" s="19"/>
      <c r="P145" s="19"/>
      <c r="Q145" s="19"/>
      <c r="R145" s="19"/>
      <c r="S145" s="19"/>
      <c r="T145" s="19"/>
      <c r="U145" s="19"/>
      <c r="V145" s="59"/>
      <c r="W145" s="20"/>
      <c r="X145" s="43"/>
    </row>
    <row r="146" spans="1:24" ht="15.75" hidden="1" customHeight="1" x14ac:dyDescent="0.25">
      <c r="A146" s="16"/>
      <c r="B146" s="16"/>
      <c r="C146" s="16"/>
      <c r="D146" s="40"/>
      <c r="E146" s="17"/>
      <c r="F146" s="21"/>
      <c r="G146" s="16"/>
      <c r="H146" s="16"/>
      <c r="I146" s="22"/>
      <c r="J146" s="22"/>
      <c r="K146" s="16"/>
      <c r="L146" s="16"/>
      <c r="M146" s="16"/>
      <c r="N146" s="19"/>
      <c r="O146" s="19"/>
      <c r="P146" s="19"/>
      <c r="Q146" s="19"/>
      <c r="R146" s="19"/>
      <c r="S146" s="19"/>
      <c r="T146" s="19"/>
      <c r="U146" s="19"/>
      <c r="V146" s="59"/>
      <c r="W146" s="20"/>
      <c r="X146" s="43"/>
    </row>
    <row r="147" spans="1:24" ht="15.75" hidden="1" customHeight="1" x14ac:dyDescent="0.25">
      <c r="A147" s="16"/>
      <c r="B147" s="16"/>
      <c r="C147" s="16"/>
      <c r="D147" s="40"/>
      <c r="E147" s="17"/>
      <c r="F147" s="21"/>
      <c r="G147" s="16"/>
      <c r="H147" s="16"/>
      <c r="I147" s="22"/>
      <c r="J147" s="22"/>
      <c r="K147" s="16"/>
      <c r="L147" s="16"/>
      <c r="M147" s="16"/>
      <c r="N147" s="19"/>
      <c r="O147" s="19"/>
      <c r="P147" s="19"/>
      <c r="Q147" s="19"/>
      <c r="R147" s="19"/>
      <c r="S147" s="19"/>
      <c r="T147" s="19"/>
      <c r="U147" s="19"/>
      <c r="V147" s="59"/>
      <c r="W147" s="20"/>
      <c r="X147" s="43"/>
    </row>
    <row r="148" spans="1:24" ht="15.75" hidden="1" customHeight="1" x14ac:dyDescent="0.25">
      <c r="A148" s="16"/>
      <c r="B148" s="16"/>
      <c r="C148" s="16"/>
      <c r="D148" s="40"/>
      <c r="E148" s="17"/>
      <c r="F148" s="21"/>
      <c r="G148" s="16"/>
      <c r="H148" s="16"/>
      <c r="I148" s="22"/>
      <c r="J148" s="22"/>
      <c r="K148" s="16"/>
      <c r="L148" s="16"/>
      <c r="M148" s="16"/>
      <c r="N148" s="19"/>
      <c r="O148" s="19"/>
      <c r="P148" s="19"/>
      <c r="Q148" s="19"/>
      <c r="R148" s="19"/>
      <c r="S148" s="19"/>
      <c r="T148" s="19"/>
      <c r="U148" s="19"/>
      <c r="V148" s="59"/>
      <c r="W148" s="20"/>
      <c r="X148" s="43"/>
    </row>
    <row r="149" spans="1:24" ht="15.75" hidden="1" customHeight="1" x14ac:dyDescent="0.25">
      <c r="A149" s="16"/>
      <c r="B149" s="16"/>
      <c r="C149" s="16"/>
      <c r="D149" s="40"/>
      <c r="E149" s="17"/>
      <c r="F149" s="21"/>
      <c r="G149" s="16"/>
      <c r="H149" s="16"/>
      <c r="I149" s="22"/>
      <c r="J149" s="22"/>
      <c r="K149" s="16"/>
      <c r="L149" s="16"/>
      <c r="M149" s="16"/>
      <c r="N149" s="19"/>
      <c r="O149" s="19"/>
      <c r="P149" s="19"/>
      <c r="Q149" s="19"/>
      <c r="R149" s="19"/>
      <c r="S149" s="19"/>
      <c r="T149" s="19"/>
      <c r="U149" s="19"/>
      <c r="V149" s="59"/>
      <c r="W149" s="20"/>
      <c r="X149" s="43"/>
    </row>
    <row r="150" spans="1:24" ht="15.75" hidden="1" customHeight="1" x14ac:dyDescent="0.25">
      <c r="A150" s="16"/>
      <c r="B150" s="16"/>
      <c r="C150" s="16"/>
      <c r="D150" s="40"/>
      <c r="E150" s="17"/>
      <c r="F150" s="21"/>
      <c r="G150" s="16"/>
      <c r="H150" s="16"/>
      <c r="I150" s="22"/>
      <c r="J150" s="22"/>
      <c r="K150" s="16"/>
      <c r="L150" s="16"/>
      <c r="M150" s="16"/>
      <c r="N150" s="19"/>
      <c r="O150" s="19"/>
      <c r="P150" s="19"/>
      <c r="Q150" s="19"/>
      <c r="R150" s="19"/>
      <c r="S150" s="19"/>
      <c r="T150" s="19"/>
      <c r="U150" s="19"/>
      <c r="V150" s="59"/>
      <c r="W150" s="20"/>
      <c r="X150" s="43"/>
    </row>
    <row r="151" spans="1:24" ht="15.75" hidden="1" customHeight="1" x14ac:dyDescent="0.25">
      <c r="A151" s="16"/>
      <c r="B151" s="16"/>
      <c r="C151" s="16"/>
      <c r="D151" s="40"/>
      <c r="E151" s="17"/>
      <c r="F151" s="21"/>
      <c r="G151" s="16"/>
      <c r="H151" s="16"/>
      <c r="I151" s="22"/>
      <c r="J151" s="22"/>
      <c r="K151" s="16"/>
      <c r="L151" s="16"/>
      <c r="M151" s="16"/>
      <c r="N151" s="19"/>
      <c r="O151" s="19"/>
      <c r="P151" s="19"/>
      <c r="Q151" s="19"/>
      <c r="R151" s="19"/>
      <c r="S151" s="19"/>
      <c r="T151" s="19"/>
      <c r="U151" s="19"/>
      <c r="V151" s="59"/>
      <c r="W151" s="20"/>
      <c r="X151" s="43"/>
    </row>
    <row r="152" spans="1:24" ht="15.75" hidden="1" customHeight="1" x14ac:dyDescent="0.25">
      <c r="A152" s="16"/>
      <c r="B152" s="16"/>
      <c r="C152" s="16"/>
      <c r="D152" s="40"/>
      <c r="E152" s="17"/>
      <c r="F152" s="21"/>
      <c r="G152" s="16"/>
      <c r="H152" s="16"/>
      <c r="I152" s="22"/>
      <c r="J152" s="22"/>
      <c r="K152" s="16"/>
      <c r="L152" s="16"/>
      <c r="M152" s="16"/>
      <c r="N152" s="19"/>
      <c r="O152" s="19"/>
      <c r="P152" s="19"/>
      <c r="Q152" s="19"/>
      <c r="R152" s="19"/>
      <c r="S152" s="19"/>
      <c r="T152" s="19"/>
      <c r="U152" s="19"/>
      <c r="V152" s="59"/>
      <c r="W152" s="20"/>
      <c r="X152" s="43"/>
    </row>
    <row r="153" spans="1:24" ht="15.75" hidden="1" customHeight="1" x14ac:dyDescent="0.25">
      <c r="A153" s="16"/>
      <c r="B153" s="16"/>
      <c r="C153" s="16"/>
      <c r="D153" s="40"/>
      <c r="E153" s="17"/>
      <c r="F153" s="21"/>
      <c r="G153" s="16"/>
      <c r="H153" s="16"/>
      <c r="I153" s="22"/>
      <c r="J153" s="22"/>
      <c r="K153" s="16"/>
      <c r="L153" s="16"/>
      <c r="M153" s="16"/>
      <c r="N153" s="19"/>
      <c r="O153" s="19"/>
      <c r="P153" s="19"/>
      <c r="Q153" s="19"/>
      <c r="R153" s="19"/>
      <c r="S153" s="19"/>
      <c r="T153" s="19"/>
      <c r="U153" s="19"/>
      <c r="V153" s="59"/>
      <c r="W153" s="20"/>
      <c r="X153" s="43"/>
    </row>
    <row r="154" spans="1:24" ht="15.75" hidden="1" customHeight="1" x14ac:dyDescent="0.25">
      <c r="A154" s="16"/>
      <c r="B154" s="16"/>
      <c r="C154" s="16"/>
      <c r="D154" s="40"/>
      <c r="E154" s="17"/>
      <c r="F154" s="21"/>
      <c r="G154" s="16"/>
      <c r="H154" s="16"/>
      <c r="I154" s="22"/>
      <c r="J154" s="22"/>
      <c r="K154" s="16"/>
      <c r="L154" s="16"/>
      <c r="M154" s="16"/>
      <c r="N154" s="19"/>
      <c r="O154" s="19"/>
      <c r="P154" s="19"/>
      <c r="Q154" s="19"/>
      <c r="R154" s="19"/>
      <c r="S154" s="19"/>
      <c r="T154" s="19"/>
      <c r="U154" s="19"/>
      <c r="V154" s="59"/>
      <c r="W154" s="20"/>
      <c r="X154" s="43"/>
    </row>
    <row r="155" spans="1:24" ht="15.75" hidden="1" customHeight="1" x14ac:dyDescent="0.25">
      <c r="A155" s="16"/>
      <c r="B155" s="16"/>
      <c r="C155" s="16"/>
      <c r="D155" s="40"/>
      <c r="E155" s="17"/>
      <c r="F155" s="21"/>
      <c r="G155" s="16"/>
      <c r="H155" s="16"/>
      <c r="I155" s="22"/>
      <c r="J155" s="22"/>
      <c r="K155" s="16"/>
      <c r="L155" s="16"/>
      <c r="M155" s="16"/>
      <c r="N155" s="19"/>
      <c r="O155" s="19"/>
      <c r="P155" s="19"/>
      <c r="Q155" s="19"/>
      <c r="R155" s="19"/>
      <c r="S155" s="19"/>
      <c r="T155" s="19"/>
      <c r="U155" s="19"/>
      <c r="V155" s="59"/>
      <c r="W155" s="20"/>
      <c r="X155" s="43"/>
    </row>
    <row r="156" spans="1:24" ht="15.75" hidden="1" customHeight="1" x14ac:dyDescent="0.25">
      <c r="A156" s="16"/>
      <c r="B156" s="16"/>
      <c r="C156" s="16"/>
      <c r="D156" s="40"/>
      <c r="E156" s="17"/>
      <c r="F156" s="21"/>
      <c r="G156" s="16"/>
      <c r="H156" s="16"/>
      <c r="I156" s="22"/>
      <c r="J156" s="22"/>
      <c r="K156" s="16"/>
      <c r="L156" s="16"/>
      <c r="M156" s="16"/>
      <c r="N156" s="19"/>
      <c r="O156" s="19"/>
      <c r="P156" s="19"/>
      <c r="Q156" s="19"/>
      <c r="R156" s="19"/>
      <c r="S156" s="19"/>
      <c r="T156" s="19"/>
      <c r="U156" s="19"/>
      <c r="V156" s="59"/>
      <c r="W156" s="20"/>
      <c r="X156" s="43"/>
    </row>
    <row r="157" spans="1:24" ht="15.75" hidden="1" customHeight="1" x14ac:dyDescent="0.25">
      <c r="A157" s="16"/>
      <c r="B157" s="16"/>
      <c r="C157" s="16"/>
      <c r="D157" s="40"/>
      <c r="E157" s="17"/>
      <c r="F157" s="21"/>
      <c r="G157" s="16"/>
      <c r="H157" s="16"/>
      <c r="I157" s="22"/>
      <c r="J157" s="22"/>
      <c r="K157" s="16"/>
      <c r="L157" s="16"/>
      <c r="M157" s="16"/>
      <c r="N157" s="19"/>
      <c r="O157" s="19"/>
      <c r="P157" s="19"/>
      <c r="Q157" s="19"/>
      <c r="R157" s="19"/>
      <c r="S157" s="19"/>
      <c r="T157" s="19"/>
      <c r="U157" s="19"/>
      <c r="V157" s="59"/>
      <c r="W157" s="20"/>
      <c r="X157" s="43"/>
    </row>
    <row r="158" spans="1:24" ht="15.75" hidden="1" customHeight="1" x14ac:dyDescent="0.25">
      <c r="A158" s="16"/>
      <c r="B158" s="16"/>
      <c r="C158" s="16"/>
      <c r="D158" s="40"/>
      <c r="E158" s="17"/>
      <c r="F158" s="21"/>
      <c r="G158" s="16"/>
      <c r="H158" s="16"/>
      <c r="I158" s="22"/>
      <c r="J158" s="22"/>
      <c r="K158" s="16"/>
      <c r="L158" s="16"/>
      <c r="M158" s="16"/>
      <c r="N158" s="19"/>
      <c r="O158" s="19"/>
      <c r="P158" s="19"/>
      <c r="Q158" s="19"/>
      <c r="R158" s="19"/>
      <c r="S158" s="19"/>
      <c r="T158" s="19"/>
      <c r="U158" s="19"/>
      <c r="V158" s="59"/>
      <c r="W158" s="20"/>
      <c r="X158" s="43"/>
    </row>
    <row r="159" spans="1:24" ht="15.75" hidden="1" customHeight="1" x14ac:dyDescent="0.25">
      <c r="A159" s="16"/>
      <c r="B159" s="16"/>
      <c r="C159" s="16"/>
      <c r="D159" s="40"/>
      <c r="E159" s="17"/>
      <c r="F159" s="21"/>
      <c r="G159" s="16"/>
      <c r="H159" s="16"/>
      <c r="I159" s="22"/>
      <c r="J159" s="22"/>
      <c r="K159" s="16"/>
      <c r="L159" s="16"/>
      <c r="M159" s="16"/>
      <c r="N159" s="19"/>
      <c r="O159" s="19"/>
      <c r="P159" s="19"/>
      <c r="Q159" s="19"/>
      <c r="R159" s="19"/>
      <c r="S159" s="19"/>
      <c r="T159" s="19"/>
      <c r="U159" s="19"/>
      <c r="V159" s="59"/>
      <c r="W159" s="20"/>
      <c r="X159" s="43"/>
    </row>
    <row r="160" spans="1:24" ht="15.75" hidden="1" customHeight="1" x14ac:dyDescent="0.25">
      <c r="A160" s="16"/>
      <c r="B160" s="16"/>
      <c r="C160" s="16"/>
      <c r="D160" s="40"/>
      <c r="E160" s="17"/>
      <c r="F160" s="21"/>
      <c r="G160" s="16"/>
      <c r="H160" s="16"/>
      <c r="I160" s="22"/>
      <c r="J160" s="22"/>
      <c r="K160" s="16"/>
      <c r="L160" s="16"/>
      <c r="M160" s="16"/>
      <c r="N160" s="19"/>
      <c r="O160" s="19"/>
      <c r="P160" s="19"/>
      <c r="Q160" s="19"/>
      <c r="R160" s="19"/>
      <c r="S160" s="19"/>
      <c r="T160" s="19"/>
      <c r="U160" s="19"/>
      <c r="V160" s="59"/>
      <c r="W160" s="20"/>
      <c r="X160" s="43"/>
    </row>
    <row r="161" spans="1:24" ht="15.75" hidden="1" customHeight="1" x14ac:dyDescent="0.25">
      <c r="A161" s="16"/>
      <c r="B161" s="16"/>
      <c r="C161" s="16"/>
      <c r="D161" s="40"/>
      <c r="E161" s="17"/>
      <c r="F161" s="21"/>
      <c r="G161" s="16"/>
      <c r="H161" s="16"/>
      <c r="I161" s="22"/>
      <c r="J161" s="22"/>
      <c r="K161" s="16"/>
      <c r="L161" s="16"/>
      <c r="M161" s="16"/>
      <c r="N161" s="19"/>
      <c r="O161" s="19"/>
      <c r="P161" s="19"/>
      <c r="Q161" s="19"/>
      <c r="R161" s="19"/>
      <c r="S161" s="19"/>
      <c r="T161" s="19"/>
      <c r="U161" s="19"/>
      <c r="V161" s="59"/>
      <c r="W161" s="20"/>
      <c r="X161" s="43"/>
    </row>
    <row r="162" spans="1:24" ht="15.75" hidden="1" customHeight="1" x14ac:dyDescent="0.25">
      <c r="A162" s="16"/>
      <c r="B162" s="16"/>
      <c r="C162" s="16"/>
      <c r="D162" s="40"/>
      <c r="E162" s="17"/>
      <c r="F162" s="21"/>
      <c r="G162" s="16"/>
      <c r="H162" s="16"/>
      <c r="I162" s="22"/>
      <c r="J162" s="22"/>
      <c r="K162" s="16"/>
      <c r="L162" s="16"/>
      <c r="M162" s="16"/>
      <c r="N162" s="19"/>
      <c r="O162" s="19"/>
      <c r="P162" s="19"/>
      <c r="Q162" s="19"/>
      <c r="R162" s="19"/>
      <c r="S162" s="19"/>
      <c r="T162" s="19"/>
      <c r="U162" s="19"/>
      <c r="V162" s="59"/>
      <c r="W162" s="20"/>
      <c r="X162" s="43"/>
    </row>
    <row r="163" spans="1:24" ht="15.75" hidden="1" customHeight="1" x14ac:dyDescent="0.25">
      <c r="A163" s="16"/>
      <c r="B163" s="16"/>
      <c r="C163" s="16"/>
      <c r="D163" s="40"/>
      <c r="E163" s="17"/>
      <c r="F163" s="21"/>
      <c r="G163" s="16"/>
      <c r="H163" s="16"/>
      <c r="I163" s="22"/>
      <c r="J163" s="22"/>
      <c r="K163" s="16"/>
      <c r="L163" s="16"/>
      <c r="M163" s="16"/>
      <c r="N163" s="19"/>
      <c r="O163" s="19"/>
      <c r="P163" s="19"/>
      <c r="Q163" s="19"/>
      <c r="R163" s="19"/>
      <c r="S163" s="19"/>
      <c r="T163" s="19"/>
      <c r="U163" s="19"/>
      <c r="V163" s="59"/>
      <c r="W163" s="20"/>
      <c r="X163" s="43"/>
    </row>
    <row r="164" spans="1:24" ht="15.75" hidden="1" customHeight="1" x14ac:dyDescent="0.25">
      <c r="A164" s="16"/>
      <c r="B164" s="16"/>
      <c r="C164" s="16"/>
      <c r="D164" s="40"/>
      <c r="E164" s="17"/>
      <c r="F164" s="21"/>
      <c r="G164" s="16"/>
      <c r="H164" s="16"/>
      <c r="I164" s="22"/>
      <c r="J164" s="22"/>
      <c r="K164" s="16"/>
      <c r="L164" s="16"/>
      <c r="M164" s="16"/>
      <c r="N164" s="19"/>
      <c r="O164" s="19"/>
      <c r="P164" s="19"/>
      <c r="Q164" s="19"/>
      <c r="R164" s="19"/>
      <c r="S164" s="19"/>
      <c r="T164" s="19"/>
      <c r="U164" s="19"/>
      <c r="V164" s="59"/>
      <c r="W164" s="20"/>
      <c r="X164" s="43"/>
    </row>
    <row r="165" spans="1:24" ht="15.75" hidden="1" customHeight="1" x14ac:dyDescent="0.25">
      <c r="A165" s="16"/>
      <c r="B165" s="16"/>
      <c r="C165" s="16"/>
      <c r="D165" s="40"/>
      <c r="E165" s="17"/>
      <c r="F165" s="21"/>
      <c r="G165" s="16"/>
      <c r="H165" s="16"/>
      <c r="I165" s="22"/>
      <c r="J165" s="22"/>
      <c r="K165" s="16"/>
      <c r="L165" s="16"/>
      <c r="M165" s="16"/>
      <c r="N165" s="19"/>
      <c r="O165" s="19"/>
      <c r="P165" s="19"/>
      <c r="Q165" s="19"/>
      <c r="R165" s="19"/>
      <c r="S165" s="19"/>
      <c r="T165" s="19"/>
      <c r="U165" s="19"/>
      <c r="V165" s="59"/>
      <c r="W165" s="20"/>
      <c r="X165" s="43"/>
    </row>
    <row r="166" spans="1:24" ht="15.75" hidden="1" customHeight="1" x14ac:dyDescent="0.25">
      <c r="A166" s="16"/>
      <c r="B166" s="16"/>
      <c r="C166" s="16"/>
      <c r="D166" s="40"/>
      <c r="E166" s="17"/>
      <c r="F166" s="21"/>
      <c r="G166" s="16"/>
      <c r="H166" s="16"/>
      <c r="I166" s="22"/>
      <c r="J166" s="22"/>
      <c r="K166" s="16"/>
      <c r="L166" s="16"/>
      <c r="M166" s="16"/>
      <c r="N166" s="19"/>
      <c r="O166" s="19"/>
      <c r="P166" s="19"/>
      <c r="Q166" s="19"/>
      <c r="R166" s="19"/>
      <c r="S166" s="19"/>
      <c r="T166" s="19"/>
      <c r="U166" s="19"/>
      <c r="V166" s="59"/>
      <c r="W166" s="20"/>
      <c r="X166" s="43"/>
    </row>
    <row r="167" spans="1:24" ht="15.75" hidden="1" customHeight="1" x14ac:dyDescent="0.25">
      <c r="A167" s="16"/>
      <c r="B167" s="16"/>
      <c r="C167" s="16"/>
      <c r="D167" s="40"/>
      <c r="E167" s="17"/>
      <c r="F167" s="21"/>
      <c r="G167" s="16"/>
      <c r="H167" s="16"/>
      <c r="I167" s="22"/>
      <c r="J167" s="22"/>
      <c r="K167" s="16"/>
      <c r="L167" s="16"/>
      <c r="M167" s="16"/>
      <c r="N167" s="19"/>
      <c r="O167" s="19"/>
      <c r="P167" s="19"/>
      <c r="Q167" s="19"/>
      <c r="R167" s="19"/>
      <c r="S167" s="19"/>
      <c r="T167" s="19"/>
      <c r="U167" s="19"/>
      <c r="V167" s="59"/>
      <c r="W167" s="20"/>
      <c r="X167" s="43"/>
    </row>
    <row r="168" spans="1:24" ht="15.75" hidden="1" customHeight="1" x14ac:dyDescent="0.25">
      <c r="A168" s="16"/>
      <c r="B168" s="16"/>
      <c r="C168" s="16"/>
      <c r="D168" s="40"/>
      <c r="E168" s="17"/>
      <c r="F168" s="21"/>
      <c r="G168" s="16"/>
      <c r="H168" s="16"/>
      <c r="I168" s="22"/>
      <c r="J168" s="22"/>
      <c r="K168" s="16"/>
      <c r="L168" s="16"/>
      <c r="M168" s="16"/>
      <c r="N168" s="19"/>
      <c r="O168" s="19"/>
      <c r="P168" s="19"/>
      <c r="Q168" s="19"/>
      <c r="R168" s="19"/>
      <c r="S168" s="19"/>
      <c r="T168" s="19"/>
      <c r="U168" s="19"/>
      <c r="V168" s="59"/>
      <c r="W168" s="20"/>
      <c r="X168" s="43"/>
    </row>
    <row r="169" spans="1:24" ht="15.75" hidden="1" customHeight="1" x14ac:dyDescent="0.25">
      <c r="A169" s="16"/>
      <c r="B169" s="16"/>
      <c r="C169" s="16"/>
      <c r="D169" s="40"/>
      <c r="E169" s="17"/>
      <c r="F169" s="21"/>
      <c r="G169" s="16"/>
      <c r="H169" s="16"/>
      <c r="I169" s="22"/>
      <c r="J169" s="22"/>
      <c r="K169" s="16"/>
      <c r="L169" s="16"/>
      <c r="M169" s="16"/>
      <c r="N169" s="19"/>
      <c r="O169" s="19"/>
      <c r="P169" s="19"/>
      <c r="Q169" s="19"/>
      <c r="R169" s="19"/>
      <c r="S169" s="19"/>
      <c r="T169" s="19"/>
      <c r="U169" s="19"/>
      <c r="V169" s="59"/>
      <c r="W169" s="20"/>
      <c r="X169" s="43"/>
    </row>
    <row r="170" spans="1:24" ht="15.75" hidden="1" customHeight="1" x14ac:dyDescent="0.25">
      <c r="A170" s="16"/>
      <c r="B170" s="16"/>
      <c r="C170" s="16"/>
      <c r="D170" s="40"/>
      <c r="E170" s="17"/>
      <c r="F170" s="21"/>
      <c r="G170" s="16"/>
      <c r="H170" s="16"/>
      <c r="I170" s="22"/>
      <c r="J170" s="22"/>
      <c r="K170" s="16"/>
      <c r="L170" s="16"/>
      <c r="M170" s="16"/>
      <c r="N170" s="19"/>
      <c r="O170" s="19"/>
      <c r="P170" s="19"/>
      <c r="Q170" s="19"/>
      <c r="R170" s="19"/>
      <c r="S170" s="19"/>
      <c r="T170" s="19"/>
      <c r="U170" s="19"/>
      <c r="V170" s="59"/>
      <c r="W170" s="20"/>
      <c r="X170" s="43"/>
    </row>
    <row r="171" spans="1:24" ht="15.75" hidden="1" customHeight="1" x14ac:dyDescent="0.25">
      <c r="A171" s="16"/>
      <c r="B171" s="16"/>
      <c r="C171" s="16"/>
      <c r="D171" s="40"/>
      <c r="E171" s="17"/>
      <c r="F171" s="21"/>
      <c r="G171" s="16"/>
      <c r="H171" s="16"/>
      <c r="I171" s="22"/>
      <c r="J171" s="22"/>
      <c r="K171" s="16"/>
      <c r="L171" s="16"/>
      <c r="M171" s="16"/>
      <c r="N171" s="19"/>
      <c r="O171" s="19"/>
      <c r="P171" s="19"/>
      <c r="Q171" s="19"/>
      <c r="R171" s="19"/>
      <c r="S171" s="19"/>
      <c r="T171" s="19"/>
      <c r="U171" s="19"/>
      <c r="V171" s="59"/>
      <c r="W171" s="20"/>
      <c r="X171" s="43"/>
    </row>
    <row r="172" spans="1:24" ht="15.75" hidden="1" customHeight="1" x14ac:dyDescent="0.25">
      <c r="A172" s="16"/>
      <c r="B172" s="16"/>
      <c r="C172" s="16"/>
      <c r="D172" s="40"/>
      <c r="E172" s="17"/>
      <c r="F172" s="21"/>
      <c r="G172" s="16"/>
      <c r="H172" s="16"/>
      <c r="I172" s="22"/>
      <c r="J172" s="22"/>
      <c r="K172" s="16"/>
      <c r="L172" s="16"/>
      <c r="M172" s="16"/>
      <c r="N172" s="19"/>
      <c r="O172" s="19"/>
      <c r="P172" s="19"/>
      <c r="Q172" s="19"/>
      <c r="R172" s="19"/>
      <c r="S172" s="19"/>
      <c r="T172" s="19"/>
      <c r="U172" s="19"/>
      <c r="V172" s="59"/>
      <c r="W172" s="20"/>
      <c r="X172" s="43"/>
    </row>
    <row r="173" spans="1:24" ht="15.75" hidden="1" customHeight="1" x14ac:dyDescent="0.25">
      <c r="A173" s="16"/>
      <c r="B173" s="16"/>
      <c r="C173" s="16"/>
      <c r="D173" s="40"/>
      <c r="E173" s="17"/>
      <c r="F173" s="21"/>
      <c r="G173" s="16"/>
      <c r="H173" s="16"/>
      <c r="I173" s="22"/>
      <c r="J173" s="22"/>
      <c r="K173" s="16"/>
      <c r="L173" s="16"/>
      <c r="M173" s="16"/>
      <c r="N173" s="19"/>
      <c r="O173" s="19"/>
      <c r="P173" s="19"/>
      <c r="Q173" s="19"/>
      <c r="R173" s="19"/>
      <c r="S173" s="19"/>
      <c r="T173" s="19"/>
      <c r="U173" s="19"/>
      <c r="V173" s="59"/>
      <c r="W173" s="20"/>
      <c r="X173" s="43"/>
    </row>
    <row r="174" spans="1:24" ht="15.75" hidden="1" customHeight="1" x14ac:dyDescent="0.25">
      <c r="A174" s="16"/>
      <c r="B174" s="16"/>
      <c r="C174" s="16"/>
      <c r="D174" s="40"/>
      <c r="E174" s="17"/>
      <c r="F174" s="21"/>
      <c r="G174" s="16"/>
      <c r="H174" s="16"/>
      <c r="I174" s="22"/>
      <c r="J174" s="22"/>
      <c r="K174" s="16"/>
      <c r="L174" s="16"/>
      <c r="M174" s="16"/>
      <c r="N174" s="19"/>
      <c r="O174" s="19"/>
      <c r="P174" s="19"/>
      <c r="Q174" s="19"/>
      <c r="R174" s="19"/>
      <c r="S174" s="19"/>
      <c r="T174" s="19"/>
      <c r="U174" s="19"/>
      <c r="V174" s="59"/>
      <c r="W174" s="20"/>
      <c r="X174" s="43"/>
    </row>
    <row r="175" spans="1:24" ht="15.75" hidden="1" customHeight="1" x14ac:dyDescent="0.25">
      <c r="A175" s="16"/>
      <c r="B175" s="16"/>
      <c r="C175" s="16"/>
      <c r="D175" s="40"/>
      <c r="E175" s="17"/>
      <c r="F175" s="21"/>
      <c r="G175" s="16"/>
      <c r="H175" s="16"/>
      <c r="I175" s="22"/>
      <c r="J175" s="22"/>
      <c r="K175" s="16"/>
      <c r="L175" s="16"/>
      <c r="M175" s="16"/>
      <c r="N175" s="19"/>
      <c r="O175" s="19"/>
      <c r="P175" s="19"/>
      <c r="Q175" s="19"/>
      <c r="R175" s="19"/>
      <c r="S175" s="19"/>
      <c r="T175" s="19"/>
      <c r="U175" s="19"/>
      <c r="V175" s="59"/>
      <c r="W175" s="20"/>
      <c r="X175" s="43"/>
    </row>
    <row r="176" spans="1:24" ht="15.75" hidden="1" customHeight="1" x14ac:dyDescent="0.25">
      <c r="A176" s="16"/>
      <c r="B176" s="16"/>
      <c r="C176" s="16"/>
      <c r="D176" s="40"/>
      <c r="E176" s="17"/>
      <c r="F176" s="21"/>
      <c r="G176" s="16"/>
      <c r="H176" s="16"/>
      <c r="I176" s="22"/>
      <c r="J176" s="22"/>
      <c r="K176" s="16"/>
      <c r="L176" s="16"/>
      <c r="M176" s="16"/>
      <c r="N176" s="19"/>
      <c r="O176" s="19"/>
      <c r="P176" s="19"/>
      <c r="Q176" s="19"/>
      <c r="R176" s="19"/>
      <c r="S176" s="19"/>
      <c r="T176" s="19"/>
      <c r="U176" s="19"/>
      <c r="V176" s="59"/>
      <c r="W176" s="20"/>
      <c r="X176" s="43"/>
    </row>
    <row r="177" spans="1:24" ht="15.75" hidden="1" customHeight="1" x14ac:dyDescent="0.25">
      <c r="A177" s="16"/>
      <c r="B177" s="16"/>
      <c r="C177" s="16"/>
      <c r="D177" s="40"/>
      <c r="E177" s="17"/>
      <c r="F177" s="21"/>
      <c r="G177" s="16"/>
      <c r="H177" s="16"/>
      <c r="I177" s="22"/>
      <c r="J177" s="22"/>
      <c r="K177" s="16"/>
      <c r="L177" s="16"/>
      <c r="M177" s="16"/>
      <c r="N177" s="19"/>
      <c r="O177" s="19"/>
      <c r="P177" s="19"/>
      <c r="Q177" s="19"/>
      <c r="R177" s="19"/>
      <c r="S177" s="19"/>
      <c r="T177" s="19"/>
      <c r="U177" s="19"/>
      <c r="V177" s="59"/>
      <c r="W177" s="20"/>
      <c r="X177" s="43"/>
    </row>
    <row r="178" spans="1:24" ht="15.75" hidden="1" customHeight="1" x14ac:dyDescent="0.25">
      <c r="A178" s="16"/>
      <c r="B178" s="16"/>
      <c r="C178" s="16"/>
      <c r="D178" s="40"/>
      <c r="E178" s="17"/>
      <c r="F178" s="21"/>
      <c r="G178" s="16"/>
      <c r="H178" s="16"/>
      <c r="I178" s="22"/>
      <c r="J178" s="22"/>
      <c r="K178" s="16"/>
      <c r="L178" s="16"/>
      <c r="M178" s="16"/>
      <c r="N178" s="19"/>
      <c r="O178" s="19"/>
      <c r="P178" s="19"/>
      <c r="Q178" s="19"/>
      <c r="R178" s="19"/>
      <c r="S178" s="19"/>
      <c r="T178" s="19"/>
      <c r="U178" s="19"/>
      <c r="V178" s="59"/>
      <c r="W178" s="20"/>
      <c r="X178" s="43"/>
    </row>
    <row r="179" spans="1:24" ht="15.75" hidden="1" customHeight="1" x14ac:dyDescent="0.25">
      <c r="A179" s="16"/>
      <c r="B179" s="16"/>
      <c r="C179" s="16"/>
      <c r="D179" s="40"/>
      <c r="E179" s="17"/>
      <c r="F179" s="21"/>
      <c r="G179" s="16"/>
      <c r="H179" s="16"/>
      <c r="I179" s="22"/>
      <c r="J179" s="22"/>
      <c r="K179" s="16"/>
      <c r="L179" s="16"/>
      <c r="M179" s="16"/>
      <c r="N179" s="19"/>
      <c r="O179" s="19"/>
      <c r="P179" s="19"/>
      <c r="Q179" s="19"/>
      <c r="R179" s="19"/>
      <c r="S179" s="19"/>
      <c r="T179" s="19"/>
      <c r="U179" s="19"/>
      <c r="V179" s="59"/>
      <c r="W179" s="20"/>
      <c r="X179" s="43"/>
    </row>
    <row r="180" spans="1:24" ht="15.75" hidden="1" customHeight="1" x14ac:dyDescent="0.25">
      <c r="A180" s="16"/>
      <c r="B180" s="16"/>
      <c r="C180" s="16"/>
      <c r="D180" s="40"/>
      <c r="E180" s="17"/>
      <c r="F180" s="21"/>
      <c r="G180" s="16"/>
      <c r="H180" s="16"/>
      <c r="I180" s="22"/>
      <c r="J180" s="22"/>
      <c r="K180" s="16"/>
      <c r="L180" s="16"/>
      <c r="M180" s="16"/>
      <c r="N180" s="19"/>
      <c r="O180" s="19"/>
      <c r="P180" s="19"/>
      <c r="Q180" s="19"/>
      <c r="R180" s="19"/>
      <c r="S180" s="19"/>
      <c r="T180" s="19"/>
      <c r="U180" s="19"/>
      <c r="V180" s="59"/>
      <c r="W180" s="20"/>
      <c r="X180" s="43"/>
    </row>
    <row r="181" spans="1:24" ht="15.75" hidden="1" customHeight="1" x14ac:dyDescent="0.25">
      <c r="A181" s="16"/>
      <c r="B181" s="16"/>
      <c r="C181" s="16"/>
      <c r="D181" s="40"/>
      <c r="E181" s="17"/>
      <c r="F181" s="21"/>
      <c r="G181" s="16"/>
      <c r="H181" s="16"/>
      <c r="I181" s="22"/>
      <c r="J181" s="22"/>
      <c r="K181" s="16"/>
      <c r="L181" s="16"/>
      <c r="M181" s="16"/>
      <c r="N181" s="19"/>
      <c r="O181" s="19"/>
      <c r="P181" s="19"/>
      <c r="Q181" s="19"/>
      <c r="R181" s="19"/>
      <c r="S181" s="19"/>
      <c r="T181" s="19"/>
      <c r="U181" s="19"/>
      <c r="V181" s="59"/>
      <c r="W181" s="20"/>
      <c r="X181" s="43"/>
    </row>
    <row r="182" spans="1:24" ht="15.75" hidden="1" customHeight="1" x14ac:dyDescent="0.25">
      <c r="A182" s="16"/>
      <c r="B182" s="16"/>
      <c r="C182" s="16"/>
      <c r="D182" s="40"/>
      <c r="E182" s="17"/>
      <c r="F182" s="21"/>
      <c r="G182" s="16"/>
      <c r="H182" s="16"/>
      <c r="I182" s="22"/>
      <c r="J182" s="22"/>
      <c r="K182" s="16"/>
      <c r="L182" s="16"/>
      <c r="M182" s="16"/>
      <c r="N182" s="19"/>
      <c r="O182" s="19"/>
      <c r="P182" s="19"/>
      <c r="Q182" s="19"/>
      <c r="R182" s="19"/>
      <c r="S182" s="19"/>
      <c r="T182" s="19"/>
      <c r="U182" s="19"/>
      <c r="V182" s="59"/>
      <c r="W182" s="20"/>
      <c r="X182" s="43"/>
    </row>
    <row r="183" spans="1:24" ht="15.75" hidden="1" customHeight="1" x14ac:dyDescent="0.25">
      <c r="A183" s="16"/>
      <c r="B183" s="16"/>
      <c r="C183" s="16"/>
      <c r="D183" s="40"/>
      <c r="E183" s="17"/>
      <c r="F183" s="21"/>
      <c r="G183" s="16"/>
      <c r="H183" s="16"/>
      <c r="I183" s="22"/>
      <c r="J183" s="22"/>
      <c r="K183" s="16"/>
      <c r="L183" s="16"/>
      <c r="M183" s="16"/>
      <c r="N183" s="19"/>
      <c r="O183" s="19"/>
      <c r="P183" s="19"/>
      <c r="Q183" s="19"/>
      <c r="R183" s="19"/>
      <c r="S183" s="19"/>
      <c r="T183" s="19"/>
      <c r="U183" s="19"/>
      <c r="V183" s="59"/>
      <c r="W183" s="20"/>
      <c r="X183" s="43"/>
    </row>
    <row r="184" spans="1:24" ht="15.75" hidden="1" customHeight="1" x14ac:dyDescent="0.25">
      <c r="A184" s="16"/>
      <c r="B184" s="16"/>
      <c r="C184" s="16"/>
      <c r="D184" s="40"/>
      <c r="E184" s="17"/>
      <c r="F184" s="21"/>
      <c r="G184" s="16"/>
      <c r="H184" s="16"/>
      <c r="I184" s="22"/>
      <c r="J184" s="22"/>
      <c r="K184" s="16"/>
      <c r="L184" s="16"/>
      <c r="M184" s="16"/>
      <c r="N184" s="19"/>
      <c r="O184" s="19"/>
      <c r="P184" s="19"/>
      <c r="Q184" s="19"/>
      <c r="R184" s="19"/>
      <c r="S184" s="19"/>
      <c r="T184" s="19"/>
      <c r="U184" s="19"/>
      <c r="V184" s="59"/>
      <c r="W184" s="20"/>
      <c r="X184" s="43"/>
    </row>
    <row r="185" spans="1:24" ht="15.75" hidden="1" customHeight="1" x14ac:dyDescent="0.25">
      <c r="A185" s="16"/>
      <c r="B185" s="16"/>
      <c r="C185" s="16"/>
      <c r="D185" s="40"/>
      <c r="E185" s="17"/>
      <c r="F185" s="21"/>
      <c r="G185" s="16"/>
      <c r="H185" s="16"/>
      <c r="I185" s="22"/>
      <c r="J185" s="22"/>
      <c r="K185" s="16"/>
      <c r="L185" s="16"/>
      <c r="M185" s="16"/>
      <c r="N185" s="19"/>
      <c r="O185" s="19"/>
      <c r="P185" s="19"/>
      <c r="Q185" s="19"/>
      <c r="R185" s="19"/>
      <c r="S185" s="19"/>
      <c r="T185" s="19"/>
      <c r="U185" s="19"/>
      <c r="V185" s="59"/>
      <c r="W185" s="20"/>
      <c r="X185" s="43"/>
    </row>
    <row r="186" spans="1:24" ht="15.75" hidden="1" customHeight="1" x14ac:dyDescent="0.25">
      <c r="A186" s="16"/>
      <c r="B186" s="16"/>
      <c r="C186" s="16"/>
      <c r="D186" s="40"/>
      <c r="E186" s="17"/>
      <c r="F186" s="21"/>
      <c r="G186" s="16"/>
      <c r="H186" s="16"/>
      <c r="I186" s="22"/>
      <c r="J186" s="22"/>
      <c r="K186" s="16"/>
      <c r="L186" s="16"/>
      <c r="M186" s="16"/>
      <c r="N186" s="19"/>
      <c r="O186" s="19"/>
      <c r="P186" s="19"/>
      <c r="Q186" s="19"/>
      <c r="R186" s="19"/>
      <c r="S186" s="19"/>
      <c r="T186" s="19"/>
      <c r="U186" s="19"/>
      <c r="V186" s="59"/>
      <c r="W186" s="20"/>
      <c r="X186" s="43"/>
    </row>
    <row r="187" spans="1:24" ht="15.75" hidden="1" customHeight="1" x14ac:dyDescent="0.25">
      <c r="A187" s="16"/>
      <c r="B187" s="16"/>
      <c r="C187" s="16"/>
      <c r="D187" s="40"/>
      <c r="E187" s="17"/>
      <c r="F187" s="21"/>
      <c r="G187" s="16"/>
      <c r="H187" s="16"/>
      <c r="I187" s="22"/>
      <c r="J187" s="22"/>
      <c r="K187" s="16"/>
      <c r="L187" s="16"/>
      <c r="M187" s="16"/>
      <c r="N187" s="19"/>
      <c r="O187" s="19"/>
      <c r="P187" s="19"/>
      <c r="Q187" s="19"/>
      <c r="R187" s="19"/>
      <c r="S187" s="19"/>
      <c r="T187" s="19"/>
      <c r="U187" s="19"/>
      <c r="V187" s="59"/>
      <c r="W187" s="20"/>
      <c r="X187" s="43"/>
    </row>
    <row r="188" spans="1:24" ht="15.75" hidden="1" customHeight="1" x14ac:dyDescent="0.25">
      <c r="A188" s="16"/>
      <c r="B188" s="16"/>
      <c r="C188" s="16"/>
      <c r="D188" s="40"/>
      <c r="E188" s="17"/>
      <c r="F188" s="21"/>
      <c r="G188" s="16"/>
      <c r="H188" s="16"/>
      <c r="I188" s="22"/>
      <c r="J188" s="22"/>
      <c r="K188" s="16"/>
      <c r="L188" s="16"/>
      <c r="M188" s="16"/>
      <c r="N188" s="19"/>
      <c r="O188" s="19"/>
      <c r="P188" s="19"/>
      <c r="Q188" s="19"/>
      <c r="R188" s="19"/>
      <c r="S188" s="19"/>
      <c r="T188" s="19"/>
      <c r="U188" s="19"/>
      <c r="V188" s="59"/>
      <c r="W188" s="20"/>
      <c r="X188" s="43"/>
    </row>
    <row r="189" spans="1:24" ht="15.75" hidden="1" customHeight="1" x14ac:dyDescent="0.25">
      <c r="A189" s="16"/>
      <c r="B189" s="16"/>
      <c r="C189" s="16"/>
      <c r="D189" s="40"/>
      <c r="E189" s="17"/>
      <c r="F189" s="21"/>
      <c r="G189" s="16"/>
      <c r="H189" s="16"/>
      <c r="I189" s="22"/>
      <c r="J189" s="22"/>
      <c r="K189" s="16"/>
      <c r="L189" s="16"/>
      <c r="M189" s="16"/>
      <c r="N189" s="19"/>
      <c r="O189" s="19"/>
      <c r="P189" s="19"/>
      <c r="Q189" s="19"/>
      <c r="R189" s="19"/>
      <c r="S189" s="19"/>
      <c r="T189" s="19"/>
      <c r="U189" s="19"/>
      <c r="V189" s="59"/>
      <c r="W189" s="20"/>
      <c r="X189" s="43"/>
    </row>
    <row r="190" spans="1:24" ht="15.75" hidden="1" customHeight="1" x14ac:dyDescent="0.25">
      <c r="A190" s="16"/>
      <c r="B190" s="16"/>
      <c r="C190" s="16"/>
      <c r="D190" s="40"/>
      <c r="E190" s="17"/>
      <c r="F190" s="21"/>
      <c r="G190" s="16"/>
      <c r="H190" s="16"/>
      <c r="I190" s="22"/>
      <c r="J190" s="22"/>
      <c r="K190" s="16"/>
      <c r="L190" s="16"/>
      <c r="M190" s="16"/>
      <c r="N190" s="19"/>
      <c r="O190" s="19"/>
      <c r="P190" s="19"/>
      <c r="Q190" s="19"/>
      <c r="R190" s="19"/>
      <c r="S190" s="19"/>
      <c r="T190" s="19"/>
      <c r="U190" s="19"/>
      <c r="V190" s="59"/>
      <c r="W190" s="20"/>
      <c r="X190" s="43"/>
    </row>
    <row r="191" spans="1:24" ht="15.75" hidden="1" customHeight="1" x14ac:dyDescent="0.25">
      <c r="A191" s="16"/>
      <c r="B191" s="16"/>
      <c r="C191" s="16"/>
      <c r="D191" s="40"/>
      <c r="E191" s="17"/>
      <c r="F191" s="21"/>
      <c r="G191" s="16"/>
      <c r="H191" s="16"/>
      <c r="I191" s="22"/>
      <c r="J191" s="22"/>
      <c r="K191" s="16"/>
      <c r="L191" s="16"/>
      <c r="M191" s="16"/>
      <c r="N191" s="19"/>
      <c r="O191" s="19"/>
      <c r="P191" s="19"/>
      <c r="Q191" s="19"/>
      <c r="R191" s="19"/>
      <c r="S191" s="19"/>
      <c r="T191" s="19"/>
      <c r="U191" s="19"/>
      <c r="V191" s="59"/>
      <c r="W191" s="20"/>
      <c r="X191" s="43"/>
    </row>
    <row r="192" spans="1:24" ht="15.75" hidden="1" customHeight="1" x14ac:dyDescent="0.25">
      <c r="A192" s="16"/>
      <c r="B192" s="16"/>
      <c r="C192" s="16"/>
      <c r="D192" s="40"/>
      <c r="E192" s="17"/>
      <c r="F192" s="21"/>
      <c r="G192" s="16"/>
      <c r="H192" s="16"/>
      <c r="I192" s="22"/>
      <c r="J192" s="22"/>
      <c r="K192" s="16"/>
      <c r="L192" s="16"/>
      <c r="M192" s="16"/>
      <c r="N192" s="19"/>
      <c r="O192" s="19"/>
      <c r="P192" s="19"/>
      <c r="Q192" s="19"/>
      <c r="R192" s="19"/>
      <c r="S192" s="19"/>
      <c r="T192" s="19"/>
      <c r="U192" s="19"/>
      <c r="V192" s="59"/>
      <c r="W192" s="20"/>
      <c r="X192" s="43"/>
    </row>
    <row r="193" spans="1:24" ht="15.75" hidden="1" customHeight="1" x14ac:dyDescent="0.25">
      <c r="A193" s="16"/>
      <c r="B193" s="16"/>
      <c r="C193" s="16"/>
      <c r="D193" s="40"/>
      <c r="E193" s="17"/>
      <c r="F193" s="21"/>
      <c r="G193" s="16"/>
      <c r="H193" s="16"/>
      <c r="I193" s="22"/>
      <c r="J193" s="22"/>
      <c r="K193" s="16"/>
      <c r="L193" s="16"/>
      <c r="M193" s="16"/>
      <c r="N193" s="19"/>
      <c r="O193" s="19"/>
      <c r="P193" s="19"/>
      <c r="Q193" s="19"/>
      <c r="R193" s="19"/>
      <c r="S193" s="19"/>
      <c r="T193" s="19"/>
      <c r="U193" s="19"/>
      <c r="V193" s="59"/>
      <c r="W193" s="20"/>
      <c r="X193" s="43"/>
    </row>
    <row r="194" spans="1:24" ht="15.75" hidden="1" customHeight="1" x14ac:dyDescent="0.25">
      <c r="A194" s="16"/>
      <c r="B194" s="16"/>
      <c r="C194" s="16"/>
      <c r="D194" s="40"/>
      <c r="E194" s="17"/>
      <c r="F194" s="21"/>
      <c r="G194" s="16"/>
      <c r="H194" s="16"/>
      <c r="I194" s="22"/>
      <c r="J194" s="22"/>
      <c r="K194" s="16"/>
      <c r="L194" s="16"/>
      <c r="M194" s="16"/>
      <c r="N194" s="19"/>
      <c r="O194" s="19"/>
      <c r="P194" s="19"/>
      <c r="Q194" s="19"/>
      <c r="R194" s="19"/>
      <c r="S194" s="19"/>
      <c r="T194" s="19"/>
      <c r="U194" s="19"/>
      <c r="V194" s="59"/>
      <c r="W194" s="20"/>
      <c r="X194" s="43"/>
    </row>
    <row r="195" spans="1:24" ht="15.75" hidden="1" customHeight="1" x14ac:dyDescent="0.25">
      <c r="A195" s="16"/>
      <c r="B195" s="16"/>
      <c r="C195" s="16"/>
      <c r="D195" s="40"/>
      <c r="E195" s="17"/>
      <c r="F195" s="21"/>
      <c r="G195" s="16"/>
      <c r="H195" s="16"/>
      <c r="I195" s="22"/>
      <c r="J195" s="22"/>
      <c r="K195" s="16"/>
      <c r="L195" s="16"/>
      <c r="M195" s="16"/>
      <c r="N195" s="19"/>
      <c r="O195" s="19"/>
      <c r="P195" s="19"/>
      <c r="Q195" s="19"/>
      <c r="R195" s="19"/>
      <c r="S195" s="19"/>
      <c r="T195" s="19"/>
      <c r="U195" s="19"/>
      <c r="V195" s="59"/>
      <c r="W195" s="20"/>
      <c r="X195" s="43"/>
    </row>
    <row r="196" spans="1:24" ht="15.75" hidden="1" customHeight="1" x14ac:dyDescent="0.25">
      <c r="A196" s="16"/>
      <c r="B196" s="16"/>
      <c r="C196" s="16"/>
      <c r="D196" s="40"/>
      <c r="E196" s="17"/>
      <c r="F196" s="21"/>
      <c r="G196" s="16"/>
      <c r="H196" s="16"/>
      <c r="I196" s="22"/>
      <c r="J196" s="22"/>
      <c r="K196" s="16"/>
      <c r="L196" s="16"/>
      <c r="M196" s="16"/>
      <c r="N196" s="19"/>
      <c r="O196" s="19"/>
      <c r="P196" s="19"/>
      <c r="Q196" s="19"/>
      <c r="R196" s="19"/>
      <c r="S196" s="19"/>
      <c r="T196" s="19"/>
      <c r="U196" s="19"/>
      <c r="V196" s="59"/>
      <c r="W196" s="20"/>
      <c r="X196" s="43"/>
    </row>
    <row r="197" spans="1:24" ht="15.75" hidden="1" customHeight="1" x14ac:dyDescent="0.25">
      <c r="A197" s="16"/>
      <c r="B197" s="16"/>
      <c r="C197" s="16"/>
      <c r="D197" s="40"/>
      <c r="E197" s="17"/>
      <c r="F197" s="21"/>
      <c r="G197" s="16"/>
      <c r="H197" s="16"/>
      <c r="I197" s="22"/>
      <c r="J197" s="22"/>
      <c r="K197" s="16"/>
      <c r="L197" s="16"/>
      <c r="M197" s="16"/>
      <c r="N197" s="19"/>
      <c r="O197" s="19"/>
      <c r="P197" s="19"/>
      <c r="Q197" s="19"/>
      <c r="R197" s="19"/>
      <c r="S197" s="19"/>
      <c r="T197" s="19"/>
      <c r="U197" s="19"/>
      <c r="V197" s="59"/>
      <c r="W197" s="20"/>
      <c r="X197" s="43"/>
    </row>
    <row r="198" spans="1:24" ht="15.75" hidden="1" customHeight="1" x14ac:dyDescent="0.25">
      <c r="A198" s="16"/>
      <c r="B198" s="16"/>
      <c r="C198" s="16"/>
      <c r="D198" s="40"/>
      <c r="E198" s="17"/>
      <c r="F198" s="21"/>
      <c r="G198" s="16"/>
      <c r="H198" s="16"/>
      <c r="I198" s="22"/>
      <c r="J198" s="22"/>
      <c r="K198" s="16"/>
      <c r="L198" s="16"/>
      <c r="M198" s="16"/>
      <c r="N198" s="19"/>
      <c r="O198" s="19"/>
      <c r="P198" s="19"/>
      <c r="Q198" s="19"/>
      <c r="R198" s="19"/>
      <c r="S198" s="19"/>
      <c r="T198" s="19"/>
      <c r="U198" s="19"/>
      <c r="V198" s="59"/>
      <c r="W198" s="20"/>
      <c r="X198" s="43"/>
    </row>
    <row r="199" spans="1:24" ht="15.75" hidden="1" customHeight="1" x14ac:dyDescent="0.25">
      <c r="A199" s="16"/>
      <c r="B199" s="16"/>
      <c r="C199" s="16"/>
      <c r="D199" s="40"/>
      <c r="E199" s="17"/>
      <c r="F199" s="21"/>
      <c r="G199" s="16"/>
      <c r="H199" s="16"/>
      <c r="I199" s="22"/>
      <c r="J199" s="22"/>
      <c r="K199" s="16"/>
      <c r="L199" s="16"/>
      <c r="M199" s="16"/>
      <c r="N199" s="19"/>
      <c r="O199" s="19"/>
      <c r="P199" s="19"/>
      <c r="Q199" s="19"/>
      <c r="R199" s="19"/>
      <c r="S199" s="19"/>
      <c r="T199" s="19"/>
      <c r="U199" s="19"/>
      <c r="V199" s="59"/>
      <c r="W199" s="20"/>
      <c r="X199" s="43"/>
    </row>
    <row r="200" spans="1:24" ht="15.75" hidden="1" customHeight="1" x14ac:dyDescent="0.25">
      <c r="A200" s="16"/>
      <c r="B200" s="16"/>
      <c r="C200" s="16"/>
      <c r="D200" s="40"/>
      <c r="E200" s="17"/>
      <c r="F200" s="21"/>
      <c r="G200" s="16"/>
      <c r="H200" s="16"/>
      <c r="I200" s="22"/>
      <c r="J200" s="22"/>
      <c r="K200" s="16"/>
      <c r="L200" s="16"/>
      <c r="M200" s="16"/>
      <c r="N200" s="19"/>
      <c r="O200" s="19"/>
      <c r="P200" s="19"/>
      <c r="Q200" s="19"/>
      <c r="R200" s="19"/>
      <c r="S200" s="19"/>
      <c r="T200" s="19"/>
      <c r="U200" s="19"/>
      <c r="V200" s="59"/>
      <c r="W200" s="20"/>
      <c r="X200" s="43"/>
    </row>
    <row r="201" spans="1:24" ht="15.75" hidden="1" customHeight="1" x14ac:dyDescent="0.25">
      <c r="A201" s="16"/>
      <c r="B201" s="16"/>
      <c r="C201" s="16"/>
      <c r="D201" s="40"/>
      <c r="E201" s="17"/>
      <c r="F201" s="21"/>
      <c r="G201" s="16"/>
      <c r="H201" s="16"/>
      <c r="I201" s="22"/>
      <c r="J201" s="22"/>
      <c r="K201" s="16"/>
      <c r="L201" s="16"/>
      <c r="M201" s="16"/>
      <c r="N201" s="19"/>
      <c r="O201" s="19"/>
      <c r="P201" s="19"/>
      <c r="Q201" s="19"/>
      <c r="R201" s="19"/>
      <c r="S201" s="19"/>
      <c r="T201" s="19"/>
      <c r="U201" s="19"/>
      <c r="V201" s="59"/>
      <c r="W201" s="20"/>
      <c r="X201" s="43"/>
    </row>
    <row r="202" spans="1:24" ht="15.75" hidden="1" customHeight="1" x14ac:dyDescent="0.25">
      <c r="A202" s="16"/>
      <c r="B202" s="16"/>
      <c r="C202" s="16"/>
      <c r="D202" s="40"/>
      <c r="E202" s="17"/>
      <c r="F202" s="21"/>
      <c r="G202" s="16"/>
      <c r="H202" s="16"/>
      <c r="I202" s="22"/>
      <c r="J202" s="22"/>
      <c r="K202" s="16"/>
      <c r="L202" s="16"/>
      <c r="M202" s="16"/>
      <c r="N202" s="19"/>
      <c r="O202" s="19"/>
      <c r="P202" s="19"/>
      <c r="Q202" s="19"/>
      <c r="R202" s="19"/>
      <c r="S202" s="19"/>
      <c r="T202" s="19"/>
      <c r="U202" s="19"/>
      <c r="V202" s="59"/>
      <c r="W202" s="20"/>
      <c r="X202" s="43"/>
    </row>
    <row r="203" spans="1:24" ht="15.75" hidden="1" customHeight="1" x14ac:dyDescent="0.25">
      <c r="A203" s="16"/>
      <c r="B203" s="16"/>
      <c r="C203" s="16"/>
      <c r="D203" s="40"/>
      <c r="E203" s="17"/>
      <c r="F203" s="21"/>
      <c r="G203" s="16"/>
      <c r="H203" s="16"/>
      <c r="I203" s="22"/>
      <c r="J203" s="22"/>
      <c r="K203" s="16"/>
      <c r="L203" s="16"/>
      <c r="M203" s="16"/>
      <c r="N203" s="19"/>
      <c r="O203" s="19"/>
      <c r="P203" s="19"/>
      <c r="Q203" s="19"/>
      <c r="R203" s="19"/>
      <c r="S203" s="19"/>
      <c r="T203" s="19"/>
      <c r="U203" s="19"/>
      <c r="V203" s="59"/>
      <c r="W203" s="20"/>
      <c r="X203" s="43"/>
    </row>
    <row r="204" spans="1:24" ht="15.75" hidden="1" customHeight="1" x14ac:dyDescent="0.25">
      <c r="A204" s="16"/>
      <c r="B204" s="16"/>
      <c r="C204" s="16"/>
      <c r="D204" s="40"/>
      <c r="E204" s="17"/>
      <c r="F204" s="21"/>
      <c r="G204" s="16"/>
      <c r="H204" s="16"/>
      <c r="I204" s="22"/>
      <c r="J204" s="22"/>
      <c r="K204" s="16"/>
      <c r="L204" s="16"/>
      <c r="M204" s="16"/>
      <c r="N204" s="19"/>
      <c r="O204" s="19"/>
      <c r="P204" s="19"/>
      <c r="Q204" s="19"/>
      <c r="R204" s="19"/>
      <c r="S204" s="19"/>
      <c r="T204" s="19"/>
      <c r="U204" s="19"/>
      <c r="V204" s="59"/>
      <c r="W204" s="20"/>
      <c r="X204" s="43"/>
    </row>
    <row r="205" spans="1:24" ht="15.75" hidden="1" customHeight="1" x14ac:dyDescent="0.25">
      <c r="A205" s="16"/>
      <c r="B205" s="16"/>
      <c r="C205" s="16"/>
      <c r="D205" s="40"/>
      <c r="E205" s="17"/>
      <c r="F205" s="21"/>
      <c r="G205" s="16"/>
      <c r="H205" s="16"/>
      <c r="I205" s="22"/>
      <c r="J205" s="22"/>
      <c r="K205" s="16"/>
      <c r="L205" s="16"/>
      <c r="M205" s="16"/>
      <c r="N205" s="19"/>
      <c r="O205" s="19"/>
      <c r="P205" s="19"/>
      <c r="Q205" s="19"/>
      <c r="R205" s="19"/>
      <c r="S205" s="19"/>
      <c r="T205" s="19"/>
      <c r="U205" s="19"/>
      <c r="V205" s="59"/>
      <c r="W205" s="20"/>
      <c r="X205" s="43"/>
    </row>
    <row r="206" spans="1:24" ht="15.75" hidden="1" customHeight="1" x14ac:dyDescent="0.25">
      <c r="A206" s="16"/>
      <c r="B206" s="16"/>
      <c r="C206" s="16"/>
      <c r="D206" s="40"/>
      <c r="E206" s="17"/>
      <c r="F206" s="21"/>
      <c r="G206" s="16"/>
      <c r="H206" s="16"/>
      <c r="I206" s="22"/>
      <c r="J206" s="22"/>
      <c r="K206" s="16"/>
      <c r="L206" s="16"/>
      <c r="M206" s="16"/>
      <c r="N206" s="19"/>
      <c r="O206" s="19"/>
      <c r="P206" s="19"/>
      <c r="Q206" s="19"/>
      <c r="R206" s="19"/>
      <c r="S206" s="19"/>
      <c r="T206" s="19"/>
      <c r="U206" s="19"/>
      <c r="V206" s="59"/>
      <c r="W206" s="20"/>
      <c r="X206" s="43"/>
    </row>
    <row r="207" spans="1:24" ht="15.75" hidden="1" customHeight="1" x14ac:dyDescent="0.25">
      <c r="A207" s="16"/>
      <c r="B207" s="16"/>
      <c r="C207" s="16"/>
      <c r="D207" s="40"/>
      <c r="E207" s="17"/>
      <c r="F207" s="21"/>
      <c r="G207" s="16"/>
      <c r="H207" s="16"/>
      <c r="I207" s="22"/>
      <c r="J207" s="22"/>
      <c r="K207" s="16"/>
      <c r="L207" s="16"/>
      <c r="M207" s="16"/>
      <c r="N207" s="19"/>
      <c r="O207" s="19"/>
      <c r="P207" s="19"/>
      <c r="Q207" s="19"/>
      <c r="R207" s="19"/>
      <c r="S207" s="19"/>
      <c r="T207" s="19"/>
      <c r="U207" s="19"/>
      <c r="V207" s="59"/>
      <c r="W207" s="20"/>
      <c r="X207" s="43"/>
    </row>
    <row r="208" spans="1:24" ht="15.75" hidden="1" customHeight="1" x14ac:dyDescent="0.25">
      <c r="A208" s="16"/>
      <c r="B208" s="16"/>
      <c r="C208" s="16"/>
      <c r="D208" s="40"/>
      <c r="E208" s="17"/>
      <c r="F208" s="21"/>
      <c r="G208" s="16"/>
      <c r="H208" s="16"/>
      <c r="I208" s="22"/>
      <c r="J208" s="22"/>
      <c r="K208" s="16"/>
      <c r="L208" s="16"/>
      <c r="M208" s="16"/>
      <c r="N208" s="19"/>
      <c r="O208" s="19"/>
      <c r="P208" s="19"/>
      <c r="Q208" s="19"/>
      <c r="R208" s="19"/>
      <c r="S208" s="19"/>
      <c r="T208" s="19"/>
      <c r="U208" s="19"/>
      <c r="V208" s="59"/>
      <c r="W208" s="20"/>
      <c r="X208" s="43"/>
    </row>
    <row r="209" spans="1:24" ht="15.75" hidden="1" customHeight="1" x14ac:dyDescent="0.25">
      <c r="A209" s="16"/>
      <c r="B209" s="16"/>
      <c r="C209" s="16"/>
      <c r="D209" s="40"/>
      <c r="E209" s="17"/>
      <c r="F209" s="21"/>
      <c r="G209" s="16"/>
      <c r="H209" s="16"/>
      <c r="I209" s="22"/>
      <c r="J209" s="22"/>
      <c r="K209" s="16"/>
      <c r="L209" s="16"/>
      <c r="M209" s="16"/>
      <c r="N209" s="19"/>
      <c r="O209" s="19"/>
      <c r="P209" s="19"/>
      <c r="Q209" s="19"/>
      <c r="R209" s="19"/>
      <c r="S209" s="19"/>
      <c r="T209" s="19"/>
      <c r="U209" s="19"/>
      <c r="V209" s="59"/>
      <c r="W209" s="20"/>
      <c r="X209" s="43"/>
    </row>
    <row r="210" spans="1:24" ht="15.75" hidden="1" customHeight="1" x14ac:dyDescent="0.25">
      <c r="A210" s="16"/>
      <c r="B210" s="16"/>
      <c r="C210" s="16"/>
      <c r="D210" s="40"/>
      <c r="E210" s="17"/>
      <c r="F210" s="21"/>
      <c r="G210" s="16"/>
      <c r="H210" s="16"/>
      <c r="I210" s="22"/>
      <c r="J210" s="22"/>
      <c r="K210" s="16"/>
      <c r="L210" s="16"/>
      <c r="M210" s="16"/>
      <c r="N210" s="19"/>
      <c r="O210" s="19"/>
      <c r="P210" s="19"/>
      <c r="Q210" s="19"/>
      <c r="R210" s="19"/>
      <c r="S210" s="19"/>
      <c r="T210" s="19"/>
      <c r="U210" s="19"/>
      <c r="V210" s="59"/>
      <c r="W210" s="20"/>
      <c r="X210" s="43"/>
    </row>
    <row r="211" spans="1:24" ht="15.75" hidden="1" customHeight="1" x14ac:dyDescent="0.25">
      <c r="A211" s="16"/>
      <c r="B211" s="16"/>
      <c r="C211" s="16"/>
      <c r="D211" s="40"/>
      <c r="E211" s="17"/>
      <c r="F211" s="21"/>
      <c r="G211" s="16"/>
      <c r="H211" s="16"/>
      <c r="I211" s="22"/>
      <c r="J211" s="22"/>
      <c r="K211" s="16"/>
      <c r="L211" s="16"/>
      <c r="M211" s="16"/>
      <c r="N211" s="19"/>
      <c r="O211" s="19"/>
      <c r="P211" s="19"/>
      <c r="Q211" s="19"/>
      <c r="R211" s="19"/>
      <c r="S211" s="19"/>
      <c r="T211" s="19"/>
      <c r="U211" s="19"/>
      <c r="V211" s="59"/>
      <c r="W211" s="20"/>
      <c r="X211" s="43"/>
    </row>
    <row r="212" spans="1:24" ht="15.75" hidden="1" customHeight="1" x14ac:dyDescent="0.25">
      <c r="A212" s="16"/>
      <c r="B212" s="16"/>
      <c r="C212" s="16"/>
      <c r="D212" s="40"/>
      <c r="E212" s="17"/>
      <c r="F212" s="21"/>
      <c r="G212" s="16"/>
      <c r="H212" s="16"/>
      <c r="I212" s="22"/>
      <c r="J212" s="22"/>
      <c r="K212" s="16"/>
      <c r="L212" s="16"/>
      <c r="M212" s="16"/>
      <c r="N212" s="19"/>
      <c r="O212" s="19"/>
      <c r="P212" s="19"/>
      <c r="Q212" s="19"/>
      <c r="R212" s="19"/>
      <c r="S212" s="19"/>
      <c r="T212" s="19"/>
      <c r="U212" s="19"/>
      <c r="V212" s="59"/>
      <c r="W212" s="20"/>
      <c r="X212" s="43"/>
    </row>
    <row r="213" spans="1:24" ht="15.75" hidden="1" customHeight="1" x14ac:dyDescent="0.25">
      <c r="A213" s="16"/>
      <c r="B213" s="16"/>
      <c r="C213" s="16"/>
      <c r="D213" s="40"/>
      <c r="E213" s="17"/>
      <c r="F213" s="21"/>
      <c r="G213" s="16"/>
      <c r="H213" s="16"/>
      <c r="I213" s="22"/>
      <c r="J213" s="22"/>
      <c r="K213" s="16"/>
      <c r="L213" s="16"/>
      <c r="M213" s="16"/>
      <c r="N213" s="19"/>
      <c r="O213" s="19"/>
      <c r="P213" s="19"/>
      <c r="Q213" s="19"/>
      <c r="R213" s="19"/>
      <c r="S213" s="19"/>
      <c r="T213" s="19"/>
      <c r="U213" s="19"/>
      <c r="V213" s="59"/>
      <c r="W213" s="20"/>
      <c r="X213" s="43"/>
    </row>
    <row r="214" spans="1:24" ht="15.75" hidden="1" customHeight="1" x14ac:dyDescent="0.25">
      <c r="A214" s="16"/>
      <c r="B214" s="16"/>
      <c r="C214" s="16"/>
      <c r="D214" s="40"/>
      <c r="E214" s="17"/>
      <c r="F214" s="21"/>
      <c r="G214" s="16"/>
      <c r="H214" s="16"/>
      <c r="I214" s="22"/>
      <c r="J214" s="22"/>
      <c r="K214" s="16"/>
      <c r="L214" s="16"/>
      <c r="M214" s="16"/>
      <c r="N214" s="19"/>
      <c r="O214" s="19"/>
      <c r="P214" s="19"/>
      <c r="Q214" s="19"/>
      <c r="R214" s="19"/>
      <c r="S214" s="19"/>
      <c r="T214" s="19"/>
      <c r="U214" s="19"/>
      <c r="V214" s="59"/>
      <c r="W214" s="20"/>
      <c r="X214" s="43"/>
    </row>
    <row r="215" spans="1:24" ht="15.75" hidden="1" customHeight="1" x14ac:dyDescent="0.25">
      <c r="A215" s="16"/>
      <c r="B215" s="16"/>
      <c r="C215" s="16"/>
      <c r="D215" s="40"/>
      <c r="E215" s="17"/>
      <c r="F215" s="21"/>
      <c r="G215" s="16"/>
      <c r="H215" s="16"/>
      <c r="I215" s="22"/>
      <c r="J215" s="22"/>
      <c r="K215" s="16"/>
      <c r="L215" s="16"/>
      <c r="M215" s="16"/>
      <c r="N215" s="19"/>
      <c r="O215" s="19"/>
      <c r="P215" s="19"/>
      <c r="Q215" s="19"/>
      <c r="R215" s="19"/>
      <c r="S215" s="19"/>
      <c r="T215" s="19"/>
      <c r="U215" s="19"/>
      <c r="V215" s="59"/>
      <c r="W215" s="20"/>
      <c r="X215" s="43"/>
    </row>
    <row r="216" spans="1:24" ht="15.75" hidden="1" customHeight="1" x14ac:dyDescent="0.25">
      <c r="A216" s="16"/>
      <c r="B216" s="16"/>
      <c r="C216" s="16"/>
      <c r="D216" s="40"/>
      <c r="E216" s="17"/>
      <c r="F216" s="21"/>
      <c r="G216" s="16"/>
      <c r="H216" s="16"/>
      <c r="I216" s="22"/>
      <c r="J216" s="22"/>
      <c r="K216" s="16"/>
      <c r="L216" s="16"/>
      <c r="M216" s="16"/>
      <c r="N216" s="19"/>
      <c r="O216" s="19"/>
      <c r="P216" s="19"/>
      <c r="Q216" s="19"/>
      <c r="R216" s="19"/>
      <c r="S216" s="19"/>
      <c r="T216" s="19"/>
      <c r="U216" s="19"/>
      <c r="V216" s="59"/>
      <c r="W216" s="20"/>
      <c r="X216" s="43"/>
    </row>
    <row r="217" spans="1:24" ht="15.75" hidden="1" customHeight="1" x14ac:dyDescent="0.25">
      <c r="A217" s="16"/>
      <c r="B217" s="16"/>
      <c r="C217" s="16"/>
      <c r="D217" s="40"/>
      <c r="E217" s="17"/>
      <c r="F217" s="21"/>
      <c r="G217" s="16"/>
      <c r="H217" s="16"/>
      <c r="I217" s="22"/>
      <c r="J217" s="22"/>
      <c r="K217" s="16"/>
      <c r="L217" s="16"/>
      <c r="M217" s="16"/>
      <c r="N217" s="19"/>
      <c r="O217" s="19"/>
      <c r="P217" s="19"/>
      <c r="Q217" s="19"/>
      <c r="R217" s="19"/>
      <c r="S217" s="19"/>
      <c r="T217" s="19"/>
      <c r="U217" s="19"/>
      <c r="V217" s="59"/>
      <c r="W217" s="20"/>
      <c r="X217" s="43"/>
    </row>
    <row r="218" spans="1:24" ht="15.75" hidden="1" customHeight="1" x14ac:dyDescent="0.25">
      <c r="A218" s="16"/>
      <c r="B218" s="16"/>
      <c r="C218" s="16"/>
      <c r="D218" s="40"/>
      <c r="E218" s="17"/>
      <c r="F218" s="21"/>
      <c r="G218" s="16"/>
      <c r="H218" s="16"/>
      <c r="I218" s="22"/>
      <c r="J218" s="22"/>
      <c r="K218" s="16"/>
      <c r="L218" s="16"/>
      <c r="M218" s="16"/>
      <c r="N218" s="19"/>
      <c r="O218" s="19"/>
      <c r="P218" s="19"/>
      <c r="Q218" s="19"/>
      <c r="R218" s="19"/>
      <c r="S218" s="19"/>
      <c r="T218" s="19"/>
      <c r="U218" s="19"/>
      <c r="V218" s="59"/>
      <c r="W218" s="20"/>
      <c r="X218" s="43"/>
    </row>
    <row r="219" spans="1:24" ht="15.75" hidden="1" customHeight="1" x14ac:dyDescent="0.25">
      <c r="A219" s="16"/>
      <c r="B219" s="16"/>
      <c r="C219" s="16"/>
      <c r="D219" s="40"/>
      <c r="E219" s="17"/>
      <c r="F219" s="21"/>
      <c r="G219" s="16"/>
      <c r="H219" s="16"/>
      <c r="I219" s="22"/>
      <c r="J219" s="22"/>
      <c r="K219" s="16"/>
      <c r="L219" s="16"/>
      <c r="M219" s="16"/>
      <c r="N219" s="19"/>
      <c r="O219" s="19"/>
      <c r="P219" s="19"/>
      <c r="Q219" s="19"/>
      <c r="R219" s="19"/>
      <c r="S219" s="19"/>
      <c r="T219" s="19"/>
      <c r="U219" s="19"/>
      <c r="V219" s="59"/>
      <c r="W219" s="20"/>
      <c r="X219" s="43"/>
    </row>
    <row r="220" spans="1:24" ht="15.75" hidden="1" customHeight="1" x14ac:dyDescent="0.25">
      <c r="A220" s="16"/>
      <c r="B220" s="16"/>
      <c r="C220" s="16"/>
      <c r="D220" s="40"/>
      <c r="E220" s="17"/>
      <c r="F220" s="21"/>
      <c r="G220" s="16"/>
      <c r="H220" s="16"/>
      <c r="I220" s="22"/>
      <c r="J220" s="22"/>
      <c r="K220" s="16"/>
      <c r="L220" s="16"/>
      <c r="M220" s="16"/>
      <c r="N220" s="19"/>
      <c r="O220" s="19"/>
      <c r="P220" s="19"/>
      <c r="Q220" s="19"/>
      <c r="R220" s="19"/>
      <c r="S220" s="19"/>
      <c r="T220" s="19"/>
      <c r="U220" s="19"/>
      <c r="V220" s="59"/>
      <c r="W220" s="20"/>
      <c r="X220" s="43"/>
    </row>
    <row r="221" spans="1:24" ht="15.75" hidden="1" customHeight="1" x14ac:dyDescent="0.25">
      <c r="A221" s="16"/>
      <c r="B221" s="16"/>
      <c r="C221" s="16"/>
      <c r="D221" s="40"/>
      <c r="E221" s="17"/>
      <c r="F221" s="21"/>
      <c r="G221" s="16"/>
      <c r="H221" s="16"/>
      <c r="I221" s="22"/>
      <c r="J221" s="22"/>
      <c r="K221" s="16"/>
      <c r="L221" s="16"/>
      <c r="M221" s="16"/>
      <c r="N221" s="19"/>
      <c r="O221" s="19"/>
      <c r="P221" s="19"/>
      <c r="Q221" s="19"/>
      <c r="R221" s="19"/>
      <c r="S221" s="19"/>
      <c r="T221" s="19"/>
      <c r="U221" s="19"/>
      <c r="V221" s="59"/>
      <c r="W221" s="20"/>
      <c r="X221" s="43"/>
    </row>
    <row r="222" spans="1:24" ht="15.75" hidden="1" customHeight="1" x14ac:dyDescent="0.25">
      <c r="A222" s="16"/>
      <c r="B222" s="16"/>
      <c r="C222" s="16"/>
      <c r="D222" s="40"/>
      <c r="E222" s="17"/>
      <c r="F222" s="21"/>
      <c r="G222" s="16"/>
      <c r="H222" s="16"/>
      <c r="I222" s="22"/>
      <c r="J222" s="22"/>
      <c r="K222" s="16"/>
      <c r="L222" s="16"/>
      <c r="M222" s="16"/>
      <c r="N222" s="19"/>
      <c r="O222" s="19"/>
      <c r="P222" s="19"/>
      <c r="Q222" s="19"/>
      <c r="R222" s="19"/>
      <c r="S222" s="19"/>
      <c r="T222" s="19"/>
      <c r="U222" s="19"/>
      <c r="V222" s="59"/>
      <c r="W222" s="20"/>
      <c r="X222" s="43"/>
    </row>
    <row r="223" spans="1:24" ht="15.75" hidden="1" customHeight="1" x14ac:dyDescent="0.25">
      <c r="A223" s="16"/>
      <c r="B223" s="16"/>
      <c r="C223" s="16"/>
      <c r="D223" s="40"/>
      <c r="E223" s="17"/>
      <c r="F223" s="21"/>
      <c r="G223" s="16"/>
      <c r="H223" s="16"/>
      <c r="I223" s="22"/>
      <c r="J223" s="22"/>
      <c r="K223" s="16"/>
      <c r="L223" s="16"/>
      <c r="M223" s="16"/>
      <c r="N223" s="19"/>
      <c r="O223" s="19"/>
      <c r="P223" s="19"/>
      <c r="Q223" s="19"/>
      <c r="R223" s="19"/>
      <c r="S223" s="19"/>
      <c r="T223" s="19"/>
      <c r="U223" s="19"/>
      <c r="V223" s="59"/>
      <c r="W223" s="20"/>
      <c r="X223" s="43"/>
    </row>
    <row r="224" spans="1:24" ht="15.75" hidden="1" customHeight="1" x14ac:dyDescent="0.25">
      <c r="A224" s="16"/>
      <c r="B224" s="16"/>
      <c r="C224" s="16"/>
      <c r="D224" s="40"/>
      <c r="E224" s="17"/>
      <c r="F224" s="21"/>
      <c r="G224" s="16"/>
      <c r="H224" s="16"/>
      <c r="I224" s="22"/>
      <c r="J224" s="22"/>
      <c r="K224" s="16"/>
      <c r="L224" s="16"/>
      <c r="M224" s="16"/>
      <c r="N224" s="19"/>
      <c r="O224" s="19"/>
      <c r="P224" s="19"/>
      <c r="Q224" s="19"/>
      <c r="R224" s="19"/>
      <c r="S224" s="19"/>
      <c r="T224" s="19"/>
      <c r="U224" s="19"/>
      <c r="V224" s="59"/>
      <c r="W224" s="20"/>
      <c r="X224" s="43"/>
    </row>
    <row r="225" spans="1:24" ht="15.75" hidden="1" customHeight="1" x14ac:dyDescent="0.25">
      <c r="A225" s="16"/>
      <c r="B225" s="16"/>
      <c r="C225" s="16"/>
      <c r="D225" s="40"/>
      <c r="E225" s="17"/>
      <c r="F225" s="21"/>
      <c r="G225" s="16"/>
      <c r="H225" s="16"/>
      <c r="I225" s="22"/>
      <c r="J225" s="22"/>
      <c r="K225" s="16"/>
      <c r="L225" s="16"/>
      <c r="M225" s="16"/>
      <c r="N225" s="19"/>
      <c r="O225" s="19"/>
      <c r="P225" s="19"/>
      <c r="Q225" s="19"/>
      <c r="R225" s="19"/>
      <c r="S225" s="19"/>
      <c r="T225" s="19"/>
      <c r="U225" s="19"/>
      <c r="V225" s="59"/>
      <c r="W225" s="20"/>
      <c r="X225" s="43"/>
    </row>
    <row r="226" spans="1:24" ht="15.75" hidden="1" customHeight="1" x14ac:dyDescent="0.25">
      <c r="A226" s="16"/>
      <c r="B226" s="16"/>
      <c r="C226" s="16"/>
      <c r="D226" s="40"/>
      <c r="E226" s="17"/>
      <c r="F226" s="21"/>
      <c r="G226" s="16"/>
      <c r="H226" s="16"/>
      <c r="I226" s="22"/>
      <c r="J226" s="22"/>
      <c r="K226" s="16"/>
      <c r="L226" s="16"/>
      <c r="M226" s="16"/>
      <c r="N226" s="19"/>
      <c r="O226" s="19"/>
      <c r="P226" s="19"/>
      <c r="Q226" s="19"/>
      <c r="R226" s="19"/>
      <c r="S226" s="19"/>
      <c r="T226" s="19"/>
      <c r="U226" s="19"/>
      <c r="V226" s="59"/>
      <c r="W226" s="20"/>
      <c r="X226" s="43"/>
    </row>
    <row r="227" spans="1:24" ht="15.75" hidden="1" customHeight="1" x14ac:dyDescent="0.25">
      <c r="A227" s="16"/>
      <c r="B227" s="16"/>
      <c r="C227" s="16"/>
      <c r="D227" s="40"/>
      <c r="E227" s="17"/>
      <c r="F227" s="21"/>
      <c r="G227" s="16"/>
      <c r="H227" s="16"/>
      <c r="I227" s="22"/>
      <c r="J227" s="22"/>
      <c r="K227" s="16"/>
      <c r="L227" s="16"/>
      <c r="M227" s="16"/>
      <c r="N227" s="19"/>
      <c r="O227" s="19"/>
      <c r="P227" s="19"/>
      <c r="Q227" s="19"/>
      <c r="R227" s="19"/>
      <c r="S227" s="19"/>
      <c r="T227" s="19"/>
      <c r="U227" s="19"/>
      <c r="V227" s="59"/>
      <c r="W227" s="20"/>
      <c r="X227" s="43"/>
    </row>
    <row r="228" spans="1:24" ht="15.75" hidden="1" customHeight="1" x14ac:dyDescent="0.25">
      <c r="A228" s="16"/>
      <c r="B228" s="16"/>
      <c r="C228" s="16"/>
      <c r="D228" s="40"/>
      <c r="E228" s="17"/>
      <c r="F228" s="21"/>
      <c r="G228" s="16"/>
      <c r="H228" s="16"/>
      <c r="I228" s="22"/>
      <c r="J228" s="22"/>
      <c r="K228" s="16"/>
      <c r="L228" s="16"/>
      <c r="M228" s="16"/>
      <c r="N228" s="19"/>
      <c r="O228" s="19"/>
      <c r="P228" s="19"/>
      <c r="Q228" s="19"/>
      <c r="R228" s="19"/>
      <c r="S228" s="19"/>
      <c r="T228" s="19"/>
      <c r="U228" s="19"/>
      <c r="V228" s="59"/>
      <c r="W228" s="20"/>
      <c r="X228" s="43"/>
    </row>
    <row r="229" spans="1:24" ht="15.75" hidden="1" customHeight="1" x14ac:dyDescent="0.25">
      <c r="A229" s="16"/>
      <c r="B229" s="16"/>
      <c r="C229" s="16"/>
      <c r="D229" s="40"/>
      <c r="E229" s="17"/>
      <c r="F229" s="21"/>
      <c r="G229" s="16"/>
      <c r="H229" s="16"/>
      <c r="I229" s="22"/>
      <c r="J229" s="22"/>
      <c r="K229" s="16"/>
      <c r="L229" s="16"/>
      <c r="M229" s="16"/>
      <c r="N229" s="19"/>
      <c r="O229" s="19"/>
      <c r="P229" s="19"/>
      <c r="Q229" s="19"/>
      <c r="R229" s="19"/>
      <c r="S229" s="19"/>
      <c r="T229" s="19"/>
      <c r="U229" s="19"/>
      <c r="V229" s="59"/>
      <c r="W229" s="20"/>
      <c r="X229" s="43"/>
    </row>
    <row r="230" spans="1:24" ht="15.75" hidden="1" customHeight="1" x14ac:dyDescent="0.25">
      <c r="A230" s="16"/>
      <c r="B230" s="16"/>
      <c r="C230" s="16"/>
      <c r="D230" s="40"/>
      <c r="E230" s="17"/>
      <c r="F230" s="21"/>
      <c r="G230" s="16"/>
      <c r="H230" s="16"/>
      <c r="I230" s="22"/>
      <c r="J230" s="22"/>
      <c r="K230" s="16"/>
      <c r="L230" s="16"/>
      <c r="M230" s="16"/>
      <c r="N230" s="19"/>
      <c r="O230" s="19"/>
      <c r="P230" s="19"/>
      <c r="Q230" s="19"/>
      <c r="R230" s="19"/>
      <c r="S230" s="19"/>
      <c r="T230" s="19"/>
      <c r="U230" s="19"/>
      <c r="V230" s="59"/>
      <c r="W230" s="20"/>
      <c r="X230" s="43"/>
    </row>
    <row r="231" spans="1:24" ht="15.75" hidden="1" customHeight="1" x14ac:dyDescent="0.25">
      <c r="A231" s="16"/>
      <c r="B231" s="16"/>
      <c r="C231" s="16"/>
      <c r="D231" s="40"/>
      <c r="E231" s="17"/>
      <c r="F231" s="21"/>
      <c r="G231" s="16"/>
      <c r="H231" s="16"/>
      <c r="I231" s="22"/>
      <c r="J231" s="22"/>
      <c r="K231" s="16"/>
      <c r="L231" s="16"/>
      <c r="M231" s="16"/>
      <c r="N231" s="19"/>
      <c r="O231" s="19"/>
      <c r="P231" s="19"/>
      <c r="Q231" s="19"/>
      <c r="R231" s="19"/>
      <c r="S231" s="19"/>
      <c r="T231" s="19"/>
      <c r="U231" s="19"/>
      <c r="V231" s="59"/>
      <c r="W231" s="20"/>
      <c r="X231" s="43"/>
    </row>
    <row r="232" spans="1:24" ht="15.75" hidden="1" customHeight="1" x14ac:dyDescent="0.25">
      <c r="A232" s="16"/>
      <c r="B232" s="16"/>
      <c r="C232" s="16"/>
      <c r="D232" s="40"/>
      <c r="E232" s="17"/>
      <c r="F232" s="21"/>
      <c r="G232" s="16"/>
      <c r="H232" s="16"/>
      <c r="I232" s="22"/>
      <c r="J232" s="22"/>
      <c r="K232" s="16"/>
      <c r="L232" s="16"/>
      <c r="M232" s="16"/>
      <c r="N232" s="19"/>
      <c r="O232" s="19"/>
      <c r="P232" s="19"/>
      <c r="Q232" s="19"/>
      <c r="R232" s="19"/>
      <c r="S232" s="19"/>
      <c r="T232" s="19"/>
      <c r="U232" s="19"/>
      <c r="V232" s="59"/>
      <c r="W232" s="20"/>
      <c r="X232" s="43"/>
    </row>
    <row r="233" spans="1:24" ht="15.75" hidden="1" customHeight="1" x14ac:dyDescent="0.25">
      <c r="A233" s="16"/>
      <c r="B233" s="16"/>
      <c r="C233" s="16"/>
      <c r="D233" s="40"/>
      <c r="E233" s="17"/>
      <c r="F233" s="21"/>
      <c r="G233" s="16"/>
      <c r="H233" s="16"/>
      <c r="I233" s="22"/>
      <c r="J233" s="22"/>
      <c r="K233" s="16"/>
      <c r="L233" s="16"/>
      <c r="M233" s="16"/>
      <c r="N233" s="19"/>
      <c r="O233" s="19"/>
      <c r="P233" s="19"/>
      <c r="Q233" s="19"/>
      <c r="R233" s="19"/>
      <c r="S233" s="19"/>
      <c r="T233" s="19"/>
      <c r="U233" s="19"/>
      <c r="V233" s="59"/>
      <c r="W233" s="20"/>
      <c r="X233" s="43"/>
    </row>
    <row r="234" spans="1:24" ht="15.75" hidden="1" customHeight="1" x14ac:dyDescent="0.25">
      <c r="A234" s="16"/>
      <c r="B234" s="16"/>
      <c r="C234" s="16"/>
      <c r="D234" s="40"/>
      <c r="E234" s="17"/>
      <c r="F234" s="21"/>
      <c r="G234" s="16"/>
      <c r="H234" s="16"/>
      <c r="I234" s="22"/>
      <c r="J234" s="22"/>
      <c r="K234" s="16"/>
      <c r="L234" s="16"/>
      <c r="M234" s="16"/>
      <c r="N234" s="19"/>
      <c r="O234" s="19"/>
      <c r="P234" s="19"/>
      <c r="Q234" s="19"/>
      <c r="R234" s="19"/>
      <c r="S234" s="19"/>
      <c r="T234" s="19"/>
      <c r="U234" s="19"/>
      <c r="V234" s="59"/>
      <c r="W234" s="20"/>
      <c r="X234" s="43"/>
    </row>
    <row r="235" spans="1:24" ht="15.75" hidden="1" customHeight="1" x14ac:dyDescent="0.25">
      <c r="A235" s="16"/>
      <c r="B235" s="16"/>
      <c r="C235" s="16"/>
      <c r="D235" s="40"/>
      <c r="E235" s="17"/>
      <c r="F235" s="21"/>
      <c r="G235" s="16"/>
      <c r="H235" s="16"/>
      <c r="I235" s="22"/>
      <c r="J235" s="22"/>
      <c r="K235" s="16"/>
      <c r="L235" s="16"/>
      <c r="M235" s="16"/>
      <c r="N235" s="19"/>
      <c r="O235" s="19"/>
      <c r="P235" s="19"/>
      <c r="Q235" s="19"/>
      <c r="R235" s="19"/>
      <c r="S235" s="19"/>
      <c r="T235" s="19"/>
      <c r="U235" s="19"/>
      <c r="V235" s="59"/>
      <c r="W235" s="20"/>
      <c r="X235" s="43"/>
    </row>
    <row r="236" spans="1:24" ht="15.75" hidden="1" customHeight="1" x14ac:dyDescent="0.25">
      <c r="A236" s="16"/>
      <c r="B236" s="16"/>
      <c r="C236" s="16"/>
      <c r="D236" s="40"/>
      <c r="E236" s="17"/>
      <c r="F236" s="21"/>
      <c r="G236" s="16"/>
      <c r="H236" s="16"/>
      <c r="I236" s="22"/>
      <c r="J236" s="22"/>
      <c r="K236" s="16"/>
      <c r="L236" s="16"/>
      <c r="M236" s="16"/>
      <c r="N236" s="19"/>
      <c r="O236" s="19"/>
      <c r="P236" s="19"/>
      <c r="Q236" s="19"/>
      <c r="R236" s="19"/>
      <c r="S236" s="19"/>
      <c r="T236" s="19"/>
      <c r="U236" s="19"/>
      <c r="V236" s="59"/>
      <c r="W236" s="20"/>
      <c r="X236" s="43"/>
    </row>
    <row r="237" spans="1:24" ht="15.75" hidden="1" customHeight="1" x14ac:dyDescent="0.25">
      <c r="A237" s="16"/>
      <c r="B237" s="16"/>
      <c r="C237" s="16"/>
      <c r="D237" s="40"/>
      <c r="E237" s="17"/>
      <c r="F237" s="21"/>
      <c r="G237" s="16"/>
      <c r="H237" s="16"/>
      <c r="I237" s="22"/>
      <c r="J237" s="22"/>
      <c r="K237" s="16"/>
      <c r="L237" s="16"/>
      <c r="M237" s="16"/>
      <c r="N237" s="19"/>
      <c r="O237" s="19"/>
      <c r="P237" s="19"/>
      <c r="Q237" s="19"/>
      <c r="R237" s="19"/>
      <c r="S237" s="19"/>
      <c r="T237" s="19"/>
      <c r="U237" s="19"/>
      <c r="V237" s="59"/>
      <c r="W237" s="20"/>
      <c r="X237" s="43"/>
    </row>
    <row r="238" spans="1:24" ht="15.75" hidden="1" customHeight="1" x14ac:dyDescent="0.25">
      <c r="A238" s="16"/>
      <c r="B238" s="16"/>
      <c r="C238" s="16"/>
      <c r="D238" s="40"/>
      <c r="E238" s="17"/>
      <c r="F238" s="21"/>
      <c r="G238" s="16"/>
      <c r="H238" s="16"/>
      <c r="I238" s="22"/>
      <c r="J238" s="22"/>
      <c r="K238" s="16"/>
      <c r="L238" s="16"/>
      <c r="M238" s="16"/>
      <c r="N238" s="19"/>
      <c r="O238" s="19"/>
      <c r="P238" s="19"/>
      <c r="Q238" s="19"/>
      <c r="R238" s="19"/>
      <c r="S238" s="19"/>
      <c r="T238" s="19"/>
      <c r="U238" s="19"/>
      <c r="V238" s="59"/>
      <c r="W238" s="20"/>
      <c r="X238" s="43"/>
    </row>
    <row r="239" spans="1:24" ht="15.75" hidden="1" customHeight="1" x14ac:dyDescent="0.25">
      <c r="A239" s="16"/>
      <c r="B239" s="16"/>
      <c r="C239" s="16"/>
      <c r="D239" s="40"/>
      <c r="E239" s="17"/>
      <c r="F239" s="21"/>
      <c r="G239" s="16"/>
      <c r="H239" s="16"/>
      <c r="I239" s="22"/>
      <c r="J239" s="22"/>
      <c r="K239" s="16"/>
      <c r="L239" s="16"/>
      <c r="M239" s="16"/>
      <c r="N239" s="19"/>
      <c r="O239" s="19"/>
      <c r="P239" s="19"/>
      <c r="Q239" s="19"/>
      <c r="R239" s="19"/>
      <c r="S239" s="19"/>
      <c r="T239" s="19"/>
      <c r="U239" s="19"/>
      <c r="V239" s="59"/>
      <c r="W239" s="20"/>
      <c r="X239" s="43"/>
    </row>
    <row r="240" spans="1:24" ht="15.75" hidden="1" customHeight="1" x14ac:dyDescent="0.25">
      <c r="A240" s="16"/>
      <c r="B240" s="16"/>
      <c r="C240" s="16"/>
      <c r="D240" s="40"/>
      <c r="E240" s="17"/>
      <c r="F240" s="21"/>
      <c r="G240" s="16"/>
      <c r="H240" s="16"/>
      <c r="I240" s="22"/>
      <c r="J240" s="22"/>
      <c r="K240" s="16"/>
      <c r="L240" s="16"/>
      <c r="M240" s="16"/>
      <c r="N240" s="19"/>
      <c r="O240" s="19"/>
      <c r="P240" s="19"/>
      <c r="Q240" s="19"/>
      <c r="R240" s="19"/>
      <c r="S240" s="19"/>
      <c r="T240" s="19"/>
      <c r="U240" s="19"/>
      <c r="V240" s="59"/>
      <c r="W240" s="20"/>
      <c r="X240" s="43"/>
    </row>
    <row r="241" spans="1:24" ht="15.75" hidden="1" customHeight="1" x14ac:dyDescent="0.25">
      <c r="A241" s="16"/>
      <c r="B241" s="16"/>
      <c r="C241" s="16"/>
      <c r="D241" s="40"/>
      <c r="E241" s="17"/>
      <c r="F241" s="21"/>
      <c r="G241" s="16"/>
      <c r="H241" s="16"/>
      <c r="I241" s="22"/>
      <c r="J241" s="22"/>
      <c r="K241" s="16"/>
      <c r="L241" s="16"/>
      <c r="M241" s="16"/>
      <c r="N241" s="19"/>
      <c r="O241" s="19"/>
      <c r="P241" s="19"/>
      <c r="Q241" s="19"/>
      <c r="R241" s="19"/>
      <c r="S241" s="19"/>
      <c r="T241" s="19"/>
      <c r="U241" s="19"/>
      <c r="V241" s="59"/>
      <c r="W241" s="20"/>
      <c r="X241" s="43"/>
    </row>
    <row r="242" spans="1:24" ht="15.75" hidden="1" customHeight="1" x14ac:dyDescent="0.25">
      <c r="A242" s="16"/>
      <c r="B242" s="16"/>
      <c r="C242" s="16"/>
      <c r="D242" s="40"/>
      <c r="E242" s="17"/>
      <c r="F242" s="21"/>
      <c r="G242" s="16"/>
      <c r="H242" s="16"/>
      <c r="I242" s="22"/>
      <c r="J242" s="22"/>
      <c r="K242" s="16"/>
      <c r="L242" s="16"/>
      <c r="M242" s="16"/>
      <c r="N242" s="19"/>
      <c r="O242" s="19"/>
      <c r="P242" s="19"/>
      <c r="Q242" s="19"/>
      <c r="R242" s="19"/>
      <c r="S242" s="19"/>
      <c r="T242" s="19"/>
      <c r="U242" s="19"/>
      <c r="V242" s="59"/>
      <c r="W242" s="20"/>
      <c r="X242" s="43"/>
    </row>
    <row r="243" spans="1:24" ht="15.75" hidden="1" customHeight="1" x14ac:dyDescent="0.25">
      <c r="A243" s="16"/>
      <c r="B243" s="16"/>
      <c r="C243" s="16"/>
      <c r="D243" s="40"/>
      <c r="E243" s="17"/>
      <c r="F243" s="21"/>
      <c r="G243" s="16"/>
      <c r="H243" s="16"/>
      <c r="I243" s="22"/>
      <c r="J243" s="22"/>
      <c r="K243" s="16"/>
      <c r="L243" s="16"/>
      <c r="M243" s="16"/>
      <c r="N243" s="19"/>
      <c r="O243" s="19"/>
      <c r="P243" s="19"/>
      <c r="Q243" s="19"/>
      <c r="R243" s="19"/>
      <c r="S243" s="19"/>
      <c r="T243" s="19"/>
      <c r="U243" s="19"/>
      <c r="V243" s="59"/>
      <c r="W243" s="20"/>
      <c r="X243" s="43"/>
    </row>
    <row r="244" spans="1:24" ht="15.75" hidden="1" customHeight="1" x14ac:dyDescent="0.25">
      <c r="A244" s="16"/>
      <c r="B244" s="16"/>
      <c r="C244" s="16"/>
      <c r="D244" s="40"/>
      <c r="E244" s="17"/>
      <c r="F244" s="21"/>
      <c r="G244" s="16"/>
      <c r="H244" s="16"/>
      <c r="I244" s="22"/>
      <c r="J244" s="22"/>
      <c r="K244" s="16"/>
      <c r="L244" s="16"/>
      <c r="M244" s="16"/>
      <c r="N244" s="19"/>
      <c r="O244" s="19"/>
      <c r="P244" s="19"/>
      <c r="Q244" s="19"/>
      <c r="R244" s="19"/>
      <c r="S244" s="19"/>
      <c r="T244" s="19"/>
      <c r="U244" s="19"/>
      <c r="V244" s="59"/>
      <c r="W244" s="20"/>
      <c r="X244" s="43"/>
    </row>
    <row r="245" spans="1:24" ht="15.75" hidden="1" customHeight="1" x14ac:dyDescent="0.25">
      <c r="A245" s="16"/>
      <c r="B245" s="16"/>
      <c r="C245" s="16"/>
      <c r="D245" s="40"/>
      <c r="E245" s="17"/>
      <c r="F245" s="21"/>
      <c r="G245" s="16"/>
      <c r="H245" s="16"/>
      <c r="I245" s="22"/>
      <c r="J245" s="22"/>
      <c r="K245" s="16"/>
      <c r="L245" s="16"/>
      <c r="M245" s="16"/>
      <c r="N245" s="19"/>
      <c r="O245" s="19"/>
      <c r="P245" s="19"/>
      <c r="Q245" s="19"/>
      <c r="R245" s="19"/>
      <c r="S245" s="19"/>
      <c r="T245" s="19"/>
      <c r="U245" s="19"/>
      <c r="V245" s="59"/>
      <c r="W245" s="20"/>
      <c r="X245" s="43"/>
    </row>
    <row r="246" spans="1:24" ht="15.75" hidden="1" customHeight="1" x14ac:dyDescent="0.25">
      <c r="A246" s="16"/>
      <c r="B246" s="16"/>
      <c r="C246" s="16"/>
      <c r="D246" s="40"/>
      <c r="E246" s="17"/>
      <c r="F246" s="21"/>
      <c r="G246" s="16"/>
      <c r="H246" s="16"/>
      <c r="I246" s="22"/>
      <c r="J246" s="22"/>
      <c r="K246" s="16"/>
      <c r="L246" s="16"/>
      <c r="M246" s="16"/>
      <c r="N246" s="19"/>
      <c r="O246" s="19"/>
      <c r="P246" s="19"/>
      <c r="Q246" s="19"/>
      <c r="R246" s="19"/>
      <c r="S246" s="19"/>
      <c r="T246" s="19"/>
      <c r="U246" s="19"/>
      <c r="V246" s="59"/>
      <c r="W246" s="20"/>
      <c r="X246" s="43"/>
    </row>
    <row r="247" spans="1:24" ht="15.75" hidden="1" customHeight="1" x14ac:dyDescent="0.25">
      <c r="A247" s="16"/>
      <c r="B247" s="16"/>
      <c r="C247" s="16"/>
      <c r="D247" s="40"/>
      <c r="E247" s="17"/>
      <c r="F247" s="21"/>
      <c r="G247" s="16"/>
      <c r="H247" s="16"/>
      <c r="I247" s="22"/>
      <c r="J247" s="22"/>
      <c r="K247" s="16"/>
      <c r="L247" s="16"/>
      <c r="M247" s="16"/>
      <c r="N247" s="19"/>
      <c r="O247" s="19"/>
      <c r="P247" s="19"/>
      <c r="Q247" s="19"/>
      <c r="R247" s="19"/>
      <c r="S247" s="19"/>
      <c r="T247" s="19"/>
      <c r="U247" s="19"/>
      <c r="V247" s="59"/>
      <c r="W247" s="20"/>
      <c r="X247" s="43"/>
    </row>
    <row r="248" spans="1:24" ht="15.75" hidden="1" customHeight="1" x14ac:dyDescent="0.25">
      <c r="A248" s="16"/>
      <c r="B248" s="16"/>
      <c r="C248" s="16"/>
      <c r="D248" s="40"/>
      <c r="E248" s="17"/>
      <c r="F248" s="21"/>
      <c r="G248" s="16"/>
      <c r="H248" s="16"/>
      <c r="I248" s="22"/>
      <c r="J248" s="22"/>
      <c r="K248" s="16"/>
      <c r="L248" s="16"/>
      <c r="M248" s="16"/>
      <c r="N248" s="19"/>
      <c r="O248" s="19"/>
      <c r="P248" s="19"/>
      <c r="Q248" s="19"/>
      <c r="R248" s="19"/>
      <c r="S248" s="19"/>
      <c r="T248" s="19"/>
      <c r="U248" s="19"/>
      <c r="V248" s="59"/>
      <c r="W248" s="20"/>
      <c r="X248" s="43"/>
    </row>
    <row r="249" spans="1:24" ht="15.75" hidden="1" customHeight="1" x14ac:dyDescent="0.25">
      <c r="A249" s="16"/>
      <c r="B249" s="16"/>
      <c r="C249" s="16"/>
      <c r="D249" s="40"/>
      <c r="E249" s="17"/>
      <c r="F249" s="21"/>
      <c r="G249" s="16"/>
      <c r="H249" s="16"/>
      <c r="I249" s="22"/>
      <c r="J249" s="22"/>
      <c r="K249" s="16"/>
      <c r="L249" s="16"/>
      <c r="M249" s="16"/>
      <c r="N249" s="19"/>
      <c r="O249" s="19"/>
      <c r="P249" s="19"/>
      <c r="Q249" s="19"/>
      <c r="R249" s="19"/>
      <c r="S249" s="19"/>
      <c r="T249" s="19"/>
      <c r="U249" s="19"/>
      <c r="V249" s="59"/>
      <c r="W249" s="20"/>
      <c r="X249" s="43"/>
    </row>
    <row r="250" spans="1:24" ht="15.75" hidden="1" customHeight="1" x14ac:dyDescent="0.25">
      <c r="A250" s="16"/>
      <c r="B250" s="16"/>
      <c r="C250" s="16"/>
      <c r="D250" s="40"/>
      <c r="E250" s="17"/>
      <c r="F250" s="21"/>
      <c r="G250" s="16"/>
      <c r="H250" s="16"/>
      <c r="I250" s="22"/>
      <c r="J250" s="22"/>
      <c r="K250" s="16"/>
      <c r="L250" s="16"/>
      <c r="M250" s="16"/>
      <c r="N250" s="19"/>
      <c r="O250" s="19"/>
      <c r="P250" s="19"/>
      <c r="Q250" s="19"/>
      <c r="R250" s="19"/>
      <c r="S250" s="19"/>
      <c r="T250" s="19"/>
      <c r="U250" s="19"/>
      <c r="V250" s="59"/>
      <c r="W250" s="20"/>
      <c r="X250" s="43"/>
    </row>
    <row r="251" spans="1:24" ht="15.75" hidden="1" customHeight="1" x14ac:dyDescent="0.25">
      <c r="A251" s="16"/>
      <c r="B251" s="16"/>
      <c r="C251" s="16"/>
      <c r="D251" s="40"/>
      <c r="E251" s="17"/>
      <c r="F251" s="21"/>
      <c r="G251" s="16"/>
      <c r="H251" s="16"/>
      <c r="I251" s="22"/>
      <c r="J251" s="22"/>
      <c r="K251" s="16"/>
      <c r="L251" s="16"/>
      <c r="M251" s="16"/>
      <c r="N251" s="19"/>
      <c r="O251" s="19"/>
      <c r="P251" s="19"/>
      <c r="Q251" s="19"/>
      <c r="R251" s="19"/>
      <c r="S251" s="19"/>
      <c r="T251" s="19"/>
      <c r="U251" s="19"/>
      <c r="V251" s="59"/>
      <c r="W251" s="20"/>
      <c r="X251" s="43"/>
    </row>
    <row r="252" spans="1:24" ht="15.75" hidden="1" customHeight="1" x14ac:dyDescent="0.25">
      <c r="A252" s="16"/>
      <c r="B252" s="16"/>
      <c r="C252" s="16"/>
      <c r="D252" s="40"/>
      <c r="E252" s="17"/>
      <c r="F252" s="21"/>
      <c r="G252" s="16"/>
      <c r="H252" s="16"/>
      <c r="I252" s="22"/>
      <c r="J252" s="22"/>
      <c r="K252" s="16"/>
      <c r="L252" s="16"/>
      <c r="M252" s="16"/>
      <c r="N252" s="19"/>
      <c r="O252" s="19"/>
      <c r="P252" s="19"/>
      <c r="Q252" s="19"/>
      <c r="R252" s="19"/>
      <c r="S252" s="19"/>
      <c r="T252" s="19"/>
      <c r="U252" s="19"/>
      <c r="V252" s="59"/>
      <c r="W252" s="20"/>
      <c r="X252" s="43"/>
    </row>
    <row r="253" spans="1:24" ht="15.75" hidden="1" customHeight="1" x14ac:dyDescent="0.25">
      <c r="A253" s="16"/>
      <c r="B253" s="16"/>
      <c r="C253" s="16"/>
      <c r="D253" s="40"/>
      <c r="E253" s="17"/>
      <c r="F253" s="21"/>
      <c r="G253" s="16"/>
      <c r="H253" s="16"/>
      <c r="I253" s="22"/>
      <c r="J253" s="22"/>
      <c r="K253" s="16"/>
      <c r="L253" s="16"/>
      <c r="M253" s="16"/>
      <c r="N253" s="19"/>
      <c r="O253" s="19"/>
      <c r="P253" s="19"/>
      <c r="Q253" s="19"/>
      <c r="R253" s="19"/>
      <c r="S253" s="19"/>
      <c r="T253" s="19"/>
      <c r="U253" s="19"/>
      <c r="V253" s="59"/>
      <c r="W253" s="20"/>
      <c r="X253" s="43"/>
    </row>
    <row r="254" spans="1:24" ht="15.75" hidden="1" customHeight="1" x14ac:dyDescent="0.25">
      <c r="A254" s="16"/>
      <c r="B254" s="16"/>
      <c r="C254" s="16"/>
      <c r="D254" s="40"/>
      <c r="E254" s="17"/>
      <c r="F254" s="21"/>
      <c r="G254" s="16"/>
      <c r="H254" s="16"/>
      <c r="I254" s="22"/>
      <c r="J254" s="22"/>
      <c r="K254" s="16"/>
      <c r="L254" s="16"/>
      <c r="M254" s="16"/>
      <c r="N254" s="19"/>
      <c r="O254" s="19"/>
      <c r="P254" s="19"/>
      <c r="Q254" s="19"/>
      <c r="R254" s="19"/>
      <c r="S254" s="19"/>
      <c r="T254" s="19"/>
      <c r="U254" s="19"/>
      <c r="V254" s="59"/>
      <c r="W254" s="20"/>
      <c r="X254" s="43"/>
    </row>
    <row r="255" spans="1:24" ht="15.75" hidden="1" customHeight="1" x14ac:dyDescent="0.25">
      <c r="A255" s="16"/>
      <c r="B255" s="16"/>
      <c r="C255" s="16"/>
      <c r="D255" s="40"/>
      <c r="E255" s="17"/>
      <c r="F255" s="21"/>
      <c r="G255" s="16"/>
      <c r="H255" s="16"/>
      <c r="I255" s="22"/>
      <c r="J255" s="22"/>
      <c r="K255" s="16"/>
      <c r="L255" s="16"/>
      <c r="M255" s="16"/>
      <c r="N255" s="19"/>
      <c r="O255" s="19"/>
      <c r="P255" s="19"/>
      <c r="Q255" s="19"/>
      <c r="R255" s="19"/>
      <c r="S255" s="19"/>
      <c r="T255" s="19"/>
      <c r="U255" s="19"/>
      <c r="V255" s="59"/>
      <c r="W255" s="20"/>
      <c r="X255" s="43"/>
    </row>
    <row r="256" spans="1:24" ht="15.75" hidden="1" customHeight="1" x14ac:dyDescent="0.25">
      <c r="A256" s="16"/>
      <c r="B256" s="16"/>
      <c r="C256" s="16"/>
      <c r="D256" s="40"/>
      <c r="E256" s="17"/>
      <c r="F256" s="21"/>
      <c r="G256" s="16"/>
      <c r="H256" s="16"/>
      <c r="I256" s="22"/>
      <c r="J256" s="22"/>
      <c r="K256" s="16"/>
      <c r="L256" s="16"/>
      <c r="M256" s="16"/>
      <c r="N256" s="19"/>
      <c r="O256" s="19"/>
      <c r="P256" s="19"/>
      <c r="Q256" s="19"/>
      <c r="R256" s="19"/>
      <c r="S256" s="19"/>
      <c r="T256" s="19"/>
      <c r="U256" s="19"/>
      <c r="V256" s="59"/>
      <c r="W256" s="20"/>
      <c r="X256" s="43"/>
    </row>
    <row r="257" spans="1:24" ht="15.75" hidden="1" customHeight="1" x14ac:dyDescent="0.25">
      <c r="A257" s="16"/>
      <c r="B257" s="16"/>
      <c r="C257" s="16"/>
      <c r="D257" s="40"/>
      <c r="E257" s="17"/>
      <c r="F257" s="21"/>
      <c r="G257" s="16"/>
      <c r="H257" s="16"/>
      <c r="I257" s="22"/>
      <c r="J257" s="22"/>
      <c r="K257" s="16"/>
      <c r="L257" s="16"/>
      <c r="M257" s="16"/>
      <c r="N257" s="19"/>
      <c r="O257" s="19"/>
      <c r="P257" s="19"/>
      <c r="Q257" s="19"/>
      <c r="R257" s="19"/>
      <c r="S257" s="19"/>
      <c r="T257" s="19"/>
      <c r="U257" s="19"/>
      <c r="V257" s="59"/>
      <c r="W257" s="20"/>
      <c r="X257" s="43"/>
    </row>
    <row r="258" spans="1:24" ht="15.75" hidden="1" customHeight="1" x14ac:dyDescent="0.25">
      <c r="A258" s="16"/>
      <c r="B258" s="16"/>
      <c r="C258" s="16"/>
      <c r="D258" s="40"/>
      <c r="E258" s="17"/>
      <c r="F258" s="21"/>
      <c r="G258" s="16"/>
      <c r="H258" s="16"/>
      <c r="I258" s="22"/>
      <c r="J258" s="22"/>
      <c r="K258" s="16"/>
      <c r="L258" s="16"/>
      <c r="M258" s="16"/>
      <c r="N258" s="19"/>
      <c r="O258" s="19"/>
      <c r="P258" s="19"/>
      <c r="Q258" s="19"/>
      <c r="R258" s="19"/>
      <c r="S258" s="19"/>
      <c r="T258" s="19"/>
      <c r="U258" s="19"/>
      <c r="V258" s="59"/>
      <c r="W258" s="20"/>
      <c r="X258" s="43"/>
    </row>
    <row r="259" spans="1:24" ht="15.75" hidden="1" customHeight="1" x14ac:dyDescent="0.25">
      <c r="A259" s="16"/>
      <c r="B259" s="16"/>
      <c r="C259" s="16"/>
      <c r="D259" s="40"/>
      <c r="E259" s="17"/>
      <c r="F259" s="21"/>
      <c r="G259" s="16"/>
      <c r="H259" s="16"/>
      <c r="I259" s="22"/>
      <c r="J259" s="22"/>
      <c r="K259" s="16"/>
      <c r="L259" s="16"/>
      <c r="M259" s="16"/>
      <c r="N259" s="19"/>
      <c r="O259" s="19"/>
      <c r="P259" s="19"/>
      <c r="Q259" s="19"/>
      <c r="R259" s="19"/>
      <c r="S259" s="19"/>
      <c r="T259" s="19"/>
      <c r="U259" s="19"/>
      <c r="V259" s="59"/>
      <c r="W259" s="20"/>
      <c r="X259" s="43"/>
    </row>
    <row r="260" spans="1:24" ht="15.75" hidden="1" customHeight="1" x14ac:dyDescent="0.25">
      <c r="A260" s="16"/>
      <c r="B260" s="16"/>
      <c r="C260" s="16"/>
      <c r="D260" s="40"/>
      <c r="E260" s="17"/>
      <c r="F260" s="21"/>
      <c r="G260" s="16"/>
      <c r="H260" s="16"/>
      <c r="I260" s="22"/>
      <c r="J260" s="22"/>
      <c r="K260" s="16"/>
      <c r="L260" s="16"/>
      <c r="M260" s="16"/>
      <c r="N260" s="19"/>
      <c r="O260" s="19"/>
      <c r="P260" s="19"/>
      <c r="Q260" s="19"/>
      <c r="R260" s="19"/>
      <c r="S260" s="19"/>
      <c r="T260" s="19"/>
      <c r="U260" s="19"/>
      <c r="V260" s="59"/>
      <c r="W260" s="20"/>
      <c r="X260" s="43"/>
    </row>
    <row r="261" spans="1:24" ht="15.75" hidden="1" customHeight="1" x14ac:dyDescent="0.25">
      <c r="A261" s="16"/>
      <c r="B261" s="16"/>
      <c r="C261" s="16"/>
      <c r="D261" s="40"/>
      <c r="E261" s="17"/>
      <c r="F261" s="21"/>
      <c r="G261" s="16"/>
      <c r="H261" s="16"/>
      <c r="I261" s="22"/>
      <c r="J261" s="22"/>
      <c r="K261" s="16"/>
      <c r="L261" s="16"/>
      <c r="M261" s="16"/>
      <c r="N261" s="19"/>
      <c r="O261" s="19"/>
      <c r="P261" s="19"/>
      <c r="Q261" s="19"/>
      <c r="R261" s="19"/>
      <c r="S261" s="19"/>
      <c r="T261" s="19"/>
      <c r="U261" s="19"/>
      <c r="V261" s="59"/>
      <c r="W261" s="20"/>
      <c r="X261" s="43"/>
    </row>
    <row r="262" spans="1:24" ht="15.75" hidden="1" customHeight="1" x14ac:dyDescent="0.25">
      <c r="A262" s="16"/>
      <c r="B262" s="16"/>
      <c r="C262" s="16"/>
      <c r="D262" s="40"/>
      <c r="E262" s="17"/>
      <c r="F262" s="21"/>
      <c r="G262" s="16"/>
      <c r="H262" s="16"/>
      <c r="I262" s="22"/>
      <c r="J262" s="22"/>
      <c r="K262" s="16"/>
      <c r="L262" s="16"/>
      <c r="M262" s="16"/>
      <c r="N262" s="19"/>
      <c r="O262" s="19"/>
      <c r="P262" s="19"/>
      <c r="Q262" s="19"/>
      <c r="R262" s="19"/>
      <c r="S262" s="19"/>
      <c r="T262" s="19"/>
      <c r="U262" s="19"/>
      <c r="V262" s="59"/>
      <c r="W262" s="20"/>
      <c r="X262" s="43"/>
    </row>
    <row r="263" spans="1:24" ht="15.75" hidden="1" customHeight="1" x14ac:dyDescent="0.25">
      <c r="A263" s="16"/>
      <c r="B263" s="16"/>
      <c r="C263" s="16"/>
      <c r="D263" s="40"/>
      <c r="E263" s="17"/>
      <c r="F263" s="21"/>
      <c r="G263" s="16"/>
      <c r="H263" s="16"/>
      <c r="I263" s="22"/>
      <c r="J263" s="22"/>
      <c r="K263" s="16"/>
      <c r="L263" s="16"/>
      <c r="M263" s="16"/>
      <c r="N263" s="19"/>
      <c r="O263" s="19"/>
      <c r="P263" s="19"/>
      <c r="Q263" s="19"/>
      <c r="R263" s="19"/>
      <c r="S263" s="19"/>
      <c r="T263" s="19"/>
      <c r="U263" s="19"/>
      <c r="V263" s="59"/>
      <c r="W263" s="20"/>
      <c r="X263" s="43"/>
    </row>
    <row r="264" spans="1:24" ht="15.75" hidden="1" customHeight="1" x14ac:dyDescent="0.25">
      <c r="A264" s="16"/>
      <c r="B264" s="16"/>
      <c r="C264" s="16"/>
      <c r="D264" s="40"/>
      <c r="E264" s="17"/>
      <c r="F264" s="21"/>
      <c r="G264" s="16"/>
      <c r="H264" s="16"/>
      <c r="I264" s="22"/>
      <c r="J264" s="22"/>
      <c r="K264" s="16"/>
      <c r="L264" s="16"/>
      <c r="M264" s="16"/>
      <c r="N264" s="19"/>
      <c r="O264" s="19"/>
      <c r="P264" s="19"/>
      <c r="Q264" s="19"/>
      <c r="R264" s="19"/>
      <c r="S264" s="19"/>
      <c r="T264" s="19"/>
      <c r="U264" s="19"/>
      <c r="V264" s="59"/>
      <c r="W264" s="20"/>
      <c r="X264" s="43"/>
    </row>
    <row r="265" spans="1:24" ht="15.75" hidden="1" customHeight="1" x14ac:dyDescent="0.25">
      <c r="A265" s="16"/>
      <c r="B265" s="16"/>
      <c r="C265" s="16"/>
      <c r="D265" s="40"/>
      <c r="E265" s="17"/>
      <c r="F265" s="21"/>
      <c r="G265" s="16"/>
      <c r="H265" s="16"/>
      <c r="I265" s="22"/>
      <c r="J265" s="22"/>
      <c r="K265" s="16"/>
      <c r="L265" s="16"/>
      <c r="M265" s="16"/>
      <c r="N265" s="19"/>
      <c r="O265" s="19"/>
      <c r="P265" s="19"/>
      <c r="Q265" s="19"/>
      <c r="R265" s="19"/>
      <c r="S265" s="19"/>
      <c r="T265" s="19"/>
      <c r="U265" s="19"/>
      <c r="V265" s="59"/>
      <c r="W265" s="20"/>
      <c r="X265" s="43"/>
    </row>
    <row r="266" spans="1:24" ht="15.75" hidden="1" customHeight="1" x14ac:dyDescent="0.25">
      <c r="A266" s="16"/>
      <c r="B266" s="16"/>
      <c r="C266" s="16"/>
      <c r="D266" s="40"/>
      <c r="E266" s="17"/>
      <c r="F266" s="21"/>
      <c r="G266" s="16"/>
      <c r="H266" s="16"/>
      <c r="I266" s="22"/>
      <c r="J266" s="22"/>
      <c r="K266" s="16"/>
      <c r="L266" s="16"/>
      <c r="M266" s="16"/>
      <c r="N266" s="19"/>
      <c r="O266" s="19"/>
      <c r="P266" s="19"/>
      <c r="Q266" s="19"/>
      <c r="R266" s="19"/>
      <c r="S266" s="19"/>
      <c r="T266" s="19"/>
      <c r="U266" s="19"/>
      <c r="V266" s="59"/>
      <c r="W266" s="20"/>
      <c r="X266" s="43"/>
    </row>
    <row r="267" spans="1:24" ht="15.75" hidden="1" customHeight="1" x14ac:dyDescent="0.25">
      <c r="A267" s="16"/>
      <c r="B267" s="16"/>
      <c r="C267" s="16"/>
      <c r="D267" s="40"/>
      <c r="E267" s="17"/>
      <c r="F267" s="21"/>
      <c r="G267" s="16"/>
      <c r="H267" s="16"/>
      <c r="I267" s="22"/>
      <c r="J267" s="22"/>
      <c r="K267" s="16"/>
      <c r="L267" s="16"/>
      <c r="M267" s="16"/>
      <c r="N267" s="19"/>
      <c r="O267" s="19"/>
      <c r="P267" s="19"/>
      <c r="Q267" s="19"/>
      <c r="R267" s="19"/>
      <c r="S267" s="19"/>
      <c r="T267" s="19"/>
      <c r="U267" s="19"/>
      <c r="V267" s="59"/>
      <c r="W267" s="20"/>
      <c r="X267" s="43"/>
    </row>
    <row r="268" spans="1:24" ht="15.75" hidden="1" customHeight="1" x14ac:dyDescent="0.25">
      <c r="A268" s="16"/>
      <c r="B268" s="16"/>
      <c r="C268" s="16"/>
      <c r="D268" s="40"/>
      <c r="E268" s="17"/>
      <c r="F268" s="21"/>
      <c r="G268" s="16"/>
      <c r="H268" s="16"/>
      <c r="I268" s="22"/>
      <c r="J268" s="22"/>
      <c r="K268" s="16"/>
      <c r="L268" s="16"/>
      <c r="M268" s="16"/>
      <c r="N268" s="19"/>
      <c r="O268" s="19"/>
      <c r="P268" s="19"/>
      <c r="Q268" s="19"/>
      <c r="R268" s="19"/>
      <c r="S268" s="19"/>
      <c r="T268" s="19"/>
      <c r="U268" s="19"/>
      <c r="V268" s="59"/>
      <c r="W268" s="20"/>
      <c r="X268" s="43"/>
    </row>
    <row r="269" spans="1:24" ht="15.75" hidden="1" customHeight="1" x14ac:dyDescent="0.25">
      <c r="A269" s="16"/>
      <c r="B269" s="16"/>
      <c r="C269" s="16"/>
      <c r="D269" s="40"/>
      <c r="E269" s="17"/>
      <c r="F269" s="21"/>
      <c r="G269" s="16"/>
      <c r="H269" s="16"/>
      <c r="I269" s="22"/>
      <c r="J269" s="22"/>
      <c r="K269" s="16"/>
      <c r="L269" s="16"/>
      <c r="M269" s="16"/>
      <c r="N269" s="19"/>
      <c r="O269" s="19"/>
      <c r="P269" s="19"/>
      <c r="Q269" s="19"/>
      <c r="R269" s="19"/>
      <c r="S269" s="19"/>
      <c r="T269" s="19"/>
      <c r="U269" s="19"/>
      <c r="V269" s="59"/>
      <c r="W269" s="20"/>
      <c r="X269" s="43"/>
    </row>
    <row r="270" spans="1:24" ht="15.75" hidden="1" customHeight="1" x14ac:dyDescent="0.25">
      <c r="A270" s="16"/>
      <c r="B270" s="16"/>
      <c r="C270" s="16"/>
      <c r="D270" s="40"/>
      <c r="E270" s="17"/>
      <c r="F270" s="21"/>
      <c r="G270" s="16"/>
      <c r="H270" s="16"/>
      <c r="I270" s="22"/>
      <c r="J270" s="22"/>
      <c r="K270" s="16"/>
      <c r="L270" s="16"/>
      <c r="M270" s="16"/>
      <c r="N270" s="19"/>
      <c r="O270" s="19"/>
      <c r="P270" s="19"/>
      <c r="Q270" s="19"/>
      <c r="R270" s="19"/>
      <c r="S270" s="19"/>
      <c r="T270" s="19"/>
      <c r="U270" s="19"/>
      <c r="V270" s="59"/>
      <c r="W270" s="20"/>
      <c r="X270" s="43"/>
    </row>
    <row r="271" spans="1:24" ht="15.75" hidden="1" customHeight="1" x14ac:dyDescent="0.25">
      <c r="A271" s="16"/>
      <c r="B271" s="16"/>
      <c r="C271" s="16"/>
      <c r="D271" s="40"/>
      <c r="E271" s="17"/>
      <c r="F271" s="21"/>
      <c r="G271" s="16"/>
      <c r="H271" s="16"/>
      <c r="I271" s="22"/>
      <c r="J271" s="22"/>
      <c r="K271" s="16"/>
      <c r="L271" s="16"/>
      <c r="M271" s="16"/>
      <c r="N271" s="19"/>
      <c r="O271" s="19"/>
      <c r="P271" s="19"/>
      <c r="Q271" s="19"/>
      <c r="R271" s="19"/>
      <c r="S271" s="19"/>
      <c r="T271" s="19"/>
      <c r="U271" s="19"/>
      <c r="V271" s="59"/>
      <c r="W271" s="20"/>
      <c r="X271" s="43"/>
    </row>
    <row r="272" spans="1:24" ht="15.75" hidden="1" customHeight="1" x14ac:dyDescent="0.25">
      <c r="A272" s="16"/>
      <c r="B272" s="16"/>
      <c r="C272" s="16"/>
      <c r="D272" s="40"/>
      <c r="E272" s="17"/>
      <c r="F272" s="21"/>
      <c r="G272" s="16"/>
      <c r="H272" s="16"/>
      <c r="I272" s="22"/>
      <c r="J272" s="22"/>
      <c r="K272" s="16"/>
      <c r="L272" s="16"/>
      <c r="M272" s="16"/>
      <c r="N272" s="19"/>
      <c r="O272" s="19"/>
      <c r="P272" s="19"/>
      <c r="Q272" s="19"/>
      <c r="R272" s="19"/>
      <c r="S272" s="19"/>
      <c r="T272" s="19"/>
      <c r="U272" s="19"/>
      <c r="V272" s="59"/>
      <c r="W272" s="20"/>
      <c r="X272" s="43"/>
    </row>
    <row r="273" spans="1:24" ht="15.75" hidden="1" customHeight="1" x14ac:dyDescent="0.25">
      <c r="A273" s="16"/>
      <c r="B273" s="16"/>
      <c r="C273" s="16"/>
      <c r="D273" s="40"/>
      <c r="E273" s="17"/>
      <c r="F273" s="21"/>
      <c r="G273" s="16"/>
      <c r="H273" s="16"/>
      <c r="I273" s="22"/>
      <c r="J273" s="22"/>
      <c r="K273" s="16"/>
      <c r="L273" s="16"/>
      <c r="M273" s="16"/>
      <c r="N273" s="19"/>
      <c r="O273" s="19"/>
      <c r="P273" s="19"/>
      <c r="Q273" s="19"/>
      <c r="R273" s="19"/>
      <c r="S273" s="19"/>
      <c r="T273" s="19"/>
      <c r="U273" s="19"/>
      <c r="V273" s="59"/>
      <c r="W273" s="20"/>
      <c r="X273" s="43"/>
    </row>
    <row r="274" spans="1:24" ht="15.75" hidden="1" customHeight="1" x14ac:dyDescent="0.25">
      <c r="A274" s="16"/>
      <c r="B274" s="16"/>
      <c r="C274" s="16"/>
      <c r="D274" s="40"/>
      <c r="E274" s="17"/>
      <c r="F274" s="21"/>
      <c r="G274" s="16"/>
      <c r="H274" s="16"/>
      <c r="I274" s="22"/>
      <c r="J274" s="22"/>
      <c r="K274" s="16"/>
      <c r="L274" s="16"/>
      <c r="M274" s="16"/>
      <c r="N274" s="19"/>
      <c r="O274" s="19"/>
      <c r="P274" s="19"/>
      <c r="Q274" s="19"/>
      <c r="R274" s="19"/>
      <c r="S274" s="19"/>
      <c r="T274" s="19"/>
      <c r="U274" s="19"/>
      <c r="V274" s="59"/>
      <c r="W274" s="20"/>
      <c r="X274" s="43"/>
    </row>
    <row r="275" spans="1:24" ht="15.75" hidden="1" customHeight="1" x14ac:dyDescent="0.25">
      <c r="A275" s="16"/>
      <c r="B275" s="16"/>
      <c r="C275" s="16"/>
      <c r="D275" s="40"/>
      <c r="E275" s="17"/>
      <c r="F275" s="21"/>
      <c r="G275" s="16"/>
      <c r="H275" s="16"/>
      <c r="I275" s="22"/>
      <c r="J275" s="22"/>
      <c r="K275" s="16"/>
      <c r="L275" s="16"/>
      <c r="M275" s="16"/>
      <c r="N275" s="19"/>
      <c r="O275" s="19"/>
      <c r="P275" s="19"/>
      <c r="Q275" s="19"/>
      <c r="R275" s="19"/>
      <c r="S275" s="19"/>
      <c r="T275" s="19"/>
      <c r="U275" s="19"/>
      <c r="V275" s="59"/>
      <c r="W275" s="20"/>
      <c r="X275" s="43"/>
    </row>
    <row r="276" spans="1:24" ht="15.75" hidden="1" customHeight="1" x14ac:dyDescent="0.25">
      <c r="A276" s="16"/>
      <c r="B276" s="16"/>
      <c r="C276" s="16"/>
      <c r="D276" s="40"/>
      <c r="E276" s="17"/>
      <c r="F276" s="21"/>
      <c r="G276" s="16"/>
      <c r="H276" s="16"/>
      <c r="I276" s="22"/>
      <c r="J276" s="22"/>
      <c r="K276" s="16"/>
      <c r="L276" s="16"/>
      <c r="M276" s="16"/>
      <c r="N276" s="19"/>
      <c r="O276" s="19"/>
      <c r="P276" s="19"/>
      <c r="Q276" s="19"/>
      <c r="R276" s="19"/>
      <c r="S276" s="19"/>
      <c r="T276" s="19"/>
      <c r="U276" s="19"/>
      <c r="V276" s="59"/>
      <c r="W276" s="20"/>
      <c r="X276" s="43"/>
    </row>
    <row r="277" spans="1:24" ht="15.75" hidden="1" customHeight="1" x14ac:dyDescent="0.25">
      <c r="A277" s="16"/>
      <c r="B277" s="16"/>
      <c r="C277" s="16"/>
      <c r="D277" s="40"/>
      <c r="E277" s="17"/>
      <c r="F277" s="21"/>
      <c r="G277" s="16"/>
      <c r="H277" s="16"/>
      <c r="I277" s="22"/>
      <c r="J277" s="22"/>
      <c r="K277" s="16"/>
      <c r="L277" s="16"/>
      <c r="M277" s="16"/>
      <c r="N277" s="19"/>
      <c r="O277" s="19"/>
      <c r="P277" s="19"/>
      <c r="Q277" s="19"/>
      <c r="R277" s="19"/>
      <c r="S277" s="19"/>
      <c r="T277" s="19"/>
      <c r="U277" s="19"/>
      <c r="V277" s="59"/>
      <c r="W277" s="20"/>
      <c r="X277" s="43"/>
    </row>
    <row r="278" spans="1:24" ht="15.75" hidden="1" customHeight="1" x14ac:dyDescent="0.25">
      <c r="A278" s="16"/>
      <c r="B278" s="16"/>
      <c r="C278" s="16"/>
      <c r="D278" s="40"/>
      <c r="E278" s="17"/>
      <c r="F278" s="21"/>
      <c r="G278" s="16"/>
      <c r="H278" s="16"/>
      <c r="I278" s="22"/>
      <c r="J278" s="22"/>
      <c r="K278" s="16"/>
      <c r="L278" s="16"/>
      <c r="M278" s="16"/>
      <c r="N278" s="19"/>
      <c r="O278" s="19"/>
      <c r="P278" s="19"/>
      <c r="Q278" s="19"/>
      <c r="R278" s="19"/>
      <c r="S278" s="19"/>
      <c r="T278" s="19"/>
      <c r="U278" s="19"/>
      <c r="V278" s="59"/>
      <c r="W278" s="20"/>
      <c r="X278" s="43"/>
    </row>
    <row r="279" spans="1:24" ht="15.75" hidden="1" customHeight="1" x14ac:dyDescent="0.25">
      <c r="A279" s="16"/>
      <c r="B279" s="16"/>
      <c r="C279" s="16"/>
      <c r="D279" s="40"/>
      <c r="E279" s="17"/>
      <c r="F279" s="21"/>
      <c r="G279" s="16"/>
      <c r="H279" s="16"/>
      <c r="I279" s="22"/>
      <c r="J279" s="22"/>
      <c r="K279" s="16"/>
      <c r="L279" s="16"/>
      <c r="M279" s="16"/>
      <c r="N279" s="19"/>
      <c r="O279" s="19"/>
      <c r="P279" s="19"/>
      <c r="Q279" s="19"/>
      <c r="R279" s="19"/>
      <c r="S279" s="19"/>
      <c r="T279" s="19"/>
      <c r="U279" s="19"/>
      <c r="V279" s="59"/>
      <c r="W279" s="20"/>
      <c r="X279" s="43"/>
    </row>
    <row r="280" spans="1:24" ht="15.75" hidden="1" customHeight="1" x14ac:dyDescent="0.25">
      <c r="A280" s="16"/>
      <c r="B280" s="16"/>
      <c r="C280" s="16"/>
      <c r="D280" s="40"/>
      <c r="E280" s="17"/>
      <c r="F280" s="21"/>
      <c r="G280" s="16"/>
      <c r="H280" s="16"/>
      <c r="I280" s="22"/>
      <c r="J280" s="22"/>
      <c r="K280" s="16"/>
      <c r="L280" s="16"/>
      <c r="M280" s="16"/>
      <c r="N280" s="19"/>
      <c r="O280" s="19"/>
      <c r="P280" s="19"/>
      <c r="Q280" s="19"/>
      <c r="R280" s="19"/>
      <c r="S280" s="19"/>
      <c r="T280" s="19"/>
      <c r="U280" s="19"/>
      <c r="V280" s="59"/>
      <c r="W280" s="20"/>
      <c r="X280" s="43"/>
    </row>
    <row r="281" spans="1:24" ht="15.75" hidden="1" customHeight="1" x14ac:dyDescent="0.25">
      <c r="A281" s="16"/>
      <c r="B281" s="16"/>
      <c r="C281" s="16"/>
      <c r="D281" s="40"/>
      <c r="E281" s="17"/>
      <c r="F281" s="21"/>
      <c r="G281" s="16"/>
      <c r="H281" s="16"/>
      <c r="I281" s="22"/>
      <c r="J281" s="22"/>
      <c r="K281" s="16"/>
      <c r="L281" s="16"/>
      <c r="M281" s="16"/>
      <c r="N281" s="19"/>
      <c r="O281" s="19"/>
      <c r="P281" s="19"/>
      <c r="Q281" s="19"/>
      <c r="R281" s="19"/>
      <c r="S281" s="19"/>
      <c r="T281" s="19"/>
      <c r="U281" s="19"/>
      <c r="V281" s="59"/>
      <c r="W281" s="20"/>
      <c r="X281" s="43"/>
    </row>
    <row r="282" spans="1:24" ht="15.75" hidden="1" customHeight="1" x14ac:dyDescent="0.25">
      <c r="A282" s="16"/>
      <c r="B282" s="16"/>
      <c r="C282" s="16"/>
      <c r="D282" s="40"/>
      <c r="E282" s="17"/>
      <c r="F282" s="21"/>
      <c r="G282" s="16"/>
      <c r="H282" s="16"/>
      <c r="I282" s="22"/>
      <c r="J282" s="22"/>
      <c r="K282" s="16"/>
      <c r="L282" s="16"/>
      <c r="M282" s="16"/>
      <c r="N282" s="19"/>
      <c r="O282" s="19"/>
      <c r="P282" s="19"/>
      <c r="Q282" s="19"/>
      <c r="R282" s="19"/>
      <c r="S282" s="19"/>
      <c r="T282" s="19"/>
      <c r="U282" s="19"/>
      <c r="V282" s="59"/>
      <c r="W282" s="20"/>
      <c r="X282" s="43"/>
    </row>
    <row r="283" spans="1:24" ht="15.75" hidden="1" customHeight="1" x14ac:dyDescent="0.25">
      <c r="A283" s="16"/>
      <c r="B283" s="16"/>
      <c r="C283" s="16"/>
      <c r="D283" s="40"/>
      <c r="E283" s="17"/>
      <c r="F283" s="21"/>
      <c r="G283" s="16"/>
      <c r="H283" s="16"/>
      <c r="I283" s="22"/>
      <c r="J283" s="22"/>
      <c r="K283" s="16"/>
      <c r="L283" s="16"/>
      <c r="M283" s="16"/>
      <c r="N283" s="19"/>
      <c r="O283" s="19"/>
      <c r="P283" s="19"/>
      <c r="Q283" s="19"/>
      <c r="R283" s="19"/>
      <c r="S283" s="19"/>
      <c r="T283" s="19"/>
      <c r="U283" s="19"/>
      <c r="V283" s="59"/>
      <c r="W283" s="20"/>
      <c r="X283" s="43"/>
    </row>
    <row r="284" spans="1:24" ht="15.75" hidden="1" customHeight="1" x14ac:dyDescent="0.25">
      <c r="A284" s="16"/>
      <c r="B284" s="16"/>
      <c r="C284" s="16"/>
      <c r="D284" s="40"/>
      <c r="E284" s="17"/>
      <c r="F284" s="21"/>
      <c r="G284" s="16"/>
      <c r="H284" s="16"/>
      <c r="I284" s="22"/>
      <c r="J284" s="22"/>
      <c r="K284" s="16"/>
      <c r="L284" s="16"/>
      <c r="M284" s="16"/>
      <c r="N284" s="19"/>
      <c r="O284" s="19"/>
      <c r="P284" s="19"/>
      <c r="Q284" s="19"/>
      <c r="R284" s="19"/>
      <c r="S284" s="19"/>
      <c r="T284" s="19"/>
      <c r="U284" s="19"/>
      <c r="V284" s="59"/>
      <c r="W284" s="20"/>
      <c r="X284" s="43"/>
    </row>
    <row r="285" spans="1:24" ht="15.75" hidden="1" customHeight="1" x14ac:dyDescent="0.25">
      <c r="A285" s="16"/>
      <c r="B285" s="16"/>
      <c r="C285" s="16"/>
      <c r="D285" s="40"/>
      <c r="E285" s="17"/>
      <c r="F285" s="21"/>
      <c r="G285" s="16"/>
      <c r="H285" s="16"/>
      <c r="I285" s="22"/>
      <c r="J285" s="22"/>
      <c r="K285" s="16"/>
      <c r="L285" s="16"/>
      <c r="M285" s="16"/>
      <c r="N285" s="19"/>
      <c r="O285" s="19"/>
      <c r="P285" s="19"/>
      <c r="Q285" s="19"/>
      <c r="R285" s="19"/>
      <c r="S285" s="19"/>
      <c r="T285" s="19"/>
      <c r="U285" s="19"/>
      <c r="V285" s="59"/>
      <c r="W285" s="20"/>
      <c r="X285" s="43"/>
    </row>
    <row r="286" spans="1:24" ht="15.75" hidden="1" customHeight="1" x14ac:dyDescent="0.25">
      <c r="A286" s="16"/>
      <c r="B286" s="16"/>
      <c r="C286" s="16"/>
      <c r="D286" s="40"/>
      <c r="E286" s="17"/>
      <c r="F286" s="21"/>
      <c r="G286" s="16"/>
      <c r="H286" s="16"/>
      <c r="I286" s="22"/>
      <c r="J286" s="22"/>
      <c r="K286" s="16"/>
      <c r="L286" s="16"/>
      <c r="M286" s="16"/>
      <c r="N286" s="19"/>
      <c r="O286" s="19"/>
      <c r="P286" s="19"/>
      <c r="Q286" s="19"/>
      <c r="R286" s="19"/>
      <c r="S286" s="19"/>
      <c r="T286" s="19"/>
      <c r="U286" s="19"/>
      <c r="V286" s="59"/>
      <c r="W286" s="20"/>
      <c r="X286" s="43"/>
    </row>
    <row r="287" spans="1:24" ht="15.75" hidden="1" customHeight="1" x14ac:dyDescent="0.25">
      <c r="A287" s="16"/>
      <c r="B287" s="16"/>
      <c r="C287" s="16"/>
      <c r="D287" s="40"/>
      <c r="E287" s="17"/>
      <c r="F287" s="21"/>
      <c r="G287" s="16"/>
      <c r="H287" s="16"/>
      <c r="I287" s="22"/>
      <c r="J287" s="22"/>
      <c r="K287" s="16"/>
      <c r="L287" s="16"/>
      <c r="M287" s="16"/>
      <c r="N287" s="19"/>
      <c r="O287" s="19"/>
      <c r="P287" s="19"/>
      <c r="Q287" s="19"/>
      <c r="R287" s="19"/>
      <c r="S287" s="19"/>
      <c r="T287" s="19"/>
      <c r="U287" s="19"/>
      <c r="V287" s="59"/>
      <c r="W287" s="20"/>
      <c r="X287" s="43"/>
    </row>
    <row r="288" spans="1:24" ht="15.75" hidden="1" customHeight="1" x14ac:dyDescent="0.25">
      <c r="A288" s="16"/>
      <c r="B288" s="16"/>
      <c r="C288" s="16"/>
      <c r="D288" s="40"/>
      <c r="E288" s="17"/>
      <c r="F288" s="21"/>
      <c r="G288" s="16"/>
      <c r="H288" s="16"/>
      <c r="I288" s="22"/>
      <c r="J288" s="22"/>
      <c r="K288" s="16"/>
      <c r="L288" s="16"/>
      <c r="M288" s="16"/>
      <c r="N288" s="19"/>
      <c r="O288" s="19"/>
      <c r="P288" s="19"/>
      <c r="Q288" s="19"/>
      <c r="R288" s="19"/>
      <c r="S288" s="19"/>
      <c r="T288" s="19"/>
      <c r="U288" s="19"/>
      <c r="V288" s="59"/>
      <c r="W288" s="20"/>
      <c r="X288" s="43"/>
    </row>
    <row r="289" spans="1:24" ht="15.75" hidden="1" customHeight="1" x14ac:dyDescent="0.25">
      <c r="A289" s="16"/>
      <c r="B289" s="16"/>
      <c r="C289" s="16"/>
      <c r="D289" s="40"/>
      <c r="E289" s="17"/>
      <c r="F289" s="21"/>
      <c r="G289" s="16"/>
      <c r="H289" s="16"/>
      <c r="I289" s="22"/>
      <c r="J289" s="22"/>
      <c r="K289" s="16"/>
      <c r="L289" s="16"/>
      <c r="M289" s="16"/>
      <c r="N289" s="19"/>
      <c r="O289" s="19"/>
      <c r="P289" s="19"/>
      <c r="Q289" s="19"/>
      <c r="R289" s="19"/>
      <c r="S289" s="19"/>
      <c r="T289" s="19"/>
      <c r="U289" s="19"/>
      <c r="V289" s="59"/>
      <c r="W289" s="20"/>
      <c r="X289" s="43"/>
    </row>
    <row r="290" spans="1:24" ht="15.75" hidden="1" customHeight="1" x14ac:dyDescent="0.25">
      <c r="A290" s="16"/>
      <c r="B290" s="16"/>
      <c r="C290" s="16"/>
      <c r="D290" s="40"/>
      <c r="E290" s="17"/>
      <c r="F290" s="21"/>
      <c r="G290" s="16"/>
      <c r="H290" s="16"/>
      <c r="I290" s="22"/>
      <c r="J290" s="22"/>
      <c r="K290" s="16"/>
      <c r="L290" s="16"/>
      <c r="M290" s="16"/>
      <c r="N290" s="19"/>
      <c r="O290" s="19"/>
      <c r="P290" s="19"/>
      <c r="Q290" s="19"/>
      <c r="R290" s="19"/>
      <c r="S290" s="19"/>
      <c r="T290" s="19"/>
      <c r="U290" s="19"/>
      <c r="V290" s="59"/>
      <c r="W290" s="20"/>
      <c r="X290" s="43"/>
    </row>
    <row r="291" spans="1:24" ht="15.75" hidden="1" customHeight="1" x14ac:dyDescent="0.25">
      <c r="A291" s="16"/>
      <c r="B291" s="16"/>
      <c r="C291" s="16"/>
      <c r="D291" s="40"/>
      <c r="E291" s="17"/>
      <c r="F291" s="21"/>
      <c r="G291" s="16"/>
      <c r="H291" s="16"/>
      <c r="I291" s="22"/>
      <c r="J291" s="22"/>
      <c r="K291" s="16"/>
      <c r="L291" s="16"/>
      <c r="M291" s="16"/>
      <c r="N291" s="19"/>
      <c r="O291" s="19"/>
      <c r="P291" s="19"/>
      <c r="Q291" s="19"/>
      <c r="R291" s="19"/>
      <c r="S291" s="19"/>
      <c r="T291" s="19"/>
      <c r="U291" s="19"/>
      <c r="V291" s="59"/>
      <c r="W291" s="20"/>
      <c r="X291" s="43"/>
    </row>
    <row r="292" spans="1:24" ht="15.75" hidden="1" customHeight="1" x14ac:dyDescent="0.25">
      <c r="A292" s="16"/>
      <c r="B292" s="16"/>
      <c r="C292" s="16"/>
      <c r="D292" s="40"/>
      <c r="E292" s="17"/>
      <c r="F292" s="21"/>
      <c r="G292" s="16"/>
      <c r="H292" s="16"/>
      <c r="I292" s="22"/>
      <c r="J292" s="22"/>
      <c r="K292" s="16"/>
      <c r="L292" s="16"/>
      <c r="M292" s="16"/>
      <c r="N292" s="19"/>
      <c r="O292" s="19"/>
      <c r="P292" s="19"/>
      <c r="Q292" s="19"/>
      <c r="R292" s="19"/>
      <c r="S292" s="19"/>
      <c r="T292" s="19"/>
      <c r="U292" s="19"/>
      <c r="V292" s="59"/>
      <c r="W292" s="20"/>
      <c r="X292" s="43"/>
    </row>
    <row r="293" spans="1:24" ht="15.75" hidden="1" customHeight="1" x14ac:dyDescent="0.25">
      <c r="A293" s="16"/>
      <c r="B293" s="16"/>
      <c r="C293" s="16"/>
      <c r="D293" s="40"/>
      <c r="E293" s="17"/>
      <c r="F293" s="21"/>
      <c r="G293" s="16"/>
      <c r="H293" s="16"/>
      <c r="I293" s="22"/>
      <c r="J293" s="22"/>
      <c r="K293" s="16"/>
      <c r="L293" s="16"/>
      <c r="M293" s="16"/>
      <c r="N293" s="19"/>
      <c r="O293" s="19"/>
      <c r="P293" s="19"/>
      <c r="Q293" s="19"/>
      <c r="R293" s="19"/>
      <c r="S293" s="19"/>
      <c r="T293" s="19"/>
      <c r="U293" s="19"/>
      <c r="V293" s="59"/>
      <c r="W293" s="20"/>
      <c r="X293" s="43"/>
    </row>
    <row r="294" spans="1:24" ht="15.75" hidden="1" customHeight="1" x14ac:dyDescent="0.25">
      <c r="A294" s="16"/>
      <c r="B294" s="16"/>
      <c r="C294" s="16"/>
      <c r="D294" s="40"/>
      <c r="E294" s="17"/>
      <c r="F294" s="21"/>
      <c r="G294" s="16"/>
      <c r="H294" s="16"/>
      <c r="I294" s="22"/>
      <c r="J294" s="22"/>
      <c r="K294" s="16"/>
      <c r="L294" s="16"/>
      <c r="M294" s="16"/>
      <c r="N294" s="19"/>
      <c r="O294" s="19"/>
      <c r="P294" s="19"/>
      <c r="Q294" s="19"/>
      <c r="R294" s="19"/>
      <c r="S294" s="19"/>
      <c r="T294" s="19"/>
      <c r="U294" s="19"/>
      <c r="V294" s="59"/>
      <c r="W294" s="20"/>
      <c r="X294" s="43"/>
    </row>
    <row r="295" spans="1:24" ht="15.75" hidden="1" customHeight="1" x14ac:dyDescent="0.25">
      <c r="A295" s="16"/>
      <c r="B295" s="16"/>
      <c r="C295" s="16"/>
      <c r="D295" s="40"/>
      <c r="E295" s="17"/>
      <c r="F295" s="21"/>
      <c r="G295" s="16"/>
      <c r="H295" s="16"/>
      <c r="I295" s="22"/>
      <c r="J295" s="22"/>
      <c r="K295" s="16"/>
      <c r="L295" s="16"/>
      <c r="M295" s="16"/>
      <c r="N295" s="19"/>
      <c r="O295" s="19"/>
      <c r="P295" s="19"/>
      <c r="Q295" s="19"/>
      <c r="R295" s="19"/>
      <c r="S295" s="19"/>
      <c r="T295" s="19"/>
      <c r="U295" s="19"/>
      <c r="V295" s="59"/>
      <c r="W295" s="20"/>
      <c r="X295" s="43"/>
    </row>
    <row r="296" spans="1:24" ht="15.75" hidden="1" customHeight="1" x14ac:dyDescent="0.25">
      <c r="A296" s="16"/>
      <c r="B296" s="16"/>
      <c r="C296" s="16"/>
      <c r="D296" s="40"/>
      <c r="E296" s="17"/>
      <c r="F296" s="21"/>
      <c r="G296" s="16"/>
      <c r="H296" s="16"/>
      <c r="I296" s="22"/>
      <c r="J296" s="22"/>
      <c r="K296" s="16"/>
      <c r="L296" s="16"/>
      <c r="M296" s="16"/>
      <c r="N296" s="19"/>
      <c r="O296" s="19"/>
      <c r="P296" s="19"/>
      <c r="Q296" s="19"/>
      <c r="R296" s="19"/>
      <c r="S296" s="19"/>
      <c r="T296" s="19"/>
      <c r="U296" s="19"/>
      <c r="V296" s="59"/>
      <c r="W296" s="20"/>
      <c r="X296" s="43"/>
    </row>
    <row r="297" spans="1:24" ht="15.75" hidden="1" customHeight="1" x14ac:dyDescent="0.25">
      <c r="A297" s="16"/>
      <c r="B297" s="16"/>
      <c r="C297" s="16"/>
      <c r="D297" s="40"/>
      <c r="E297" s="17"/>
      <c r="F297" s="21"/>
      <c r="G297" s="16"/>
      <c r="H297" s="16"/>
      <c r="I297" s="22"/>
      <c r="J297" s="22"/>
      <c r="K297" s="16"/>
      <c r="L297" s="16"/>
      <c r="M297" s="16"/>
      <c r="N297" s="19"/>
      <c r="O297" s="19"/>
      <c r="P297" s="19"/>
      <c r="Q297" s="19"/>
      <c r="R297" s="19"/>
      <c r="S297" s="19"/>
      <c r="T297" s="19"/>
      <c r="U297" s="19"/>
      <c r="V297" s="59"/>
      <c r="W297" s="20"/>
      <c r="X297" s="43"/>
    </row>
    <row r="298" spans="1:24" ht="15.75" hidden="1" customHeight="1" x14ac:dyDescent="0.25">
      <c r="A298" s="16"/>
      <c r="B298" s="16"/>
      <c r="C298" s="16"/>
      <c r="D298" s="40"/>
      <c r="E298" s="17"/>
      <c r="F298" s="21"/>
      <c r="G298" s="16"/>
      <c r="H298" s="16"/>
      <c r="I298" s="22"/>
      <c r="J298" s="22"/>
      <c r="K298" s="16"/>
      <c r="L298" s="16"/>
      <c r="M298" s="16"/>
      <c r="N298" s="19"/>
      <c r="O298" s="19"/>
      <c r="P298" s="19"/>
      <c r="Q298" s="19"/>
      <c r="R298" s="19"/>
      <c r="S298" s="19"/>
      <c r="T298" s="19"/>
      <c r="U298" s="19"/>
      <c r="V298" s="59"/>
      <c r="W298" s="20"/>
      <c r="X298" s="43"/>
    </row>
    <row r="299" spans="1:24" ht="15.75" hidden="1" customHeight="1" x14ac:dyDescent="0.25">
      <c r="A299" s="16"/>
      <c r="B299" s="16"/>
      <c r="C299" s="16"/>
      <c r="D299" s="40"/>
      <c r="E299" s="17"/>
      <c r="F299" s="21"/>
      <c r="G299" s="16"/>
      <c r="H299" s="16"/>
      <c r="I299" s="22"/>
      <c r="J299" s="22"/>
      <c r="K299" s="16"/>
      <c r="L299" s="16"/>
      <c r="M299" s="16"/>
      <c r="N299" s="19"/>
      <c r="O299" s="19"/>
      <c r="P299" s="19"/>
      <c r="Q299" s="19"/>
      <c r="R299" s="19"/>
      <c r="S299" s="19"/>
      <c r="T299" s="19"/>
      <c r="U299" s="19"/>
      <c r="V299" s="59"/>
      <c r="W299" s="20"/>
      <c r="X299" s="43"/>
    </row>
    <row r="300" spans="1:24" ht="15.75" hidden="1" customHeight="1" x14ac:dyDescent="0.25">
      <c r="A300" s="16"/>
      <c r="B300" s="16"/>
      <c r="C300" s="16"/>
      <c r="D300" s="40"/>
      <c r="E300" s="17"/>
      <c r="F300" s="21"/>
      <c r="G300" s="16"/>
      <c r="H300" s="16"/>
      <c r="I300" s="22"/>
      <c r="J300" s="22"/>
      <c r="K300" s="16"/>
      <c r="L300" s="16"/>
      <c r="M300" s="16"/>
      <c r="N300" s="19"/>
      <c r="O300" s="19"/>
      <c r="P300" s="19"/>
      <c r="Q300" s="19"/>
      <c r="R300" s="19"/>
      <c r="S300" s="19"/>
      <c r="T300" s="19"/>
      <c r="U300" s="19"/>
      <c r="V300" s="59"/>
      <c r="W300" s="20"/>
      <c r="X300" s="43"/>
    </row>
    <row r="301" spans="1:24" ht="15.75" hidden="1" customHeight="1" x14ac:dyDescent="0.25">
      <c r="A301" s="16"/>
      <c r="B301" s="16"/>
      <c r="C301" s="16"/>
      <c r="D301" s="40"/>
      <c r="E301" s="17"/>
      <c r="F301" s="21"/>
      <c r="G301" s="16"/>
      <c r="H301" s="16"/>
      <c r="I301" s="22"/>
      <c r="J301" s="22"/>
      <c r="K301" s="16"/>
      <c r="L301" s="16"/>
      <c r="M301" s="16"/>
      <c r="N301" s="19"/>
      <c r="O301" s="19"/>
      <c r="P301" s="19"/>
      <c r="Q301" s="19"/>
      <c r="R301" s="19"/>
      <c r="S301" s="19"/>
      <c r="T301" s="19"/>
      <c r="U301" s="19"/>
      <c r="V301" s="59"/>
      <c r="W301" s="20"/>
      <c r="X301" s="43"/>
    </row>
    <row r="302" spans="1:24" ht="15.75" hidden="1" customHeight="1" x14ac:dyDescent="0.25">
      <c r="A302" s="16"/>
      <c r="B302" s="16"/>
      <c r="C302" s="16"/>
      <c r="D302" s="40"/>
      <c r="E302" s="17"/>
      <c r="F302" s="21"/>
      <c r="G302" s="16"/>
      <c r="H302" s="16"/>
      <c r="I302" s="22"/>
      <c r="J302" s="22"/>
      <c r="K302" s="16"/>
      <c r="L302" s="16"/>
      <c r="M302" s="16"/>
      <c r="N302" s="19"/>
      <c r="O302" s="19"/>
      <c r="P302" s="19"/>
      <c r="Q302" s="19"/>
      <c r="R302" s="19"/>
      <c r="S302" s="19"/>
      <c r="T302" s="19"/>
      <c r="U302" s="19"/>
      <c r="V302" s="59"/>
      <c r="W302" s="20"/>
      <c r="X302" s="43"/>
    </row>
    <row r="303" spans="1:24" ht="15.75" hidden="1" customHeight="1" x14ac:dyDescent="0.25">
      <c r="A303" s="16"/>
      <c r="B303" s="16"/>
      <c r="C303" s="16"/>
      <c r="D303" s="40"/>
      <c r="E303" s="17"/>
      <c r="F303" s="21"/>
      <c r="G303" s="16"/>
      <c r="H303" s="16"/>
      <c r="I303" s="22"/>
      <c r="J303" s="22"/>
      <c r="K303" s="16"/>
      <c r="L303" s="16"/>
      <c r="M303" s="16"/>
      <c r="N303" s="19"/>
      <c r="O303" s="19"/>
      <c r="P303" s="19"/>
      <c r="Q303" s="19"/>
      <c r="R303" s="19"/>
      <c r="S303" s="19"/>
      <c r="T303" s="19"/>
      <c r="U303" s="19"/>
      <c r="V303" s="59"/>
      <c r="W303" s="20"/>
      <c r="X303" s="43"/>
    </row>
    <row r="304" spans="1:24" ht="15.75" hidden="1" customHeight="1" x14ac:dyDescent="0.25">
      <c r="A304" s="16"/>
      <c r="B304" s="16"/>
      <c r="C304" s="16"/>
      <c r="D304" s="40"/>
      <c r="E304" s="17"/>
      <c r="F304" s="21"/>
      <c r="G304" s="16"/>
      <c r="H304" s="16"/>
      <c r="I304" s="22"/>
      <c r="J304" s="22"/>
      <c r="K304" s="16"/>
      <c r="L304" s="16"/>
      <c r="M304" s="16"/>
      <c r="N304" s="19"/>
      <c r="O304" s="19"/>
      <c r="P304" s="19"/>
      <c r="Q304" s="19"/>
      <c r="R304" s="19"/>
      <c r="S304" s="19"/>
      <c r="T304" s="19"/>
      <c r="U304" s="19"/>
      <c r="V304" s="59"/>
      <c r="W304" s="20"/>
      <c r="X304" s="43"/>
    </row>
    <row r="305" spans="1:24" ht="15.75" hidden="1" customHeight="1" x14ac:dyDescent="0.25">
      <c r="A305" s="16"/>
      <c r="B305" s="16"/>
      <c r="C305" s="16"/>
      <c r="D305" s="40"/>
      <c r="E305" s="17"/>
      <c r="F305" s="21"/>
      <c r="G305" s="16"/>
      <c r="H305" s="16"/>
      <c r="I305" s="22"/>
      <c r="J305" s="22"/>
      <c r="K305" s="16"/>
      <c r="L305" s="16"/>
      <c r="M305" s="16"/>
      <c r="N305" s="19"/>
      <c r="O305" s="19"/>
      <c r="P305" s="19"/>
      <c r="Q305" s="19"/>
      <c r="R305" s="19"/>
      <c r="S305" s="19"/>
      <c r="T305" s="19"/>
      <c r="U305" s="19"/>
      <c r="V305" s="59"/>
      <c r="W305" s="20"/>
      <c r="X305" s="43"/>
    </row>
    <row r="306" spans="1:24" ht="15.75" hidden="1" customHeight="1" x14ac:dyDescent="0.25">
      <c r="A306" s="16"/>
      <c r="B306" s="16"/>
      <c r="C306" s="16"/>
      <c r="D306" s="40"/>
      <c r="E306" s="17"/>
      <c r="F306" s="21"/>
      <c r="G306" s="16"/>
      <c r="H306" s="16"/>
      <c r="I306" s="22"/>
      <c r="J306" s="22"/>
      <c r="K306" s="16"/>
      <c r="L306" s="16"/>
      <c r="M306" s="16"/>
      <c r="N306" s="19"/>
      <c r="O306" s="19"/>
      <c r="P306" s="19"/>
      <c r="Q306" s="19"/>
      <c r="R306" s="19"/>
      <c r="S306" s="19"/>
      <c r="T306" s="19"/>
      <c r="U306" s="19"/>
      <c r="V306" s="59"/>
      <c r="W306" s="20"/>
      <c r="X306" s="43"/>
    </row>
    <row r="307" spans="1:24" ht="15.75" hidden="1" customHeight="1" x14ac:dyDescent="0.25">
      <c r="A307" s="16"/>
      <c r="B307" s="16"/>
      <c r="C307" s="16"/>
      <c r="D307" s="40"/>
      <c r="E307" s="17"/>
      <c r="F307" s="21"/>
      <c r="G307" s="16"/>
      <c r="H307" s="16"/>
      <c r="I307" s="22"/>
      <c r="J307" s="22"/>
      <c r="K307" s="16"/>
      <c r="L307" s="16"/>
      <c r="M307" s="16"/>
      <c r="N307" s="19"/>
      <c r="O307" s="19"/>
      <c r="P307" s="19"/>
      <c r="Q307" s="19"/>
      <c r="R307" s="19"/>
      <c r="S307" s="19"/>
      <c r="T307" s="19"/>
      <c r="U307" s="19"/>
      <c r="V307" s="59"/>
      <c r="W307" s="20"/>
      <c r="X307" s="43"/>
    </row>
    <row r="308" spans="1:24" ht="15.75" hidden="1" customHeight="1" x14ac:dyDescent="0.25">
      <c r="A308" s="16"/>
      <c r="B308" s="16"/>
      <c r="C308" s="16"/>
      <c r="D308" s="40"/>
      <c r="E308" s="17"/>
      <c r="F308" s="21"/>
      <c r="G308" s="16"/>
      <c r="H308" s="16"/>
      <c r="I308" s="22"/>
      <c r="J308" s="22"/>
      <c r="K308" s="16"/>
      <c r="L308" s="16"/>
      <c r="M308" s="16"/>
      <c r="N308" s="19"/>
      <c r="O308" s="19"/>
      <c r="P308" s="19"/>
      <c r="Q308" s="19"/>
      <c r="R308" s="19"/>
      <c r="S308" s="19"/>
      <c r="T308" s="19"/>
      <c r="U308" s="19"/>
      <c r="V308" s="59"/>
      <c r="W308" s="20"/>
      <c r="X308" s="43"/>
    </row>
    <row r="309" spans="1:24" ht="15.75" hidden="1" customHeight="1" x14ac:dyDescent="0.25">
      <c r="A309" s="16"/>
      <c r="B309" s="16"/>
      <c r="C309" s="16"/>
      <c r="D309" s="40"/>
      <c r="E309" s="17"/>
      <c r="F309" s="21"/>
      <c r="G309" s="16"/>
      <c r="H309" s="16"/>
      <c r="I309" s="22"/>
      <c r="J309" s="22"/>
      <c r="K309" s="16"/>
      <c r="L309" s="16"/>
      <c r="M309" s="16"/>
      <c r="N309" s="19"/>
      <c r="O309" s="19"/>
      <c r="P309" s="19"/>
      <c r="Q309" s="19"/>
      <c r="R309" s="19"/>
      <c r="S309" s="19"/>
      <c r="T309" s="19"/>
      <c r="U309" s="19"/>
      <c r="V309" s="59"/>
      <c r="W309" s="20"/>
      <c r="X309" s="43"/>
    </row>
    <row r="310" spans="1:24" ht="15.75" hidden="1" customHeight="1" x14ac:dyDescent="0.25">
      <c r="A310" s="16"/>
      <c r="B310" s="16"/>
      <c r="C310" s="16"/>
      <c r="D310" s="40"/>
      <c r="E310" s="17"/>
      <c r="F310" s="21"/>
      <c r="G310" s="16"/>
      <c r="H310" s="16"/>
      <c r="I310" s="22"/>
      <c r="J310" s="22"/>
      <c r="K310" s="16"/>
      <c r="L310" s="16"/>
      <c r="M310" s="16"/>
      <c r="N310" s="19"/>
      <c r="O310" s="19"/>
      <c r="P310" s="19"/>
      <c r="Q310" s="19"/>
      <c r="R310" s="19"/>
      <c r="S310" s="19"/>
      <c r="T310" s="19"/>
      <c r="U310" s="19"/>
      <c r="V310" s="59"/>
      <c r="W310" s="20"/>
      <c r="X310" s="43"/>
    </row>
    <row r="311" spans="1:24" ht="15.75" hidden="1" customHeight="1" x14ac:dyDescent="0.25">
      <c r="A311" s="16"/>
      <c r="B311" s="16"/>
      <c r="C311" s="16"/>
      <c r="D311" s="40"/>
      <c r="E311" s="17"/>
      <c r="F311" s="21"/>
      <c r="G311" s="16"/>
      <c r="H311" s="16"/>
      <c r="I311" s="22"/>
      <c r="J311" s="22"/>
      <c r="K311" s="16"/>
      <c r="L311" s="16"/>
      <c r="M311" s="16"/>
      <c r="N311" s="19"/>
      <c r="O311" s="19"/>
      <c r="P311" s="19"/>
      <c r="Q311" s="19"/>
      <c r="R311" s="19"/>
      <c r="S311" s="19"/>
      <c r="T311" s="19"/>
      <c r="U311" s="19"/>
      <c r="V311" s="59"/>
      <c r="W311" s="20"/>
      <c r="X311" s="43"/>
    </row>
    <row r="312" spans="1:24" ht="15.75" hidden="1" customHeight="1" x14ac:dyDescent="0.25">
      <c r="A312" s="16"/>
      <c r="B312" s="16"/>
      <c r="C312" s="16"/>
      <c r="D312" s="40"/>
      <c r="E312" s="17"/>
      <c r="F312" s="21"/>
      <c r="G312" s="16"/>
      <c r="H312" s="16"/>
      <c r="I312" s="22"/>
      <c r="J312" s="22"/>
      <c r="K312" s="16"/>
      <c r="L312" s="16"/>
      <c r="M312" s="16"/>
      <c r="N312" s="19"/>
      <c r="O312" s="19"/>
      <c r="P312" s="19"/>
      <c r="Q312" s="19"/>
      <c r="R312" s="19"/>
      <c r="S312" s="19"/>
      <c r="T312" s="19"/>
      <c r="U312" s="19"/>
      <c r="V312" s="59"/>
      <c r="W312" s="20"/>
      <c r="X312" s="43"/>
    </row>
    <row r="313" spans="1:24" ht="15.75" hidden="1" customHeight="1" x14ac:dyDescent="0.25">
      <c r="A313" s="16"/>
      <c r="B313" s="16"/>
      <c r="C313" s="16"/>
      <c r="D313" s="40"/>
      <c r="E313" s="17"/>
      <c r="F313" s="21"/>
      <c r="G313" s="16"/>
      <c r="H313" s="16"/>
      <c r="I313" s="22"/>
      <c r="J313" s="22"/>
      <c r="K313" s="16"/>
      <c r="L313" s="16"/>
      <c r="M313" s="16"/>
      <c r="N313" s="19"/>
      <c r="O313" s="19"/>
      <c r="P313" s="19"/>
      <c r="Q313" s="19"/>
      <c r="R313" s="19"/>
      <c r="S313" s="19"/>
      <c r="T313" s="19"/>
      <c r="U313" s="19"/>
      <c r="V313" s="59"/>
      <c r="W313" s="20"/>
      <c r="X313" s="43"/>
    </row>
    <row r="314" spans="1:24" ht="15.75" hidden="1" customHeight="1" x14ac:dyDescent="0.25">
      <c r="A314" s="16"/>
      <c r="B314" s="16"/>
      <c r="C314" s="16"/>
      <c r="D314" s="40"/>
      <c r="E314" s="17"/>
      <c r="F314" s="21"/>
      <c r="G314" s="16"/>
      <c r="H314" s="16"/>
      <c r="I314" s="22"/>
      <c r="J314" s="22"/>
      <c r="K314" s="16"/>
      <c r="L314" s="16"/>
      <c r="M314" s="16"/>
      <c r="N314" s="19"/>
      <c r="O314" s="19"/>
      <c r="P314" s="19"/>
      <c r="Q314" s="19"/>
      <c r="R314" s="19"/>
      <c r="S314" s="19"/>
      <c r="T314" s="19"/>
      <c r="U314" s="19"/>
      <c r="V314" s="59"/>
      <c r="W314" s="20"/>
      <c r="X314" s="43"/>
    </row>
    <row r="315" spans="1:24" ht="15.75" hidden="1" customHeight="1" x14ac:dyDescent="0.25">
      <c r="A315" s="16"/>
      <c r="B315" s="16"/>
      <c r="C315" s="16"/>
      <c r="D315" s="40"/>
      <c r="E315" s="17"/>
      <c r="F315" s="21"/>
      <c r="G315" s="16"/>
      <c r="H315" s="16"/>
      <c r="I315" s="22"/>
      <c r="J315" s="22"/>
      <c r="K315" s="16"/>
      <c r="L315" s="16"/>
      <c r="M315" s="16"/>
      <c r="N315" s="19"/>
      <c r="O315" s="19"/>
      <c r="P315" s="19"/>
      <c r="Q315" s="19"/>
      <c r="R315" s="19"/>
      <c r="S315" s="19"/>
      <c r="T315" s="19"/>
      <c r="U315" s="19"/>
      <c r="V315" s="59"/>
      <c r="W315" s="20"/>
      <c r="X315" s="43"/>
    </row>
    <row r="316" spans="1:24" ht="15.75" hidden="1" customHeight="1" x14ac:dyDescent="0.25">
      <c r="A316" s="16"/>
      <c r="B316" s="16"/>
      <c r="C316" s="16"/>
      <c r="D316" s="40"/>
      <c r="E316" s="17"/>
      <c r="F316" s="21"/>
      <c r="G316" s="16"/>
      <c r="H316" s="16"/>
      <c r="I316" s="22"/>
      <c r="J316" s="22"/>
      <c r="K316" s="16"/>
      <c r="L316" s="16"/>
      <c r="M316" s="16"/>
      <c r="N316" s="19"/>
      <c r="O316" s="19"/>
      <c r="P316" s="19"/>
      <c r="Q316" s="19"/>
      <c r="R316" s="19"/>
      <c r="S316" s="19"/>
      <c r="T316" s="19"/>
      <c r="U316" s="19"/>
      <c r="V316" s="59"/>
      <c r="W316" s="20"/>
      <c r="X316" s="43"/>
    </row>
    <row r="317" spans="1:24" ht="15.75" hidden="1" customHeight="1" x14ac:dyDescent="0.25">
      <c r="A317" s="16"/>
      <c r="B317" s="16"/>
      <c r="C317" s="16"/>
      <c r="D317" s="40"/>
      <c r="E317" s="17"/>
      <c r="F317" s="21"/>
      <c r="G317" s="16"/>
      <c r="H317" s="16"/>
      <c r="I317" s="22"/>
      <c r="J317" s="22"/>
      <c r="K317" s="16"/>
      <c r="L317" s="16"/>
      <c r="M317" s="16"/>
      <c r="N317" s="19"/>
      <c r="O317" s="19"/>
      <c r="P317" s="19"/>
      <c r="Q317" s="19"/>
      <c r="R317" s="19"/>
      <c r="S317" s="19"/>
      <c r="T317" s="19"/>
      <c r="U317" s="19"/>
      <c r="V317" s="59"/>
      <c r="W317" s="20"/>
      <c r="X317" s="43"/>
    </row>
    <row r="318" spans="1:24" ht="15.75" hidden="1" customHeight="1" x14ac:dyDescent="0.25">
      <c r="A318" s="16"/>
      <c r="B318" s="16"/>
      <c r="C318" s="16"/>
      <c r="D318" s="40"/>
      <c r="E318" s="17"/>
      <c r="F318" s="21"/>
      <c r="G318" s="16"/>
      <c r="H318" s="16"/>
      <c r="I318" s="22"/>
      <c r="J318" s="22"/>
      <c r="K318" s="16"/>
      <c r="L318" s="16"/>
      <c r="M318" s="16"/>
      <c r="N318" s="19"/>
      <c r="O318" s="19"/>
      <c r="P318" s="19"/>
      <c r="Q318" s="19"/>
      <c r="R318" s="19"/>
      <c r="S318" s="19"/>
      <c r="T318" s="19"/>
      <c r="U318" s="19"/>
      <c r="V318" s="59"/>
      <c r="W318" s="20"/>
      <c r="X318" s="43"/>
    </row>
    <row r="319" spans="1:24" ht="15.75" hidden="1" customHeight="1" x14ac:dyDescent="0.25">
      <c r="A319" s="16"/>
      <c r="B319" s="16"/>
      <c r="C319" s="16"/>
      <c r="D319" s="40"/>
      <c r="E319" s="17"/>
      <c r="F319" s="21"/>
      <c r="G319" s="16"/>
      <c r="H319" s="16"/>
      <c r="I319" s="22"/>
      <c r="J319" s="22"/>
      <c r="K319" s="16"/>
      <c r="L319" s="16"/>
      <c r="M319" s="16"/>
      <c r="N319" s="19"/>
      <c r="O319" s="19"/>
      <c r="P319" s="19"/>
      <c r="Q319" s="19"/>
      <c r="R319" s="19"/>
      <c r="S319" s="19"/>
      <c r="T319" s="19"/>
      <c r="U319" s="19"/>
      <c r="V319" s="59"/>
      <c r="W319" s="20"/>
      <c r="X319" s="43"/>
    </row>
    <row r="320" spans="1:24" ht="15.75" hidden="1" customHeight="1" x14ac:dyDescent="0.25">
      <c r="A320" s="16"/>
      <c r="B320" s="16"/>
      <c r="C320" s="16"/>
      <c r="D320" s="40"/>
      <c r="E320" s="17"/>
      <c r="F320" s="21"/>
      <c r="G320" s="16"/>
      <c r="H320" s="16"/>
      <c r="I320" s="22"/>
      <c r="J320" s="22"/>
      <c r="K320" s="16"/>
      <c r="L320" s="16"/>
      <c r="M320" s="16"/>
      <c r="N320" s="19"/>
      <c r="O320" s="19"/>
      <c r="P320" s="19"/>
      <c r="Q320" s="19"/>
      <c r="R320" s="19"/>
      <c r="S320" s="19"/>
      <c r="T320" s="19"/>
      <c r="U320" s="19"/>
      <c r="V320" s="59"/>
      <c r="W320" s="20"/>
      <c r="X320" s="43"/>
    </row>
    <row r="321" spans="1:24" ht="15.75" hidden="1" customHeight="1" x14ac:dyDescent="0.25">
      <c r="A321" s="16"/>
      <c r="B321" s="16"/>
      <c r="C321" s="16"/>
      <c r="D321" s="40"/>
      <c r="E321" s="17"/>
      <c r="F321" s="21"/>
      <c r="G321" s="16"/>
      <c r="H321" s="16"/>
      <c r="I321" s="22"/>
      <c r="J321" s="22"/>
      <c r="K321" s="16"/>
      <c r="L321" s="16"/>
      <c r="M321" s="16"/>
      <c r="N321" s="19"/>
      <c r="O321" s="19"/>
      <c r="P321" s="19"/>
      <c r="Q321" s="19"/>
      <c r="R321" s="19"/>
      <c r="S321" s="19"/>
      <c r="T321" s="19"/>
      <c r="U321" s="19"/>
      <c r="V321" s="59"/>
      <c r="W321" s="20"/>
      <c r="X321" s="43"/>
    </row>
    <row r="322" spans="1:24" ht="15.75" hidden="1" customHeight="1" x14ac:dyDescent="0.25">
      <c r="A322" s="16"/>
      <c r="B322" s="16"/>
      <c r="C322" s="16"/>
      <c r="D322" s="40"/>
      <c r="E322" s="17"/>
      <c r="F322" s="21"/>
      <c r="G322" s="16"/>
      <c r="H322" s="16"/>
      <c r="I322" s="22"/>
      <c r="J322" s="22"/>
      <c r="K322" s="16"/>
      <c r="L322" s="16"/>
      <c r="M322" s="16"/>
      <c r="N322" s="19"/>
      <c r="O322" s="19"/>
      <c r="P322" s="19"/>
      <c r="Q322" s="19"/>
      <c r="R322" s="19"/>
      <c r="S322" s="19"/>
      <c r="T322" s="19"/>
      <c r="U322" s="19"/>
      <c r="V322" s="59"/>
      <c r="W322" s="20"/>
      <c r="X322" s="43"/>
    </row>
    <row r="323" spans="1:24" ht="15.75" hidden="1" customHeight="1" x14ac:dyDescent="0.25">
      <c r="A323" s="16"/>
      <c r="B323" s="16"/>
      <c r="C323" s="16"/>
      <c r="D323" s="40"/>
      <c r="E323" s="17"/>
      <c r="F323" s="21"/>
      <c r="G323" s="16"/>
      <c r="H323" s="16"/>
      <c r="I323" s="22"/>
      <c r="J323" s="22"/>
      <c r="K323" s="16"/>
      <c r="L323" s="16"/>
      <c r="M323" s="16"/>
      <c r="N323" s="19"/>
      <c r="O323" s="19"/>
      <c r="P323" s="19"/>
      <c r="Q323" s="19"/>
      <c r="R323" s="19"/>
      <c r="S323" s="19"/>
      <c r="T323" s="19"/>
      <c r="U323" s="19"/>
      <c r="V323" s="59"/>
      <c r="W323" s="20"/>
      <c r="X323" s="43"/>
    </row>
    <row r="324" spans="1:24" ht="15.75" hidden="1" customHeight="1" x14ac:dyDescent="0.25">
      <c r="A324" s="16"/>
      <c r="B324" s="16"/>
      <c r="C324" s="16"/>
      <c r="D324" s="40"/>
      <c r="E324" s="17"/>
      <c r="F324" s="21"/>
      <c r="G324" s="16"/>
      <c r="H324" s="16"/>
      <c r="I324" s="22"/>
      <c r="J324" s="22"/>
      <c r="K324" s="16"/>
      <c r="L324" s="16"/>
      <c r="M324" s="16"/>
      <c r="N324" s="19"/>
      <c r="O324" s="19"/>
      <c r="P324" s="19"/>
      <c r="Q324" s="19"/>
      <c r="R324" s="19"/>
      <c r="S324" s="19"/>
      <c r="T324" s="19"/>
      <c r="U324" s="19"/>
      <c r="V324" s="59"/>
      <c r="W324" s="20"/>
      <c r="X324" s="43"/>
    </row>
    <row r="325" spans="1:24" ht="15.75" hidden="1" customHeight="1" x14ac:dyDescent="0.25">
      <c r="A325" s="16"/>
      <c r="B325" s="16"/>
      <c r="C325" s="16"/>
      <c r="D325" s="40"/>
      <c r="E325" s="17"/>
      <c r="F325" s="21"/>
      <c r="G325" s="16"/>
      <c r="H325" s="16"/>
      <c r="I325" s="22"/>
      <c r="J325" s="22"/>
      <c r="K325" s="16"/>
      <c r="L325" s="16"/>
      <c r="M325" s="16"/>
      <c r="N325" s="19"/>
      <c r="O325" s="19"/>
      <c r="P325" s="19"/>
      <c r="Q325" s="19"/>
      <c r="R325" s="19"/>
      <c r="S325" s="19"/>
      <c r="T325" s="19"/>
      <c r="U325" s="19"/>
      <c r="V325" s="59"/>
      <c r="W325" s="20"/>
      <c r="X325" s="43"/>
    </row>
    <row r="326" spans="1:24" ht="15.75" hidden="1" customHeight="1" x14ac:dyDescent="0.25">
      <c r="A326" s="16"/>
      <c r="B326" s="16"/>
      <c r="C326" s="16"/>
      <c r="D326" s="40"/>
      <c r="E326" s="17"/>
      <c r="F326" s="21"/>
      <c r="G326" s="16"/>
      <c r="H326" s="16"/>
      <c r="I326" s="22"/>
      <c r="J326" s="22"/>
      <c r="K326" s="16"/>
      <c r="L326" s="16"/>
      <c r="M326" s="16"/>
      <c r="N326" s="19"/>
      <c r="O326" s="19"/>
      <c r="P326" s="19"/>
      <c r="Q326" s="19"/>
      <c r="R326" s="19"/>
      <c r="S326" s="19"/>
      <c r="T326" s="19"/>
      <c r="U326" s="19"/>
      <c r="V326" s="59"/>
      <c r="W326" s="20"/>
      <c r="X326" s="43"/>
    </row>
    <row r="327" spans="1:24" ht="15.75" hidden="1" customHeight="1" x14ac:dyDescent="0.25">
      <c r="A327" s="16"/>
      <c r="B327" s="16"/>
      <c r="C327" s="16"/>
      <c r="D327" s="40"/>
      <c r="E327" s="17"/>
      <c r="F327" s="21"/>
      <c r="G327" s="16"/>
      <c r="H327" s="16"/>
      <c r="I327" s="22"/>
      <c r="J327" s="22"/>
      <c r="K327" s="16"/>
      <c r="L327" s="16"/>
      <c r="M327" s="16"/>
      <c r="N327" s="19"/>
      <c r="O327" s="19"/>
      <c r="P327" s="19"/>
      <c r="Q327" s="19"/>
      <c r="R327" s="19"/>
      <c r="S327" s="19"/>
      <c r="T327" s="19"/>
      <c r="U327" s="19"/>
      <c r="V327" s="59"/>
      <c r="W327" s="20"/>
      <c r="X327" s="43"/>
    </row>
    <row r="328" spans="1:24" ht="15.75" hidden="1" customHeight="1" x14ac:dyDescent="0.25">
      <c r="A328" s="16"/>
      <c r="B328" s="16"/>
      <c r="C328" s="16"/>
      <c r="D328" s="40"/>
      <c r="E328" s="17"/>
      <c r="F328" s="21"/>
      <c r="G328" s="16"/>
      <c r="H328" s="16"/>
      <c r="I328" s="22"/>
      <c r="J328" s="22"/>
      <c r="K328" s="16"/>
      <c r="L328" s="16"/>
      <c r="M328" s="16"/>
      <c r="N328" s="19"/>
      <c r="O328" s="19"/>
      <c r="P328" s="19"/>
      <c r="Q328" s="19"/>
      <c r="R328" s="19"/>
      <c r="S328" s="19"/>
      <c r="T328" s="19"/>
      <c r="U328" s="19"/>
      <c r="V328" s="59"/>
      <c r="W328" s="20"/>
      <c r="X328" s="43"/>
    </row>
    <row r="329" spans="1:24" ht="15.75" hidden="1" customHeight="1" x14ac:dyDescent="0.25">
      <c r="A329" s="16"/>
      <c r="B329" s="16"/>
      <c r="C329" s="16"/>
      <c r="D329" s="40"/>
      <c r="E329" s="17"/>
      <c r="F329" s="21"/>
      <c r="G329" s="16"/>
      <c r="H329" s="16"/>
      <c r="I329" s="22"/>
      <c r="J329" s="22"/>
      <c r="K329" s="16"/>
      <c r="L329" s="16"/>
      <c r="M329" s="16"/>
      <c r="N329" s="19"/>
      <c r="O329" s="19"/>
      <c r="P329" s="19"/>
      <c r="Q329" s="19"/>
      <c r="R329" s="19"/>
      <c r="S329" s="19"/>
      <c r="T329" s="19"/>
      <c r="U329" s="19"/>
      <c r="V329" s="59"/>
      <c r="W329" s="20"/>
      <c r="X329" s="43"/>
    </row>
    <row r="330" spans="1:24" ht="15.75" hidden="1" customHeight="1" x14ac:dyDescent="0.25">
      <c r="A330" s="16"/>
      <c r="B330" s="16"/>
      <c r="C330" s="16"/>
      <c r="D330" s="40"/>
      <c r="E330" s="17"/>
      <c r="F330" s="21"/>
      <c r="G330" s="16"/>
      <c r="H330" s="16"/>
      <c r="I330" s="22"/>
      <c r="J330" s="22"/>
      <c r="K330" s="16"/>
      <c r="L330" s="16"/>
      <c r="M330" s="16"/>
      <c r="N330" s="19"/>
      <c r="O330" s="19"/>
      <c r="P330" s="19"/>
      <c r="Q330" s="19"/>
      <c r="R330" s="19"/>
      <c r="S330" s="19"/>
      <c r="T330" s="19"/>
      <c r="U330" s="19"/>
      <c r="V330" s="59"/>
      <c r="W330" s="20"/>
      <c r="X330" s="43"/>
    </row>
    <row r="331" spans="1:24" ht="15.75" hidden="1" customHeight="1" x14ac:dyDescent="0.25">
      <c r="A331" s="16"/>
      <c r="B331" s="16"/>
      <c r="C331" s="16"/>
      <c r="D331" s="40"/>
      <c r="E331" s="17"/>
      <c r="F331" s="21"/>
      <c r="G331" s="16"/>
      <c r="H331" s="16"/>
      <c r="I331" s="22"/>
      <c r="J331" s="22"/>
      <c r="K331" s="16"/>
      <c r="L331" s="16"/>
      <c r="M331" s="16"/>
      <c r="N331" s="19"/>
      <c r="O331" s="19"/>
      <c r="P331" s="19"/>
      <c r="Q331" s="19"/>
      <c r="R331" s="19"/>
      <c r="S331" s="19"/>
      <c r="T331" s="19"/>
      <c r="U331" s="19"/>
      <c r="V331" s="59"/>
      <c r="W331" s="20"/>
      <c r="X331" s="43"/>
    </row>
    <row r="332" spans="1:24" ht="15.75" hidden="1" customHeight="1" x14ac:dyDescent="0.25">
      <c r="A332" s="16"/>
      <c r="B332" s="16"/>
      <c r="C332" s="16"/>
      <c r="D332" s="40"/>
      <c r="E332" s="17"/>
      <c r="F332" s="21"/>
      <c r="G332" s="16"/>
      <c r="H332" s="16"/>
      <c r="I332" s="22"/>
      <c r="J332" s="22"/>
      <c r="K332" s="16"/>
      <c r="L332" s="16"/>
      <c r="M332" s="16"/>
      <c r="N332" s="19"/>
      <c r="O332" s="19"/>
      <c r="P332" s="19"/>
      <c r="Q332" s="19"/>
      <c r="R332" s="19"/>
      <c r="S332" s="19"/>
      <c r="T332" s="19"/>
      <c r="U332" s="19"/>
      <c r="V332" s="59"/>
      <c r="W332" s="20"/>
      <c r="X332" s="43"/>
    </row>
    <row r="333" spans="1:24" ht="15.75" hidden="1" customHeight="1" x14ac:dyDescent="0.25">
      <c r="A333" s="16"/>
      <c r="B333" s="16"/>
      <c r="C333" s="16"/>
      <c r="D333" s="40"/>
      <c r="E333" s="17"/>
      <c r="F333" s="21"/>
      <c r="G333" s="16"/>
      <c r="H333" s="16"/>
      <c r="I333" s="22"/>
      <c r="J333" s="22"/>
      <c r="K333" s="16"/>
      <c r="L333" s="16"/>
      <c r="M333" s="16"/>
      <c r="N333" s="19"/>
      <c r="O333" s="19"/>
      <c r="P333" s="19"/>
      <c r="Q333" s="19"/>
      <c r="R333" s="19"/>
      <c r="S333" s="19"/>
      <c r="T333" s="19"/>
      <c r="U333" s="19"/>
      <c r="V333" s="59"/>
      <c r="W333" s="20"/>
      <c r="X333" s="43"/>
    </row>
    <row r="334" spans="1:24" ht="15.75" hidden="1" customHeight="1" x14ac:dyDescent="0.25">
      <c r="A334" s="16"/>
      <c r="B334" s="16"/>
      <c r="C334" s="16"/>
      <c r="D334" s="40"/>
      <c r="E334" s="17"/>
      <c r="F334" s="21"/>
      <c r="G334" s="16"/>
      <c r="H334" s="16"/>
      <c r="I334" s="22"/>
      <c r="J334" s="22"/>
      <c r="K334" s="16"/>
      <c r="L334" s="16"/>
      <c r="M334" s="16"/>
      <c r="N334" s="19"/>
      <c r="O334" s="19"/>
      <c r="P334" s="19"/>
      <c r="Q334" s="19"/>
      <c r="R334" s="19"/>
      <c r="S334" s="19"/>
      <c r="T334" s="19"/>
      <c r="U334" s="19"/>
      <c r="V334" s="59"/>
      <c r="W334" s="20"/>
      <c r="X334" s="43"/>
    </row>
    <row r="335" spans="1:24" ht="15.75" hidden="1" customHeight="1" x14ac:dyDescent="0.25">
      <c r="A335" s="16"/>
      <c r="B335" s="16"/>
      <c r="C335" s="16"/>
      <c r="D335" s="40"/>
      <c r="E335" s="17"/>
      <c r="F335" s="21"/>
      <c r="G335" s="16"/>
      <c r="H335" s="16"/>
      <c r="I335" s="22"/>
      <c r="J335" s="22"/>
      <c r="K335" s="16"/>
      <c r="L335" s="16"/>
      <c r="M335" s="16"/>
      <c r="N335" s="19"/>
      <c r="O335" s="19"/>
      <c r="P335" s="19"/>
      <c r="Q335" s="19"/>
      <c r="R335" s="19"/>
      <c r="S335" s="19"/>
      <c r="T335" s="19"/>
      <c r="U335" s="19"/>
      <c r="V335" s="59"/>
      <c r="W335" s="20"/>
      <c r="X335" s="43"/>
    </row>
    <row r="336" spans="1:24" ht="15.75" hidden="1" customHeight="1" x14ac:dyDescent="0.25">
      <c r="A336" s="16"/>
      <c r="B336" s="16"/>
      <c r="C336" s="16"/>
      <c r="D336" s="40"/>
      <c r="E336" s="17"/>
      <c r="F336" s="21"/>
      <c r="G336" s="16"/>
      <c r="H336" s="16"/>
      <c r="I336" s="22"/>
      <c r="J336" s="22"/>
      <c r="K336" s="16"/>
      <c r="L336" s="16"/>
      <c r="M336" s="16"/>
      <c r="N336" s="19"/>
      <c r="O336" s="19"/>
      <c r="P336" s="19"/>
      <c r="Q336" s="19"/>
      <c r="R336" s="19"/>
      <c r="S336" s="19"/>
      <c r="T336" s="19"/>
      <c r="U336" s="19"/>
      <c r="V336" s="59"/>
      <c r="W336" s="20"/>
      <c r="X336" s="43"/>
    </row>
    <row r="337" spans="1:24" ht="15.75" hidden="1" customHeight="1" x14ac:dyDescent="0.25">
      <c r="A337" s="16"/>
      <c r="B337" s="16"/>
      <c r="C337" s="16"/>
      <c r="D337" s="40"/>
      <c r="E337" s="17"/>
      <c r="F337" s="21"/>
      <c r="G337" s="16"/>
      <c r="H337" s="16"/>
      <c r="I337" s="22"/>
      <c r="J337" s="22"/>
      <c r="K337" s="16"/>
      <c r="L337" s="16"/>
      <c r="M337" s="16"/>
      <c r="N337" s="19"/>
      <c r="O337" s="19"/>
      <c r="P337" s="19"/>
      <c r="Q337" s="19"/>
      <c r="R337" s="19"/>
      <c r="S337" s="19"/>
      <c r="T337" s="19"/>
      <c r="U337" s="19"/>
      <c r="V337" s="59"/>
      <c r="W337" s="20"/>
      <c r="X337" s="43"/>
    </row>
    <row r="338" spans="1:24" ht="15.75" hidden="1" customHeight="1" x14ac:dyDescent="0.25">
      <c r="A338" s="16"/>
      <c r="B338" s="16"/>
      <c r="C338" s="16"/>
      <c r="D338" s="40"/>
      <c r="E338" s="17"/>
      <c r="F338" s="21"/>
      <c r="G338" s="16"/>
      <c r="H338" s="16"/>
      <c r="I338" s="22"/>
      <c r="J338" s="22"/>
      <c r="K338" s="16"/>
      <c r="L338" s="16"/>
      <c r="M338" s="16"/>
      <c r="N338" s="19"/>
      <c r="O338" s="19"/>
      <c r="P338" s="19"/>
      <c r="Q338" s="19"/>
      <c r="R338" s="19"/>
      <c r="S338" s="19"/>
      <c r="T338" s="19"/>
      <c r="U338" s="19"/>
      <c r="V338" s="59"/>
      <c r="W338" s="20"/>
      <c r="X338" s="43"/>
    </row>
    <row r="339" spans="1:24" ht="15.75" hidden="1" customHeight="1" x14ac:dyDescent="0.25">
      <c r="A339" s="16"/>
      <c r="B339" s="16"/>
      <c r="C339" s="16"/>
      <c r="D339" s="40"/>
      <c r="E339" s="17"/>
      <c r="F339" s="21"/>
      <c r="G339" s="16"/>
      <c r="H339" s="16"/>
      <c r="I339" s="22"/>
      <c r="J339" s="22"/>
      <c r="K339" s="16"/>
      <c r="L339" s="16"/>
      <c r="M339" s="16"/>
      <c r="N339" s="19"/>
      <c r="O339" s="19"/>
      <c r="P339" s="19"/>
      <c r="Q339" s="19"/>
      <c r="R339" s="19"/>
      <c r="S339" s="19"/>
      <c r="T339" s="19"/>
      <c r="U339" s="19"/>
      <c r="V339" s="59"/>
      <c r="W339" s="20"/>
      <c r="X339" s="43"/>
    </row>
    <row r="340" spans="1:24" ht="15.75" hidden="1" customHeight="1" x14ac:dyDescent="0.25">
      <c r="A340" s="16"/>
      <c r="B340" s="16"/>
      <c r="C340" s="16"/>
      <c r="D340" s="40"/>
      <c r="E340" s="17"/>
      <c r="F340" s="21"/>
      <c r="G340" s="16"/>
      <c r="H340" s="16"/>
      <c r="I340" s="22"/>
      <c r="J340" s="22"/>
      <c r="K340" s="16"/>
      <c r="L340" s="16"/>
      <c r="M340" s="16"/>
      <c r="N340" s="19"/>
      <c r="O340" s="19"/>
      <c r="P340" s="19"/>
      <c r="Q340" s="19"/>
      <c r="R340" s="19"/>
      <c r="S340" s="19"/>
      <c r="T340" s="19"/>
      <c r="U340" s="19"/>
      <c r="V340" s="59"/>
      <c r="W340" s="20"/>
      <c r="X340" s="43"/>
    </row>
    <row r="341" spans="1:24" ht="15.75" hidden="1" customHeight="1" x14ac:dyDescent="0.25">
      <c r="A341" s="16"/>
      <c r="B341" s="16"/>
      <c r="C341" s="16"/>
      <c r="D341" s="40"/>
      <c r="E341" s="17"/>
      <c r="F341" s="21"/>
      <c r="G341" s="16"/>
      <c r="H341" s="16"/>
      <c r="I341" s="22"/>
      <c r="J341" s="22"/>
      <c r="K341" s="16"/>
      <c r="L341" s="16"/>
      <c r="M341" s="16"/>
      <c r="N341" s="19"/>
      <c r="O341" s="19"/>
      <c r="P341" s="19"/>
      <c r="Q341" s="19"/>
      <c r="R341" s="19"/>
      <c r="S341" s="19"/>
      <c r="T341" s="19"/>
      <c r="U341" s="19"/>
      <c r="V341" s="59"/>
      <c r="W341" s="20"/>
      <c r="X341" s="43"/>
    </row>
    <row r="342" spans="1:24" ht="15.75" hidden="1" customHeight="1" x14ac:dyDescent="0.25">
      <c r="A342" s="16"/>
      <c r="B342" s="16"/>
      <c r="C342" s="16"/>
      <c r="D342" s="40"/>
      <c r="E342" s="17"/>
      <c r="F342" s="21"/>
      <c r="G342" s="16"/>
      <c r="H342" s="16"/>
      <c r="I342" s="22"/>
      <c r="J342" s="22"/>
      <c r="K342" s="16"/>
      <c r="L342" s="16"/>
      <c r="M342" s="16"/>
      <c r="N342" s="19"/>
      <c r="O342" s="19"/>
      <c r="P342" s="19"/>
      <c r="Q342" s="19"/>
      <c r="R342" s="19"/>
      <c r="S342" s="19"/>
      <c r="T342" s="19"/>
      <c r="U342" s="19"/>
      <c r="V342" s="59"/>
      <c r="W342" s="20"/>
      <c r="X342" s="43"/>
    </row>
    <row r="343" spans="1:24" ht="15.75" hidden="1" customHeight="1" x14ac:dyDescent="0.25">
      <c r="A343" s="16"/>
      <c r="B343" s="16"/>
      <c r="C343" s="16"/>
      <c r="D343" s="40"/>
      <c r="E343" s="17"/>
      <c r="F343" s="21"/>
      <c r="G343" s="16"/>
      <c r="H343" s="16"/>
      <c r="I343" s="22"/>
      <c r="J343" s="22"/>
      <c r="K343" s="16"/>
      <c r="L343" s="16"/>
      <c r="M343" s="16"/>
      <c r="N343" s="19"/>
      <c r="O343" s="19"/>
      <c r="P343" s="19"/>
      <c r="Q343" s="19"/>
      <c r="R343" s="19"/>
      <c r="S343" s="19"/>
      <c r="T343" s="19"/>
      <c r="U343" s="19"/>
      <c r="V343" s="59"/>
      <c r="W343" s="20"/>
      <c r="X343" s="43"/>
    </row>
    <row r="344" spans="1:24" ht="15.75" hidden="1" customHeight="1" x14ac:dyDescent="0.25">
      <c r="A344" s="16"/>
      <c r="B344" s="16"/>
      <c r="C344" s="16"/>
      <c r="D344" s="40"/>
      <c r="E344" s="17"/>
      <c r="F344" s="21"/>
      <c r="G344" s="16"/>
      <c r="H344" s="16"/>
      <c r="I344" s="22"/>
      <c r="J344" s="22"/>
      <c r="K344" s="16"/>
      <c r="L344" s="16"/>
      <c r="M344" s="16"/>
      <c r="N344" s="19"/>
      <c r="O344" s="19"/>
      <c r="P344" s="19"/>
      <c r="Q344" s="19"/>
      <c r="R344" s="19"/>
      <c r="S344" s="19"/>
      <c r="T344" s="19"/>
      <c r="U344" s="19"/>
      <c r="V344" s="59"/>
      <c r="W344" s="20"/>
      <c r="X344" s="43"/>
    </row>
    <row r="345" spans="1:24" ht="15.75" hidden="1" customHeight="1" x14ac:dyDescent="0.25">
      <c r="A345" s="16"/>
      <c r="B345" s="16"/>
      <c r="C345" s="16"/>
      <c r="D345" s="40"/>
      <c r="E345" s="17"/>
      <c r="F345" s="21"/>
      <c r="G345" s="16"/>
      <c r="H345" s="16"/>
      <c r="I345" s="22"/>
      <c r="J345" s="22"/>
      <c r="K345" s="16"/>
      <c r="L345" s="16"/>
      <c r="M345" s="16"/>
      <c r="N345" s="19"/>
      <c r="O345" s="19"/>
      <c r="P345" s="19"/>
      <c r="Q345" s="19"/>
      <c r="R345" s="19"/>
      <c r="S345" s="19"/>
      <c r="T345" s="19"/>
      <c r="U345" s="19"/>
      <c r="V345" s="59"/>
      <c r="W345" s="20"/>
      <c r="X345" s="43"/>
    </row>
    <row r="346" spans="1:24" ht="15.75" hidden="1" customHeight="1" x14ac:dyDescent="0.25">
      <c r="A346" s="16"/>
      <c r="B346" s="16"/>
      <c r="C346" s="16"/>
      <c r="D346" s="40"/>
      <c r="E346" s="17"/>
      <c r="F346" s="21"/>
      <c r="G346" s="16"/>
      <c r="H346" s="16"/>
      <c r="I346" s="22"/>
      <c r="J346" s="22"/>
      <c r="K346" s="16"/>
      <c r="L346" s="16"/>
      <c r="M346" s="16"/>
      <c r="N346" s="19"/>
      <c r="O346" s="19"/>
      <c r="P346" s="19"/>
      <c r="Q346" s="19"/>
      <c r="R346" s="19"/>
      <c r="S346" s="19"/>
      <c r="T346" s="19"/>
      <c r="U346" s="19"/>
      <c r="V346" s="59"/>
      <c r="W346" s="20"/>
      <c r="X346" s="43"/>
    </row>
    <row r="347" spans="1:24" ht="15.75" hidden="1" customHeight="1" x14ac:dyDescent="0.25">
      <c r="A347" s="16"/>
      <c r="B347" s="16"/>
      <c r="C347" s="16"/>
      <c r="D347" s="40"/>
      <c r="E347" s="17"/>
      <c r="F347" s="21"/>
      <c r="G347" s="16"/>
      <c r="H347" s="16"/>
      <c r="I347" s="22"/>
      <c r="J347" s="22"/>
      <c r="K347" s="16"/>
      <c r="L347" s="16"/>
      <c r="M347" s="16"/>
      <c r="N347" s="19"/>
      <c r="O347" s="19"/>
      <c r="P347" s="19"/>
      <c r="Q347" s="19"/>
      <c r="R347" s="19"/>
      <c r="S347" s="19"/>
      <c r="T347" s="19"/>
      <c r="U347" s="19"/>
      <c r="V347" s="59"/>
      <c r="W347" s="20"/>
      <c r="X347" s="43"/>
    </row>
    <row r="348" spans="1:24" ht="15.75" hidden="1" customHeight="1" x14ac:dyDescent="0.25">
      <c r="A348" s="16"/>
      <c r="B348" s="16"/>
      <c r="C348" s="16"/>
      <c r="D348" s="40"/>
      <c r="E348" s="17"/>
      <c r="F348" s="21"/>
      <c r="G348" s="16"/>
      <c r="H348" s="16"/>
      <c r="I348" s="22"/>
      <c r="J348" s="22"/>
      <c r="K348" s="16"/>
      <c r="L348" s="16"/>
      <c r="M348" s="16"/>
      <c r="N348" s="19"/>
      <c r="O348" s="19"/>
      <c r="P348" s="19"/>
      <c r="Q348" s="19"/>
      <c r="R348" s="19"/>
      <c r="S348" s="19"/>
      <c r="T348" s="19"/>
      <c r="U348" s="19"/>
      <c r="V348" s="59"/>
      <c r="W348" s="20"/>
      <c r="X348" s="43"/>
    </row>
    <row r="349" spans="1:24" ht="15.75" hidden="1" customHeight="1" x14ac:dyDescent="0.25">
      <c r="A349" s="16"/>
      <c r="B349" s="16"/>
      <c r="C349" s="16"/>
      <c r="D349" s="40"/>
      <c r="E349" s="17"/>
      <c r="F349" s="21"/>
      <c r="G349" s="16"/>
      <c r="H349" s="16"/>
      <c r="I349" s="22"/>
      <c r="J349" s="22"/>
      <c r="K349" s="16"/>
      <c r="L349" s="16"/>
      <c r="M349" s="16"/>
      <c r="N349" s="19"/>
      <c r="O349" s="19"/>
      <c r="P349" s="19"/>
      <c r="Q349" s="19"/>
      <c r="R349" s="19"/>
      <c r="S349" s="19"/>
      <c r="T349" s="19"/>
      <c r="U349" s="19"/>
      <c r="V349" s="59"/>
      <c r="W349" s="20"/>
      <c r="X349" s="43"/>
    </row>
    <row r="350" spans="1:24" ht="15.75" hidden="1" customHeight="1" x14ac:dyDescent="0.25">
      <c r="A350" s="16"/>
      <c r="B350" s="16"/>
      <c r="C350" s="16"/>
      <c r="D350" s="40"/>
      <c r="E350" s="17"/>
      <c r="F350" s="21"/>
      <c r="G350" s="16"/>
      <c r="H350" s="16"/>
      <c r="I350" s="22"/>
      <c r="J350" s="22"/>
      <c r="K350" s="16"/>
      <c r="L350" s="16"/>
      <c r="M350" s="16"/>
      <c r="N350" s="19"/>
      <c r="O350" s="19"/>
      <c r="P350" s="19"/>
      <c r="Q350" s="19"/>
      <c r="R350" s="19"/>
      <c r="S350" s="19"/>
      <c r="T350" s="19"/>
      <c r="U350" s="19"/>
      <c r="V350" s="59"/>
      <c r="W350" s="20"/>
      <c r="X350" s="43"/>
    </row>
    <row r="351" spans="1:24" ht="15.75" hidden="1" customHeight="1" x14ac:dyDescent="0.25">
      <c r="A351" s="16"/>
      <c r="B351" s="16"/>
      <c r="C351" s="16"/>
      <c r="D351" s="40"/>
      <c r="E351" s="17"/>
      <c r="F351" s="21"/>
      <c r="G351" s="16"/>
      <c r="H351" s="16"/>
      <c r="I351" s="22"/>
      <c r="J351" s="22"/>
      <c r="K351" s="16"/>
      <c r="L351" s="16"/>
      <c r="M351" s="16"/>
      <c r="N351" s="19"/>
      <c r="O351" s="19"/>
      <c r="P351" s="19"/>
      <c r="Q351" s="19"/>
      <c r="R351" s="19"/>
      <c r="S351" s="19"/>
      <c r="T351" s="19"/>
      <c r="U351" s="19"/>
      <c r="V351" s="59"/>
      <c r="W351" s="20"/>
      <c r="X351" s="43"/>
    </row>
    <row r="352" spans="1:24" ht="15.75" hidden="1" customHeight="1" x14ac:dyDescent="0.25">
      <c r="A352" s="16"/>
      <c r="B352" s="16"/>
      <c r="C352" s="16"/>
      <c r="D352" s="40"/>
      <c r="E352" s="17"/>
      <c r="F352" s="21"/>
      <c r="G352" s="16"/>
      <c r="H352" s="16"/>
      <c r="I352" s="22"/>
      <c r="J352" s="22"/>
      <c r="K352" s="16"/>
      <c r="L352" s="16"/>
      <c r="M352" s="16"/>
      <c r="N352" s="19"/>
      <c r="O352" s="19"/>
      <c r="P352" s="19"/>
      <c r="Q352" s="19"/>
      <c r="R352" s="19"/>
      <c r="S352" s="19"/>
      <c r="T352" s="19"/>
      <c r="U352" s="19"/>
      <c r="V352" s="59"/>
      <c r="W352" s="20"/>
      <c r="X352" s="43"/>
    </row>
    <row r="353" spans="1:24" ht="15.75" hidden="1" customHeight="1" x14ac:dyDescent="0.25">
      <c r="A353" s="16"/>
      <c r="B353" s="16"/>
      <c r="C353" s="16"/>
      <c r="D353" s="40"/>
      <c r="E353" s="17"/>
      <c r="F353" s="21"/>
      <c r="G353" s="16"/>
      <c r="H353" s="16"/>
      <c r="I353" s="22"/>
      <c r="J353" s="22"/>
      <c r="K353" s="16"/>
      <c r="L353" s="16"/>
      <c r="M353" s="16"/>
      <c r="N353" s="19"/>
      <c r="O353" s="19"/>
      <c r="P353" s="19"/>
      <c r="Q353" s="19"/>
      <c r="R353" s="19"/>
      <c r="S353" s="19"/>
      <c r="T353" s="19"/>
      <c r="U353" s="19"/>
      <c r="V353" s="59"/>
      <c r="W353" s="20"/>
      <c r="X353" s="43"/>
    </row>
    <row r="354" spans="1:24" ht="15.75" hidden="1" customHeight="1" x14ac:dyDescent="0.25">
      <c r="A354" s="16"/>
      <c r="B354" s="16"/>
      <c r="C354" s="16"/>
      <c r="D354" s="40"/>
      <c r="E354" s="17"/>
      <c r="F354" s="21"/>
      <c r="G354" s="16"/>
      <c r="H354" s="16"/>
      <c r="I354" s="22"/>
      <c r="J354" s="22"/>
      <c r="K354" s="16"/>
      <c r="L354" s="16"/>
      <c r="M354" s="16"/>
      <c r="N354" s="19"/>
      <c r="O354" s="19"/>
      <c r="P354" s="19"/>
      <c r="Q354" s="19"/>
      <c r="R354" s="19"/>
      <c r="S354" s="19"/>
      <c r="T354" s="19"/>
      <c r="U354" s="19"/>
      <c r="V354" s="59"/>
      <c r="W354" s="20"/>
      <c r="X354" s="43"/>
    </row>
    <row r="355" spans="1:24" ht="15.75" hidden="1" customHeight="1" x14ac:dyDescent="0.25">
      <c r="A355" s="16"/>
      <c r="B355" s="16"/>
      <c r="C355" s="16"/>
      <c r="D355" s="40"/>
      <c r="E355" s="17"/>
      <c r="F355" s="21"/>
      <c r="G355" s="16"/>
      <c r="H355" s="16"/>
      <c r="I355" s="22"/>
      <c r="J355" s="22"/>
      <c r="K355" s="16"/>
      <c r="L355" s="16"/>
      <c r="M355" s="16"/>
      <c r="N355" s="19"/>
      <c r="O355" s="19"/>
      <c r="P355" s="19"/>
      <c r="Q355" s="19"/>
      <c r="R355" s="19"/>
      <c r="S355" s="19"/>
      <c r="T355" s="19"/>
      <c r="U355" s="19"/>
      <c r="V355" s="59"/>
      <c r="W355" s="20"/>
      <c r="X355" s="43"/>
    </row>
    <row r="356" spans="1:24" ht="15.75" hidden="1" customHeight="1" x14ac:dyDescent="0.25">
      <c r="A356" s="16"/>
      <c r="B356" s="16"/>
      <c r="C356" s="16"/>
      <c r="D356" s="40"/>
      <c r="E356" s="17"/>
      <c r="F356" s="21"/>
      <c r="G356" s="16"/>
      <c r="H356" s="16"/>
      <c r="I356" s="22"/>
      <c r="J356" s="22"/>
      <c r="K356" s="16"/>
      <c r="L356" s="16"/>
      <c r="M356" s="16"/>
      <c r="N356" s="19"/>
      <c r="O356" s="19"/>
      <c r="P356" s="19"/>
      <c r="Q356" s="19"/>
      <c r="R356" s="19"/>
      <c r="S356" s="19"/>
      <c r="T356" s="19"/>
      <c r="U356" s="19"/>
      <c r="V356" s="59"/>
      <c r="W356" s="20"/>
      <c r="X356" s="43"/>
    </row>
    <row r="357" spans="1:24" ht="15.75" hidden="1" customHeight="1" x14ac:dyDescent="0.25">
      <c r="A357" s="16"/>
      <c r="B357" s="16"/>
      <c r="C357" s="16"/>
      <c r="D357" s="40"/>
      <c r="E357" s="17"/>
      <c r="F357" s="21"/>
      <c r="G357" s="16"/>
      <c r="H357" s="16"/>
      <c r="I357" s="22"/>
      <c r="J357" s="22"/>
      <c r="K357" s="16"/>
      <c r="L357" s="16"/>
      <c r="M357" s="16"/>
      <c r="N357" s="19"/>
      <c r="O357" s="19"/>
      <c r="P357" s="19"/>
      <c r="Q357" s="19"/>
      <c r="R357" s="19"/>
      <c r="S357" s="19"/>
      <c r="T357" s="19"/>
      <c r="U357" s="19"/>
      <c r="V357" s="59"/>
      <c r="W357" s="20"/>
      <c r="X357" s="43"/>
    </row>
    <row r="358" spans="1:24" ht="15.75" hidden="1" customHeight="1" x14ac:dyDescent="0.25">
      <c r="A358" s="16"/>
      <c r="B358" s="16"/>
      <c r="C358" s="16"/>
      <c r="D358" s="40"/>
      <c r="E358" s="17"/>
      <c r="F358" s="21"/>
      <c r="G358" s="16"/>
      <c r="H358" s="16"/>
      <c r="I358" s="22"/>
      <c r="J358" s="22"/>
      <c r="K358" s="16"/>
      <c r="L358" s="16"/>
      <c r="M358" s="16"/>
      <c r="N358" s="19"/>
      <c r="O358" s="19"/>
      <c r="P358" s="19"/>
      <c r="Q358" s="19"/>
      <c r="R358" s="19"/>
      <c r="S358" s="19"/>
      <c r="T358" s="19"/>
      <c r="U358" s="19"/>
      <c r="V358" s="59"/>
      <c r="W358" s="20"/>
      <c r="X358" s="43"/>
    </row>
    <row r="359" spans="1:24" ht="15.75" hidden="1" customHeight="1" x14ac:dyDescent="0.25">
      <c r="A359" s="16"/>
      <c r="B359" s="16"/>
      <c r="C359" s="16"/>
      <c r="D359" s="40"/>
      <c r="E359" s="17"/>
      <c r="F359" s="21"/>
      <c r="G359" s="16"/>
      <c r="H359" s="16"/>
      <c r="I359" s="22"/>
      <c r="J359" s="22"/>
      <c r="K359" s="16"/>
      <c r="L359" s="16"/>
      <c r="M359" s="16"/>
      <c r="N359" s="19"/>
      <c r="O359" s="19"/>
      <c r="P359" s="19"/>
      <c r="Q359" s="19"/>
      <c r="R359" s="19"/>
      <c r="S359" s="19"/>
      <c r="T359" s="19"/>
      <c r="U359" s="19"/>
      <c r="V359" s="59"/>
      <c r="W359" s="20"/>
      <c r="X359" s="43"/>
    </row>
    <row r="360" spans="1:24" ht="15.75" hidden="1" customHeight="1" x14ac:dyDescent="0.25">
      <c r="A360" s="16"/>
      <c r="B360" s="16"/>
      <c r="C360" s="16"/>
      <c r="D360" s="40"/>
      <c r="E360" s="17"/>
      <c r="F360" s="21"/>
      <c r="G360" s="16"/>
      <c r="H360" s="16"/>
      <c r="I360" s="22"/>
      <c r="J360" s="22"/>
      <c r="K360" s="16"/>
      <c r="L360" s="16"/>
      <c r="M360" s="16"/>
      <c r="N360" s="19"/>
      <c r="O360" s="19"/>
      <c r="P360" s="19"/>
      <c r="Q360" s="19"/>
      <c r="R360" s="19"/>
      <c r="S360" s="19"/>
      <c r="T360" s="19"/>
      <c r="U360" s="19"/>
      <c r="V360" s="59"/>
      <c r="W360" s="20"/>
      <c r="X360" s="43"/>
    </row>
    <row r="361" spans="1:24" ht="15.75" hidden="1" customHeight="1" x14ac:dyDescent="0.25">
      <c r="A361" s="16"/>
      <c r="B361" s="16"/>
      <c r="C361" s="16"/>
      <c r="D361" s="40"/>
      <c r="E361" s="17"/>
      <c r="F361" s="21"/>
      <c r="G361" s="16"/>
      <c r="H361" s="16"/>
      <c r="I361" s="22"/>
      <c r="J361" s="22"/>
      <c r="K361" s="16"/>
      <c r="L361" s="16"/>
      <c r="M361" s="16"/>
      <c r="N361" s="19"/>
      <c r="O361" s="19"/>
      <c r="P361" s="19"/>
      <c r="Q361" s="19"/>
      <c r="R361" s="19"/>
      <c r="S361" s="19"/>
      <c r="T361" s="19"/>
      <c r="U361" s="19"/>
      <c r="V361" s="59"/>
      <c r="W361" s="20"/>
      <c r="X361" s="43"/>
    </row>
    <row r="362" spans="1:24" ht="15.75" hidden="1" customHeight="1" x14ac:dyDescent="0.25">
      <c r="A362" s="16"/>
      <c r="B362" s="16"/>
      <c r="C362" s="16"/>
      <c r="D362" s="40"/>
      <c r="E362" s="17"/>
      <c r="F362" s="21"/>
      <c r="G362" s="16"/>
      <c r="H362" s="16"/>
      <c r="I362" s="22"/>
      <c r="J362" s="22"/>
      <c r="K362" s="16"/>
      <c r="L362" s="16"/>
      <c r="M362" s="16"/>
      <c r="N362" s="19"/>
      <c r="O362" s="19"/>
      <c r="P362" s="19"/>
      <c r="Q362" s="19"/>
      <c r="R362" s="19"/>
      <c r="S362" s="19"/>
      <c r="T362" s="19"/>
      <c r="U362" s="19"/>
      <c r="V362" s="59"/>
      <c r="W362" s="20"/>
      <c r="X362" s="43"/>
    </row>
    <row r="363" spans="1:24" ht="15.75" hidden="1" customHeight="1" x14ac:dyDescent="0.25">
      <c r="A363" s="16"/>
      <c r="B363" s="16"/>
      <c r="C363" s="16"/>
      <c r="D363" s="40"/>
      <c r="E363" s="17"/>
      <c r="F363" s="21"/>
      <c r="G363" s="16"/>
      <c r="H363" s="16"/>
      <c r="I363" s="22"/>
      <c r="J363" s="22"/>
      <c r="K363" s="16"/>
      <c r="L363" s="16"/>
      <c r="M363" s="16"/>
      <c r="N363" s="19"/>
      <c r="O363" s="19"/>
      <c r="P363" s="19"/>
      <c r="Q363" s="19"/>
      <c r="R363" s="19"/>
      <c r="S363" s="19"/>
      <c r="T363" s="19"/>
      <c r="U363" s="19"/>
      <c r="V363" s="59"/>
      <c r="W363" s="20"/>
      <c r="X363" s="43"/>
    </row>
    <row r="364" spans="1:24" ht="15.75" hidden="1" customHeight="1" x14ac:dyDescent="0.25">
      <c r="A364" s="16"/>
      <c r="B364" s="16"/>
      <c r="C364" s="16"/>
      <c r="D364" s="40"/>
      <c r="E364" s="17"/>
      <c r="F364" s="21"/>
      <c r="G364" s="16"/>
      <c r="H364" s="16"/>
      <c r="I364" s="22"/>
      <c r="J364" s="22"/>
      <c r="K364" s="16"/>
      <c r="L364" s="16"/>
      <c r="M364" s="16"/>
      <c r="N364" s="19"/>
      <c r="O364" s="19"/>
      <c r="P364" s="19"/>
      <c r="Q364" s="19"/>
      <c r="R364" s="19"/>
      <c r="S364" s="19"/>
      <c r="T364" s="19"/>
      <c r="U364" s="19"/>
      <c r="V364" s="59"/>
      <c r="W364" s="20"/>
      <c r="X364" s="43"/>
    </row>
    <row r="365" spans="1:24" ht="15.75" hidden="1" customHeight="1" x14ac:dyDescent="0.25">
      <c r="A365" s="16"/>
      <c r="B365" s="16"/>
      <c r="C365" s="16"/>
      <c r="D365" s="40"/>
      <c r="E365" s="17"/>
      <c r="F365" s="21"/>
      <c r="G365" s="16"/>
      <c r="H365" s="16"/>
      <c r="I365" s="22"/>
      <c r="J365" s="22"/>
      <c r="K365" s="16"/>
      <c r="L365" s="16"/>
      <c r="M365" s="16"/>
      <c r="N365" s="19"/>
      <c r="O365" s="19"/>
      <c r="P365" s="19"/>
      <c r="Q365" s="19"/>
      <c r="R365" s="19"/>
      <c r="S365" s="19"/>
      <c r="T365" s="19"/>
      <c r="U365" s="19"/>
      <c r="V365" s="59"/>
      <c r="W365" s="20"/>
      <c r="X365" s="43"/>
    </row>
    <row r="366" spans="1:24" ht="15.75" hidden="1" customHeight="1" x14ac:dyDescent="0.25">
      <c r="A366" s="16"/>
      <c r="B366" s="16"/>
      <c r="C366" s="16"/>
      <c r="D366" s="40"/>
      <c r="E366" s="17"/>
      <c r="F366" s="21"/>
      <c r="G366" s="16"/>
      <c r="H366" s="16"/>
      <c r="I366" s="22"/>
      <c r="J366" s="22"/>
      <c r="K366" s="16"/>
      <c r="L366" s="16"/>
      <c r="M366" s="16"/>
      <c r="N366" s="19"/>
      <c r="O366" s="19"/>
      <c r="P366" s="19"/>
      <c r="Q366" s="19"/>
      <c r="R366" s="19"/>
      <c r="S366" s="19"/>
      <c r="T366" s="19"/>
      <c r="U366" s="19"/>
      <c r="V366" s="59"/>
      <c r="W366" s="20"/>
      <c r="X366" s="43"/>
    </row>
    <row r="367" spans="1:24" ht="15.75" hidden="1" customHeight="1" x14ac:dyDescent="0.25">
      <c r="A367" s="16"/>
      <c r="B367" s="16"/>
      <c r="C367" s="16"/>
      <c r="D367" s="40"/>
      <c r="E367" s="17"/>
      <c r="F367" s="21"/>
      <c r="G367" s="16"/>
      <c r="H367" s="16"/>
      <c r="I367" s="22"/>
      <c r="J367" s="22"/>
      <c r="K367" s="16"/>
      <c r="L367" s="16"/>
      <c r="M367" s="16"/>
      <c r="N367" s="19"/>
      <c r="O367" s="19"/>
      <c r="P367" s="19"/>
      <c r="Q367" s="19"/>
      <c r="R367" s="19"/>
      <c r="S367" s="19"/>
      <c r="T367" s="19"/>
      <c r="U367" s="19"/>
      <c r="V367" s="59"/>
      <c r="W367" s="20"/>
      <c r="X367" s="43"/>
    </row>
    <row r="368" spans="1:24" ht="15.75" hidden="1" customHeight="1" x14ac:dyDescent="0.25">
      <c r="A368" s="16"/>
      <c r="B368" s="16"/>
      <c r="C368" s="16"/>
      <c r="D368" s="40"/>
      <c r="E368" s="17"/>
      <c r="F368" s="21"/>
      <c r="G368" s="16"/>
      <c r="H368" s="16"/>
      <c r="I368" s="22"/>
      <c r="J368" s="22"/>
      <c r="K368" s="16"/>
      <c r="L368" s="16"/>
      <c r="M368" s="16"/>
      <c r="N368" s="19"/>
      <c r="O368" s="19"/>
      <c r="P368" s="19"/>
      <c r="Q368" s="19"/>
      <c r="R368" s="19"/>
      <c r="S368" s="19"/>
      <c r="T368" s="19"/>
      <c r="U368" s="19"/>
      <c r="V368" s="59"/>
      <c r="W368" s="20"/>
      <c r="X368" s="43"/>
    </row>
    <row r="369" spans="1:24" ht="15.75" hidden="1" customHeight="1" x14ac:dyDescent="0.25">
      <c r="A369" s="16"/>
      <c r="B369" s="16"/>
      <c r="C369" s="16"/>
      <c r="D369" s="40"/>
      <c r="E369" s="17"/>
      <c r="F369" s="21"/>
      <c r="G369" s="16"/>
      <c r="H369" s="16"/>
      <c r="I369" s="22"/>
      <c r="J369" s="22"/>
      <c r="K369" s="16"/>
      <c r="L369" s="16"/>
      <c r="M369" s="16"/>
      <c r="N369" s="19"/>
      <c r="O369" s="19"/>
      <c r="P369" s="19"/>
      <c r="Q369" s="19"/>
      <c r="R369" s="19"/>
      <c r="S369" s="19"/>
      <c r="T369" s="19"/>
      <c r="U369" s="19"/>
      <c r="V369" s="59"/>
      <c r="W369" s="20"/>
      <c r="X369" s="43"/>
    </row>
    <row r="370" spans="1:24" ht="15.75" hidden="1" customHeight="1" x14ac:dyDescent="0.25">
      <c r="A370" s="16"/>
      <c r="B370" s="16"/>
      <c r="C370" s="16"/>
      <c r="D370" s="40"/>
      <c r="E370" s="17"/>
      <c r="F370" s="21"/>
      <c r="G370" s="16"/>
      <c r="H370" s="16"/>
      <c r="I370" s="22"/>
      <c r="J370" s="22"/>
      <c r="K370" s="16"/>
      <c r="L370" s="16"/>
      <c r="M370" s="16"/>
      <c r="N370" s="19"/>
      <c r="O370" s="19"/>
      <c r="P370" s="19"/>
      <c r="Q370" s="19"/>
      <c r="R370" s="19"/>
      <c r="S370" s="19"/>
      <c r="T370" s="19"/>
      <c r="U370" s="19"/>
      <c r="V370" s="59"/>
      <c r="W370" s="20"/>
      <c r="X370" s="43"/>
    </row>
    <row r="371" spans="1:24" ht="15.75" hidden="1" customHeight="1" x14ac:dyDescent="0.25">
      <c r="A371" s="16"/>
      <c r="B371" s="16"/>
      <c r="C371" s="16"/>
      <c r="D371" s="40"/>
      <c r="E371" s="17"/>
      <c r="F371" s="21"/>
      <c r="G371" s="16"/>
      <c r="H371" s="16"/>
      <c r="I371" s="22"/>
      <c r="J371" s="22"/>
      <c r="K371" s="16"/>
      <c r="L371" s="16"/>
      <c r="M371" s="16"/>
      <c r="N371" s="19"/>
      <c r="O371" s="19"/>
      <c r="P371" s="19"/>
      <c r="Q371" s="19"/>
      <c r="R371" s="19"/>
      <c r="S371" s="19"/>
      <c r="T371" s="19"/>
      <c r="U371" s="19"/>
      <c r="V371" s="59"/>
      <c r="W371" s="20"/>
      <c r="X371" s="43"/>
    </row>
    <row r="372" spans="1:24" ht="15.75" hidden="1" customHeight="1" x14ac:dyDescent="0.25">
      <c r="A372" s="16"/>
      <c r="B372" s="16"/>
      <c r="C372" s="16"/>
      <c r="D372" s="40"/>
      <c r="E372" s="17"/>
      <c r="F372" s="21"/>
      <c r="G372" s="16"/>
      <c r="H372" s="16"/>
      <c r="I372" s="22"/>
      <c r="J372" s="22"/>
      <c r="K372" s="16"/>
      <c r="L372" s="16"/>
      <c r="M372" s="16"/>
      <c r="N372" s="19"/>
      <c r="O372" s="19"/>
      <c r="P372" s="19"/>
      <c r="Q372" s="19"/>
      <c r="R372" s="19"/>
      <c r="S372" s="19"/>
      <c r="T372" s="19"/>
      <c r="U372" s="19"/>
      <c r="V372" s="59"/>
      <c r="W372" s="20"/>
      <c r="X372" s="43"/>
    </row>
    <row r="373" spans="1:24" ht="15.75" hidden="1" customHeight="1" x14ac:dyDescent="0.25">
      <c r="A373" s="16"/>
      <c r="B373" s="16"/>
      <c r="C373" s="16"/>
      <c r="D373" s="40"/>
      <c r="E373" s="17"/>
      <c r="F373" s="21"/>
      <c r="G373" s="16"/>
      <c r="H373" s="16"/>
      <c r="I373" s="22"/>
      <c r="J373" s="22"/>
      <c r="K373" s="16"/>
      <c r="L373" s="16"/>
      <c r="M373" s="16"/>
      <c r="N373" s="19"/>
      <c r="O373" s="19"/>
      <c r="P373" s="19"/>
      <c r="Q373" s="19"/>
      <c r="R373" s="19"/>
      <c r="S373" s="19"/>
      <c r="T373" s="19"/>
      <c r="U373" s="19"/>
      <c r="V373" s="59"/>
      <c r="W373" s="20"/>
      <c r="X373" s="43"/>
    </row>
    <row r="374" spans="1:24" ht="15.75" hidden="1" customHeight="1" x14ac:dyDescent="0.25">
      <c r="A374" s="16"/>
      <c r="B374" s="16"/>
      <c r="C374" s="16"/>
      <c r="D374" s="40"/>
      <c r="E374" s="17"/>
      <c r="F374" s="21"/>
      <c r="G374" s="16"/>
      <c r="H374" s="16"/>
      <c r="I374" s="22"/>
      <c r="J374" s="22"/>
      <c r="K374" s="16"/>
      <c r="L374" s="16"/>
      <c r="M374" s="16"/>
      <c r="N374" s="19"/>
      <c r="O374" s="19"/>
      <c r="P374" s="19"/>
      <c r="Q374" s="19"/>
      <c r="R374" s="19"/>
      <c r="S374" s="19"/>
      <c r="T374" s="19"/>
      <c r="U374" s="19"/>
      <c r="V374" s="59"/>
      <c r="W374" s="20"/>
      <c r="X374" s="43"/>
    </row>
    <row r="375" spans="1:24" ht="15.75" hidden="1" customHeight="1" x14ac:dyDescent="0.25">
      <c r="A375" s="16"/>
      <c r="B375" s="16"/>
      <c r="C375" s="16"/>
      <c r="D375" s="40"/>
      <c r="E375" s="17"/>
      <c r="F375" s="21"/>
      <c r="G375" s="16"/>
      <c r="H375" s="16"/>
      <c r="I375" s="22"/>
      <c r="J375" s="22"/>
      <c r="K375" s="16"/>
      <c r="L375" s="16"/>
      <c r="M375" s="16"/>
      <c r="N375" s="19"/>
      <c r="O375" s="19"/>
      <c r="P375" s="19"/>
      <c r="Q375" s="19"/>
      <c r="R375" s="19"/>
      <c r="S375" s="19"/>
      <c r="T375" s="19"/>
      <c r="U375" s="19"/>
      <c r="V375" s="59"/>
      <c r="W375" s="20"/>
      <c r="X375" s="43"/>
    </row>
    <row r="376" spans="1:24" ht="15.75" hidden="1" customHeight="1" x14ac:dyDescent="0.25">
      <c r="A376" s="16"/>
      <c r="B376" s="16"/>
      <c r="C376" s="16"/>
      <c r="D376" s="40"/>
      <c r="E376" s="17"/>
      <c r="F376" s="21"/>
      <c r="G376" s="16"/>
      <c r="H376" s="16"/>
      <c r="I376" s="22"/>
      <c r="J376" s="22"/>
      <c r="K376" s="16"/>
      <c r="L376" s="16"/>
      <c r="M376" s="16"/>
      <c r="N376" s="19"/>
      <c r="O376" s="19"/>
      <c r="P376" s="19"/>
      <c r="Q376" s="19"/>
      <c r="R376" s="19"/>
      <c r="S376" s="19"/>
      <c r="T376" s="19"/>
      <c r="U376" s="19"/>
      <c r="V376" s="59"/>
      <c r="W376" s="20"/>
      <c r="X376" s="43"/>
    </row>
    <row r="377" spans="1:24" ht="15.75" hidden="1" customHeight="1" x14ac:dyDescent="0.25">
      <c r="A377" s="16"/>
      <c r="B377" s="16"/>
      <c r="C377" s="16"/>
      <c r="D377" s="40"/>
      <c r="E377" s="17"/>
      <c r="F377" s="21"/>
      <c r="G377" s="16"/>
      <c r="H377" s="16"/>
      <c r="I377" s="22"/>
      <c r="J377" s="22"/>
      <c r="K377" s="16"/>
      <c r="L377" s="16"/>
      <c r="M377" s="16"/>
      <c r="N377" s="19"/>
      <c r="O377" s="19"/>
      <c r="P377" s="19"/>
      <c r="Q377" s="19"/>
      <c r="R377" s="19"/>
      <c r="S377" s="19"/>
      <c r="T377" s="19"/>
      <c r="U377" s="19"/>
      <c r="V377" s="59"/>
      <c r="W377" s="20"/>
      <c r="X377" s="43"/>
    </row>
    <row r="378" spans="1:24" ht="15.75" hidden="1" customHeight="1" x14ac:dyDescent="0.25">
      <c r="A378" s="16"/>
      <c r="B378" s="16"/>
      <c r="C378" s="16"/>
      <c r="D378" s="40"/>
      <c r="E378" s="17"/>
      <c r="F378" s="21"/>
      <c r="G378" s="16"/>
      <c r="H378" s="16"/>
      <c r="I378" s="22"/>
      <c r="J378" s="22"/>
      <c r="K378" s="16"/>
      <c r="L378" s="16"/>
      <c r="M378" s="16"/>
      <c r="N378" s="19"/>
      <c r="O378" s="19"/>
      <c r="P378" s="19"/>
      <c r="Q378" s="19"/>
      <c r="R378" s="19"/>
      <c r="S378" s="19"/>
      <c r="T378" s="19"/>
      <c r="U378" s="19"/>
      <c r="V378" s="59"/>
      <c r="W378" s="20"/>
      <c r="X378" s="43"/>
    </row>
    <row r="379" spans="1:24" ht="15.75" hidden="1" customHeight="1" x14ac:dyDescent="0.25">
      <c r="A379" s="16"/>
      <c r="B379" s="16"/>
      <c r="C379" s="16"/>
      <c r="D379" s="40"/>
      <c r="E379" s="17"/>
      <c r="F379" s="21"/>
      <c r="G379" s="16"/>
      <c r="H379" s="16"/>
      <c r="I379" s="22"/>
      <c r="J379" s="22"/>
      <c r="K379" s="16"/>
      <c r="L379" s="16"/>
      <c r="M379" s="16"/>
      <c r="N379" s="19"/>
      <c r="O379" s="19"/>
      <c r="P379" s="19"/>
      <c r="Q379" s="19"/>
      <c r="R379" s="19"/>
      <c r="S379" s="19"/>
      <c r="T379" s="19"/>
      <c r="U379" s="19"/>
      <c r="V379" s="59"/>
      <c r="W379" s="20"/>
      <c r="X379" s="43"/>
    </row>
    <row r="380" spans="1:24" ht="15.75" hidden="1" customHeight="1" x14ac:dyDescent="0.25">
      <c r="A380" s="16"/>
      <c r="B380" s="16"/>
      <c r="C380" s="16"/>
      <c r="D380" s="40"/>
      <c r="E380" s="17"/>
      <c r="F380" s="21"/>
      <c r="G380" s="16"/>
      <c r="H380" s="16"/>
      <c r="I380" s="22"/>
      <c r="J380" s="22"/>
      <c r="K380" s="16"/>
      <c r="L380" s="16"/>
      <c r="M380" s="16"/>
      <c r="N380" s="19"/>
      <c r="O380" s="19"/>
      <c r="P380" s="19"/>
      <c r="Q380" s="19"/>
      <c r="R380" s="19"/>
      <c r="S380" s="19"/>
      <c r="T380" s="19"/>
      <c r="U380" s="19"/>
      <c r="V380" s="59"/>
      <c r="W380" s="20"/>
      <c r="X380" s="43"/>
    </row>
    <row r="381" spans="1:24" ht="15.75" hidden="1" customHeight="1" x14ac:dyDescent="0.25">
      <c r="A381" s="16"/>
      <c r="B381" s="16"/>
      <c r="C381" s="16"/>
      <c r="D381" s="40"/>
      <c r="E381" s="17"/>
      <c r="F381" s="21"/>
      <c r="G381" s="16"/>
      <c r="H381" s="16"/>
      <c r="I381" s="22"/>
      <c r="J381" s="22"/>
      <c r="K381" s="16"/>
      <c r="L381" s="16"/>
      <c r="M381" s="16"/>
      <c r="N381" s="19"/>
      <c r="O381" s="19"/>
      <c r="P381" s="19"/>
      <c r="Q381" s="19"/>
      <c r="R381" s="19"/>
      <c r="S381" s="19"/>
      <c r="T381" s="19"/>
      <c r="U381" s="19"/>
      <c r="V381" s="59"/>
      <c r="W381" s="20"/>
      <c r="X381" s="43"/>
    </row>
    <row r="382" spans="1:24" ht="15.75" hidden="1" customHeight="1" x14ac:dyDescent="0.25">
      <c r="A382" s="16"/>
      <c r="B382" s="16"/>
      <c r="C382" s="16"/>
      <c r="D382" s="40"/>
      <c r="E382" s="17"/>
      <c r="F382" s="21"/>
      <c r="G382" s="16"/>
      <c r="H382" s="16"/>
      <c r="I382" s="22"/>
      <c r="J382" s="22"/>
      <c r="K382" s="16"/>
      <c r="L382" s="16"/>
      <c r="M382" s="16"/>
      <c r="N382" s="19"/>
      <c r="O382" s="19"/>
      <c r="P382" s="19"/>
      <c r="Q382" s="19"/>
      <c r="R382" s="19"/>
      <c r="S382" s="19"/>
      <c r="T382" s="19"/>
      <c r="U382" s="19"/>
      <c r="V382" s="59"/>
      <c r="W382" s="20"/>
      <c r="X382" s="43"/>
    </row>
    <row r="383" spans="1:24" ht="15.75" hidden="1" customHeight="1" x14ac:dyDescent="0.25">
      <c r="A383" s="16"/>
      <c r="B383" s="16"/>
      <c r="C383" s="16"/>
      <c r="D383" s="40"/>
      <c r="E383" s="17"/>
      <c r="F383" s="21"/>
      <c r="G383" s="16"/>
      <c r="H383" s="16"/>
      <c r="I383" s="22"/>
      <c r="J383" s="22"/>
      <c r="K383" s="16"/>
      <c r="L383" s="16"/>
      <c r="M383" s="16"/>
      <c r="N383" s="19"/>
      <c r="O383" s="19"/>
      <c r="P383" s="19"/>
      <c r="Q383" s="19"/>
      <c r="R383" s="19"/>
      <c r="S383" s="19"/>
      <c r="T383" s="19"/>
      <c r="U383" s="19"/>
      <c r="V383" s="59"/>
      <c r="W383" s="20"/>
      <c r="X383" s="43"/>
    </row>
    <row r="384" spans="1:24" ht="15.75" hidden="1" customHeight="1" x14ac:dyDescent="0.25">
      <c r="A384" s="16"/>
      <c r="B384" s="16"/>
      <c r="C384" s="16"/>
      <c r="D384" s="40"/>
      <c r="E384" s="17"/>
      <c r="F384" s="21"/>
      <c r="G384" s="16"/>
      <c r="H384" s="16"/>
      <c r="I384" s="22"/>
      <c r="J384" s="22"/>
      <c r="K384" s="16"/>
      <c r="L384" s="16"/>
      <c r="M384" s="16"/>
      <c r="N384" s="19"/>
      <c r="O384" s="19"/>
      <c r="P384" s="19"/>
      <c r="Q384" s="19"/>
      <c r="R384" s="19"/>
      <c r="S384" s="19"/>
      <c r="T384" s="19"/>
      <c r="U384" s="19"/>
      <c r="V384" s="59"/>
      <c r="W384" s="20"/>
      <c r="X384" s="43"/>
    </row>
    <row r="385" spans="1:24" ht="15.75" hidden="1" customHeight="1" x14ac:dyDescent="0.25">
      <c r="A385" s="16"/>
      <c r="B385" s="16"/>
      <c r="C385" s="16"/>
      <c r="D385" s="40"/>
      <c r="E385" s="17"/>
      <c r="F385" s="21"/>
      <c r="G385" s="16"/>
      <c r="H385" s="16"/>
      <c r="I385" s="22"/>
      <c r="J385" s="22"/>
      <c r="K385" s="16"/>
      <c r="L385" s="16"/>
      <c r="M385" s="16"/>
      <c r="N385" s="19"/>
      <c r="O385" s="19"/>
      <c r="P385" s="19"/>
      <c r="Q385" s="19"/>
      <c r="R385" s="19"/>
      <c r="S385" s="19"/>
      <c r="T385" s="19"/>
      <c r="U385" s="19"/>
      <c r="V385" s="59"/>
      <c r="W385" s="20"/>
      <c r="X385" s="43"/>
    </row>
    <row r="386" spans="1:24" ht="15.75" hidden="1" customHeight="1" x14ac:dyDescent="0.25">
      <c r="A386" s="16"/>
      <c r="B386" s="16"/>
      <c r="C386" s="16"/>
      <c r="D386" s="40"/>
      <c r="E386" s="17"/>
      <c r="F386" s="21"/>
      <c r="G386" s="16"/>
      <c r="H386" s="16"/>
      <c r="I386" s="22"/>
      <c r="J386" s="22"/>
      <c r="K386" s="16"/>
      <c r="L386" s="16"/>
      <c r="M386" s="16"/>
      <c r="N386" s="19"/>
      <c r="O386" s="19"/>
      <c r="P386" s="19"/>
      <c r="Q386" s="19"/>
      <c r="R386" s="19"/>
      <c r="S386" s="19"/>
      <c r="T386" s="19"/>
      <c r="U386" s="19"/>
      <c r="V386" s="59"/>
      <c r="W386" s="20"/>
      <c r="X386" s="43"/>
    </row>
    <row r="387" spans="1:24" ht="15.75" hidden="1" customHeight="1" x14ac:dyDescent="0.25">
      <c r="A387" s="16"/>
      <c r="B387" s="16"/>
      <c r="C387" s="16"/>
      <c r="D387" s="40"/>
      <c r="E387" s="17"/>
      <c r="F387" s="21"/>
      <c r="G387" s="16"/>
      <c r="H387" s="16"/>
      <c r="I387" s="22"/>
      <c r="J387" s="22"/>
      <c r="K387" s="16"/>
      <c r="L387" s="16"/>
      <c r="M387" s="16"/>
      <c r="N387" s="19"/>
      <c r="O387" s="19"/>
      <c r="P387" s="19"/>
      <c r="Q387" s="19"/>
      <c r="R387" s="19"/>
      <c r="S387" s="19"/>
      <c r="T387" s="19"/>
      <c r="U387" s="19"/>
      <c r="V387" s="59"/>
      <c r="W387" s="20"/>
      <c r="X387" s="43"/>
    </row>
    <row r="388" spans="1:24" ht="15.75" hidden="1" customHeight="1" x14ac:dyDescent="0.25">
      <c r="A388" s="16"/>
      <c r="B388" s="16"/>
      <c r="C388" s="16"/>
      <c r="D388" s="40"/>
      <c r="E388" s="17"/>
      <c r="F388" s="21"/>
      <c r="G388" s="16"/>
      <c r="H388" s="16"/>
      <c r="I388" s="22"/>
      <c r="J388" s="22"/>
      <c r="K388" s="16"/>
      <c r="L388" s="16"/>
      <c r="M388" s="16"/>
      <c r="N388" s="19"/>
      <c r="O388" s="19"/>
      <c r="P388" s="19"/>
      <c r="Q388" s="19"/>
      <c r="R388" s="19"/>
      <c r="S388" s="19"/>
      <c r="T388" s="19"/>
      <c r="U388" s="19"/>
      <c r="V388" s="59"/>
      <c r="W388" s="20"/>
      <c r="X388" s="43"/>
    </row>
    <row r="389" spans="1:24" ht="15.75" hidden="1" customHeight="1" x14ac:dyDescent="0.25">
      <c r="A389" s="16"/>
      <c r="B389" s="16"/>
      <c r="C389" s="16"/>
      <c r="D389" s="40"/>
      <c r="E389" s="17"/>
      <c r="F389" s="21"/>
      <c r="G389" s="16"/>
      <c r="H389" s="16"/>
      <c r="I389" s="22"/>
      <c r="J389" s="22"/>
      <c r="K389" s="16"/>
      <c r="L389" s="16"/>
      <c r="M389" s="16"/>
      <c r="N389" s="19"/>
      <c r="O389" s="19"/>
      <c r="P389" s="19"/>
      <c r="Q389" s="19"/>
      <c r="R389" s="19"/>
      <c r="S389" s="19"/>
      <c r="T389" s="19"/>
      <c r="U389" s="19"/>
      <c r="V389" s="59"/>
      <c r="W389" s="20"/>
      <c r="X389" s="43"/>
    </row>
    <row r="390" spans="1:24" ht="15.75" hidden="1" customHeight="1" x14ac:dyDescent="0.25">
      <c r="A390" s="16"/>
      <c r="B390" s="16"/>
      <c r="C390" s="16"/>
      <c r="D390" s="40"/>
      <c r="E390" s="17"/>
      <c r="F390" s="21"/>
      <c r="G390" s="16"/>
      <c r="H390" s="16"/>
      <c r="I390" s="22"/>
      <c r="J390" s="22"/>
      <c r="K390" s="16"/>
      <c r="L390" s="16"/>
      <c r="M390" s="16"/>
      <c r="N390" s="19"/>
      <c r="O390" s="19"/>
      <c r="P390" s="19"/>
      <c r="Q390" s="19"/>
      <c r="R390" s="19"/>
      <c r="S390" s="19"/>
      <c r="T390" s="19"/>
      <c r="U390" s="19"/>
      <c r="V390" s="59"/>
      <c r="W390" s="20"/>
      <c r="X390" s="43"/>
    </row>
    <row r="391" spans="1:24" ht="15.75" hidden="1" customHeight="1" x14ac:dyDescent="0.25">
      <c r="A391" s="16"/>
      <c r="B391" s="16"/>
      <c r="C391" s="16"/>
      <c r="D391" s="40"/>
      <c r="E391" s="17"/>
      <c r="F391" s="21"/>
      <c r="G391" s="16"/>
      <c r="H391" s="16"/>
      <c r="I391" s="22"/>
      <c r="J391" s="22"/>
      <c r="K391" s="16"/>
      <c r="L391" s="16"/>
      <c r="M391" s="16"/>
      <c r="N391" s="19"/>
      <c r="O391" s="19"/>
      <c r="P391" s="19"/>
      <c r="Q391" s="19"/>
      <c r="R391" s="19"/>
      <c r="S391" s="19"/>
      <c r="T391" s="19"/>
      <c r="U391" s="19"/>
      <c r="V391" s="59"/>
      <c r="W391" s="20"/>
      <c r="X391" s="43"/>
    </row>
    <row r="392" spans="1:24" ht="15.75" hidden="1" customHeight="1" x14ac:dyDescent="0.25">
      <c r="A392" s="16"/>
      <c r="B392" s="16"/>
      <c r="C392" s="16"/>
      <c r="D392" s="40"/>
      <c r="E392" s="17"/>
      <c r="F392" s="21"/>
      <c r="G392" s="16"/>
      <c r="H392" s="16"/>
      <c r="I392" s="22"/>
      <c r="J392" s="22"/>
      <c r="K392" s="16"/>
      <c r="L392" s="16"/>
      <c r="M392" s="16"/>
      <c r="N392" s="19"/>
      <c r="O392" s="19"/>
      <c r="P392" s="19"/>
      <c r="Q392" s="19"/>
      <c r="R392" s="19"/>
      <c r="S392" s="19"/>
      <c r="T392" s="19"/>
      <c r="U392" s="19"/>
      <c r="V392" s="59"/>
      <c r="W392" s="20"/>
      <c r="X392" s="43"/>
    </row>
    <row r="393" spans="1:24" ht="15.75" hidden="1" customHeight="1" x14ac:dyDescent="0.25">
      <c r="A393" s="16"/>
      <c r="B393" s="16"/>
      <c r="C393" s="16"/>
      <c r="D393" s="40"/>
      <c r="E393" s="17"/>
      <c r="F393" s="21"/>
      <c r="G393" s="16"/>
      <c r="H393" s="16"/>
      <c r="I393" s="22"/>
      <c r="J393" s="22"/>
      <c r="K393" s="16"/>
      <c r="L393" s="16"/>
      <c r="M393" s="16"/>
      <c r="N393" s="19"/>
      <c r="O393" s="19"/>
      <c r="P393" s="19"/>
      <c r="Q393" s="19"/>
      <c r="R393" s="19"/>
      <c r="S393" s="19"/>
      <c r="T393" s="19"/>
      <c r="U393" s="19"/>
      <c r="V393" s="59"/>
      <c r="W393" s="20"/>
      <c r="X393" s="43"/>
    </row>
    <row r="394" spans="1:24" ht="15.75" hidden="1" customHeight="1" x14ac:dyDescent="0.25">
      <c r="A394" s="16"/>
      <c r="B394" s="16"/>
      <c r="C394" s="16"/>
      <c r="D394" s="40"/>
      <c r="E394" s="17"/>
      <c r="F394" s="21"/>
      <c r="G394" s="16"/>
      <c r="H394" s="16"/>
      <c r="I394" s="22"/>
      <c r="J394" s="22"/>
      <c r="K394" s="16"/>
      <c r="L394" s="16"/>
      <c r="M394" s="16"/>
      <c r="N394" s="19"/>
      <c r="O394" s="19"/>
      <c r="P394" s="19"/>
      <c r="Q394" s="19"/>
      <c r="R394" s="19"/>
      <c r="S394" s="19"/>
      <c r="T394" s="19"/>
      <c r="U394" s="19"/>
      <c r="V394" s="59"/>
      <c r="W394" s="20"/>
      <c r="X394" s="43"/>
    </row>
    <row r="395" spans="1:24" ht="15.75" hidden="1" customHeight="1" x14ac:dyDescent="0.25">
      <c r="A395" s="16"/>
      <c r="B395" s="16"/>
      <c r="C395" s="16"/>
      <c r="D395" s="40"/>
      <c r="E395" s="17"/>
      <c r="F395" s="21"/>
      <c r="G395" s="16"/>
      <c r="H395" s="16"/>
      <c r="I395" s="22"/>
      <c r="J395" s="22"/>
      <c r="K395" s="16"/>
      <c r="L395" s="16"/>
      <c r="M395" s="16"/>
      <c r="N395" s="19"/>
      <c r="O395" s="19"/>
      <c r="P395" s="19"/>
      <c r="Q395" s="19"/>
      <c r="R395" s="19"/>
      <c r="S395" s="19"/>
      <c r="T395" s="19"/>
      <c r="U395" s="19"/>
      <c r="V395" s="59"/>
      <c r="W395" s="20"/>
      <c r="X395" s="43"/>
    </row>
    <row r="396" spans="1:24" ht="15.75" hidden="1" customHeight="1" x14ac:dyDescent="0.25">
      <c r="A396" s="16"/>
      <c r="B396" s="16"/>
      <c r="C396" s="16"/>
      <c r="D396" s="40"/>
      <c r="E396" s="17"/>
      <c r="F396" s="21"/>
      <c r="G396" s="16"/>
      <c r="H396" s="16"/>
      <c r="I396" s="22"/>
      <c r="J396" s="22"/>
      <c r="K396" s="16"/>
      <c r="L396" s="16"/>
      <c r="M396" s="16"/>
      <c r="N396" s="19"/>
      <c r="O396" s="19"/>
      <c r="P396" s="19"/>
      <c r="Q396" s="19"/>
      <c r="R396" s="19"/>
      <c r="S396" s="19"/>
      <c r="T396" s="19"/>
      <c r="U396" s="19"/>
      <c r="V396" s="59"/>
      <c r="W396" s="20"/>
      <c r="X396" s="43"/>
    </row>
    <row r="397" spans="1:24" ht="15.75" hidden="1" customHeight="1" x14ac:dyDescent="0.25">
      <c r="A397" s="16"/>
      <c r="B397" s="16"/>
      <c r="C397" s="16"/>
      <c r="D397" s="40"/>
      <c r="E397" s="17"/>
      <c r="F397" s="21"/>
      <c r="G397" s="16"/>
      <c r="H397" s="16"/>
      <c r="I397" s="22"/>
      <c r="J397" s="22"/>
      <c r="K397" s="16"/>
      <c r="L397" s="16"/>
      <c r="M397" s="16"/>
      <c r="N397" s="19"/>
      <c r="O397" s="19"/>
      <c r="P397" s="19"/>
      <c r="Q397" s="19"/>
      <c r="R397" s="19"/>
      <c r="S397" s="19"/>
      <c r="T397" s="19"/>
      <c r="U397" s="19"/>
      <c r="V397" s="59"/>
      <c r="W397" s="20"/>
      <c r="X397" s="43"/>
    </row>
    <row r="398" spans="1:24" ht="15.75" hidden="1" customHeight="1" x14ac:dyDescent="0.25">
      <c r="A398" s="16"/>
      <c r="B398" s="16"/>
      <c r="C398" s="16"/>
      <c r="D398" s="40"/>
      <c r="E398" s="17"/>
      <c r="F398" s="21"/>
      <c r="G398" s="16"/>
      <c r="H398" s="16"/>
      <c r="I398" s="22"/>
      <c r="J398" s="22"/>
      <c r="K398" s="16"/>
      <c r="L398" s="16"/>
      <c r="M398" s="16"/>
      <c r="N398" s="19"/>
      <c r="O398" s="19"/>
      <c r="P398" s="19"/>
      <c r="Q398" s="19"/>
      <c r="R398" s="19"/>
      <c r="S398" s="19"/>
      <c r="T398" s="19"/>
      <c r="U398" s="19"/>
      <c r="V398" s="59"/>
      <c r="W398" s="20"/>
      <c r="X398" s="43"/>
    </row>
    <row r="399" spans="1:24" ht="15.75" hidden="1" customHeight="1" x14ac:dyDescent="0.25">
      <c r="A399" s="16"/>
      <c r="B399" s="16"/>
      <c r="C399" s="16"/>
      <c r="D399" s="40"/>
      <c r="E399" s="17"/>
      <c r="F399" s="21"/>
      <c r="G399" s="16"/>
      <c r="H399" s="16"/>
      <c r="I399" s="22"/>
      <c r="J399" s="22"/>
      <c r="K399" s="16"/>
      <c r="L399" s="16"/>
      <c r="M399" s="16"/>
      <c r="N399" s="19"/>
      <c r="O399" s="19"/>
      <c r="P399" s="19"/>
      <c r="Q399" s="19"/>
      <c r="R399" s="19"/>
      <c r="S399" s="19"/>
      <c r="T399" s="19"/>
      <c r="U399" s="19"/>
      <c r="V399" s="59"/>
      <c r="W399" s="20"/>
      <c r="X399" s="43"/>
    </row>
    <row r="400" spans="1:24" ht="15.75" hidden="1" customHeight="1" x14ac:dyDescent="0.25">
      <c r="A400" s="16"/>
      <c r="B400" s="16"/>
      <c r="C400" s="16"/>
      <c r="D400" s="40"/>
      <c r="E400" s="17"/>
      <c r="F400" s="21"/>
      <c r="G400" s="16"/>
      <c r="H400" s="16"/>
      <c r="I400" s="22"/>
      <c r="J400" s="22"/>
      <c r="K400" s="16"/>
      <c r="L400" s="16"/>
      <c r="M400" s="16"/>
      <c r="N400" s="19"/>
      <c r="O400" s="19"/>
      <c r="P400" s="19"/>
      <c r="Q400" s="19"/>
      <c r="R400" s="19"/>
      <c r="S400" s="19"/>
      <c r="T400" s="19"/>
      <c r="U400" s="19"/>
      <c r="V400" s="59"/>
      <c r="W400" s="20"/>
      <c r="X400" s="43"/>
    </row>
    <row r="401" spans="1:24" ht="15.75" hidden="1" customHeight="1" x14ac:dyDescent="0.25">
      <c r="A401" s="16"/>
      <c r="B401" s="16"/>
      <c r="C401" s="16"/>
      <c r="D401" s="40"/>
      <c r="E401" s="17"/>
      <c r="F401" s="21"/>
      <c r="G401" s="16"/>
      <c r="H401" s="16"/>
      <c r="I401" s="22"/>
      <c r="J401" s="22"/>
      <c r="K401" s="16"/>
      <c r="L401" s="16"/>
      <c r="M401" s="16"/>
      <c r="N401" s="19"/>
      <c r="O401" s="19"/>
      <c r="P401" s="19"/>
      <c r="Q401" s="19"/>
      <c r="R401" s="19"/>
      <c r="S401" s="19"/>
      <c r="T401" s="19"/>
      <c r="U401" s="19"/>
      <c r="V401" s="59"/>
      <c r="W401" s="20"/>
      <c r="X401" s="43"/>
    </row>
    <row r="402" spans="1:24" ht="15.75" hidden="1" customHeight="1" x14ac:dyDescent="0.25">
      <c r="A402" s="16"/>
      <c r="B402" s="16"/>
      <c r="C402" s="16"/>
      <c r="D402" s="40"/>
      <c r="E402" s="17"/>
      <c r="F402" s="21"/>
      <c r="G402" s="16"/>
      <c r="H402" s="16"/>
      <c r="I402" s="22"/>
      <c r="J402" s="22"/>
      <c r="K402" s="16"/>
      <c r="L402" s="16"/>
      <c r="M402" s="16"/>
      <c r="N402" s="19"/>
      <c r="O402" s="19"/>
      <c r="P402" s="19"/>
      <c r="Q402" s="19"/>
      <c r="R402" s="19"/>
      <c r="S402" s="19"/>
      <c r="T402" s="19"/>
      <c r="U402" s="19"/>
      <c r="V402" s="59"/>
      <c r="W402" s="20"/>
      <c r="X402" s="43"/>
    </row>
    <row r="403" spans="1:24" ht="15.75" hidden="1" customHeight="1" x14ac:dyDescent="0.25">
      <c r="A403" s="16"/>
      <c r="B403" s="16"/>
      <c r="C403" s="16"/>
      <c r="D403" s="40"/>
      <c r="E403" s="17"/>
      <c r="F403" s="21"/>
      <c r="G403" s="16"/>
      <c r="H403" s="16"/>
      <c r="I403" s="22"/>
      <c r="J403" s="22"/>
      <c r="K403" s="16"/>
      <c r="L403" s="16"/>
      <c r="M403" s="16"/>
      <c r="N403" s="19"/>
      <c r="O403" s="19"/>
      <c r="P403" s="19"/>
      <c r="Q403" s="19"/>
      <c r="R403" s="19"/>
      <c r="S403" s="19"/>
      <c r="T403" s="19"/>
      <c r="U403" s="19"/>
      <c r="V403" s="59"/>
      <c r="W403" s="20"/>
      <c r="X403" s="43"/>
    </row>
    <row r="404" spans="1:24" ht="15.75" hidden="1" customHeight="1" x14ac:dyDescent="0.25">
      <c r="A404" s="16"/>
      <c r="B404" s="16"/>
      <c r="C404" s="16"/>
      <c r="D404" s="40"/>
      <c r="E404" s="17"/>
      <c r="F404" s="21"/>
      <c r="G404" s="16"/>
      <c r="H404" s="16"/>
      <c r="I404" s="22"/>
      <c r="J404" s="22"/>
      <c r="K404" s="16"/>
      <c r="L404" s="16"/>
      <c r="M404" s="16"/>
      <c r="N404" s="19"/>
      <c r="O404" s="19"/>
      <c r="P404" s="19"/>
      <c r="Q404" s="19"/>
      <c r="R404" s="19"/>
      <c r="S404" s="19"/>
      <c r="T404" s="19"/>
      <c r="U404" s="19"/>
      <c r="V404" s="59"/>
      <c r="W404" s="20"/>
      <c r="X404" s="43"/>
    </row>
    <row r="405" spans="1:24" ht="15.75" hidden="1" customHeight="1" x14ac:dyDescent="0.25">
      <c r="A405" s="16"/>
      <c r="B405" s="16"/>
      <c r="C405" s="16"/>
      <c r="D405" s="40"/>
      <c r="E405" s="17"/>
      <c r="F405" s="21"/>
      <c r="G405" s="16"/>
      <c r="H405" s="16"/>
      <c r="I405" s="22"/>
      <c r="J405" s="22"/>
      <c r="K405" s="16"/>
      <c r="L405" s="16"/>
      <c r="M405" s="16"/>
      <c r="N405" s="19"/>
      <c r="O405" s="19"/>
      <c r="P405" s="19"/>
      <c r="Q405" s="19"/>
      <c r="R405" s="19"/>
      <c r="S405" s="19"/>
      <c r="T405" s="19"/>
      <c r="U405" s="19"/>
      <c r="V405" s="59"/>
      <c r="W405" s="20"/>
      <c r="X405" s="43"/>
    </row>
    <row r="406" spans="1:24" ht="15.75" hidden="1" customHeight="1" x14ac:dyDescent="0.25">
      <c r="A406" s="16"/>
      <c r="B406" s="16"/>
      <c r="C406" s="16"/>
      <c r="D406" s="40"/>
      <c r="E406" s="17"/>
      <c r="F406" s="21"/>
      <c r="G406" s="16"/>
      <c r="H406" s="16"/>
      <c r="I406" s="22"/>
      <c r="J406" s="22"/>
      <c r="K406" s="16"/>
      <c r="L406" s="16"/>
      <c r="M406" s="16"/>
      <c r="N406" s="19"/>
      <c r="O406" s="19"/>
      <c r="P406" s="19"/>
      <c r="Q406" s="19"/>
      <c r="R406" s="19"/>
      <c r="S406" s="19"/>
      <c r="T406" s="19"/>
      <c r="U406" s="19"/>
      <c r="V406" s="59"/>
      <c r="W406" s="20"/>
      <c r="X406" s="43"/>
    </row>
    <row r="407" spans="1:24" ht="15.75" hidden="1" customHeight="1" x14ac:dyDescent="0.25">
      <c r="A407" s="16"/>
      <c r="B407" s="16"/>
      <c r="C407" s="16"/>
      <c r="D407" s="40"/>
      <c r="E407" s="17"/>
      <c r="F407" s="21"/>
      <c r="G407" s="16"/>
      <c r="H407" s="16"/>
      <c r="I407" s="22"/>
      <c r="J407" s="22"/>
      <c r="K407" s="16"/>
      <c r="L407" s="16"/>
      <c r="M407" s="16"/>
      <c r="N407" s="19"/>
      <c r="O407" s="19"/>
      <c r="P407" s="19"/>
      <c r="Q407" s="19"/>
      <c r="R407" s="19"/>
      <c r="S407" s="19"/>
      <c r="T407" s="19"/>
      <c r="U407" s="19"/>
      <c r="V407" s="59"/>
      <c r="W407" s="20"/>
      <c r="X407" s="43"/>
    </row>
    <row r="408" spans="1:24" ht="15.75" hidden="1" customHeight="1" x14ac:dyDescent="0.25">
      <c r="A408" s="16"/>
      <c r="B408" s="16"/>
      <c r="C408" s="16"/>
      <c r="D408" s="40"/>
      <c r="E408" s="17"/>
      <c r="F408" s="21"/>
      <c r="G408" s="16"/>
      <c r="H408" s="16"/>
      <c r="I408" s="22"/>
      <c r="J408" s="22"/>
      <c r="K408" s="16"/>
      <c r="L408" s="16"/>
      <c r="M408" s="16"/>
      <c r="N408" s="19"/>
      <c r="O408" s="19"/>
      <c r="P408" s="19"/>
      <c r="Q408" s="19"/>
      <c r="R408" s="19"/>
      <c r="S408" s="19"/>
      <c r="T408" s="19"/>
      <c r="U408" s="19"/>
      <c r="V408" s="59"/>
      <c r="W408" s="20"/>
      <c r="X408" s="43"/>
    </row>
    <row r="409" spans="1:24" ht="15.75" hidden="1" customHeight="1" x14ac:dyDescent="0.25">
      <c r="A409" s="16"/>
      <c r="B409" s="16"/>
      <c r="C409" s="16"/>
      <c r="D409" s="40"/>
      <c r="E409" s="17"/>
      <c r="F409" s="21"/>
      <c r="G409" s="16"/>
      <c r="H409" s="16"/>
      <c r="I409" s="22"/>
      <c r="J409" s="22"/>
      <c r="K409" s="16"/>
      <c r="L409" s="16"/>
      <c r="M409" s="16"/>
      <c r="N409" s="19"/>
      <c r="O409" s="19"/>
      <c r="P409" s="19"/>
      <c r="Q409" s="19"/>
      <c r="R409" s="19"/>
      <c r="S409" s="19"/>
      <c r="T409" s="19"/>
      <c r="U409" s="19"/>
      <c r="V409" s="59"/>
      <c r="W409" s="20"/>
      <c r="X409" s="43"/>
    </row>
    <row r="410" spans="1:24" ht="15.75" hidden="1" customHeight="1" x14ac:dyDescent="0.25">
      <c r="A410" s="16"/>
      <c r="B410" s="16"/>
      <c r="C410" s="16"/>
      <c r="D410" s="40"/>
      <c r="E410" s="17"/>
      <c r="F410" s="21"/>
      <c r="G410" s="16"/>
      <c r="H410" s="16"/>
      <c r="I410" s="22"/>
      <c r="J410" s="22"/>
      <c r="K410" s="16"/>
      <c r="L410" s="16"/>
      <c r="M410" s="16"/>
      <c r="N410" s="19"/>
      <c r="O410" s="19"/>
      <c r="P410" s="19"/>
      <c r="Q410" s="19"/>
      <c r="R410" s="19"/>
      <c r="S410" s="19"/>
      <c r="T410" s="19"/>
      <c r="U410" s="19"/>
      <c r="V410" s="59"/>
      <c r="W410" s="20"/>
      <c r="X410" s="43"/>
    </row>
    <row r="411" spans="1:24" ht="15.75" hidden="1" customHeight="1" x14ac:dyDescent="0.25">
      <c r="A411" s="16"/>
      <c r="B411" s="16"/>
      <c r="C411" s="16"/>
      <c r="D411" s="40"/>
      <c r="E411" s="17"/>
      <c r="F411" s="21"/>
      <c r="G411" s="16"/>
      <c r="H411" s="16"/>
      <c r="I411" s="22"/>
      <c r="J411" s="22"/>
      <c r="K411" s="16"/>
      <c r="L411" s="16"/>
      <c r="M411" s="16"/>
      <c r="N411" s="19"/>
      <c r="O411" s="19"/>
      <c r="P411" s="19"/>
      <c r="Q411" s="19"/>
      <c r="R411" s="19"/>
      <c r="S411" s="19"/>
      <c r="T411" s="19"/>
      <c r="U411" s="19"/>
      <c r="V411" s="59"/>
      <c r="W411" s="20"/>
      <c r="X411" s="43"/>
    </row>
    <row r="412" spans="1:24" ht="15.75" hidden="1" customHeight="1" x14ac:dyDescent="0.25">
      <c r="A412" s="16"/>
      <c r="B412" s="16"/>
      <c r="C412" s="16"/>
      <c r="D412" s="40"/>
      <c r="E412" s="17"/>
      <c r="F412" s="21"/>
      <c r="G412" s="16"/>
      <c r="H412" s="16"/>
      <c r="I412" s="22"/>
      <c r="J412" s="22"/>
      <c r="K412" s="16"/>
      <c r="L412" s="16"/>
      <c r="M412" s="16"/>
      <c r="N412" s="19"/>
      <c r="O412" s="19"/>
      <c r="P412" s="19"/>
      <c r="Q412" s="19"/>
      <c r="R412" s="19"/>
      <c r="S412" s="19"/>
      <c r="T412" s="19"/>
      <c r="U412" s="19"/>
      <c r="V412" s="59"/>
      <c r="W412" s="20"/>
      <c r="X412" s="43"/>
    </row>
    <row r="413" spans="1:24" ht="15.75" hidden="1" customHeight="1" x14ac:dyDescent="0.25">
      <c r="A413" s="16"/>
      <c r="B413" s="16"/>
      <c r="C413" s="16"/>
      <c r="D413" s="40"/>
      <c r="E413" s="17"/>
      <c r="F413" s="21"/>
      <c r="G413" s="16"/>
      <c r="H413" s="16"/>
      <c r="I413" s="22"/>
      <c r="J413" s="22"/>
      <c r="K413" s="16"/>
      <c r="L413" s="16"/>
      <c r="M413" s="16"/>
      <c r="N413" s="19"/>
      <c r="O413" s="19"/>
      <c r="P413" s="19"/>
      <c r="Q413" s="19"/>
      <c r="R413" s="19"/>
      <c r="S413" s="19"/>
      <c r="T413" s="19"/>
      <c r="U413" s="19"/>
      <c r="V413" s="59"/>
      <c r="W413" s="20"/>
      <c r="X413" s="43"/>
    </row>
    <row r="414" spans="1:24" ht="15.75" hidden="1" customHeight="1" x14ac:dyDescent="0.25">
      <c r="A414" s="16"/>
      <c r="B414" s="16"/>
      <c r="C414" s="16"/>
      <c r="D414" s="40"/>
      <c r="E414" s="17"/>
      <c r="F414" s="21"/>
      <c r="G414" s="16"/>
      <c r="H414" s="16"/>
      <c r="I414" s="22"/>
      <c r="J414" s="22"/>
      <c r="K414" s="16"/>
      <c r="L414" s="16"/>
      <c r="M414" s="16"/>
      <c r="N414" s="19"/>
      <c r="O414" s="19"/>
      <c r="P414" s="19"/>
      <c r="Q414" s="19"/>
      <c r="R414" s="19"/>
      <c r="S414" s="19"/>
      <c r="T414" s="19"/>
      <c r="U414" s="19"/>
      <c r="V414" s="59"/>
      <c r="W414" s="20"/>
      <c r="X414" s="43"/>
    </row>
    <row r="415" spans="1:24" ht="15.75" hidden="1" customHeight="1" x14ac:dyDescent="0.25">
      <c r="A415" s="16"/>
      <c r="B415" s="16"/>
      <c r="C415" s="16"/>
      <c r="D415" s="40"/>
      <c r="E415" s="17"/>
      <c r="F415" s="21"/>
      <c r="G415" s="16"/>
      <c r="H415" s="16"/>
      <c r="I415" s="22"/>
      <c r="J415" s="22"/>
      <c r="K415" s="16"/>
      <c r="L415" s="16"/>
      <c r="M415" s="16"/>
      <c r="N415" s="19"/>
      <c r="O415" s="19"/>
      <c r="P415" s="19"/>
      <c r="Q415" s="19"/>
      <c r="R415" s="19"/>
      <c r="S415" s="19"/>
      <c r="T415" s="19"/>
      <c r="U415" s="19"/>
      <c r="V415" s="59"/>
      <c r="W415" s="20"/>
      <c r="X415" s="43"/>
    </row>
    <row r="416" spans="1:24" ht="15.75" hidden="1" customHeight="1" x14ac:dyDescent="0.25">
      <c r="A416" s="16"/>
      <c r="B416" s="16"/>
      <c r="C416" s="16"/>
      <c r="D416" s="40"/>
      <c r="E416" s="17"/>
      <c r="F416" s="21"/>
      <c r="G416" s="16"/>
      <c r="H416" s="16"/>
      <c r="I416" s="22"/>
      <c r="J416" s="22"/>
      <c r="K416" s="16"/>
      <c r="L416" s="16"/>
      <c r="M416" s="16"/>
      <c r="N416" s="19"/>
      <c r="O416" s="19"/>
      <c r="P416" s="19"/>
      <c r="Q416" s="19"/>
      <c r="R416" s="19"/>
      <c r="S416" s="19"/>
      <c r="T416" s="19"/>
      <c r="U416" s="19"/>
      <c r="V416" s="59"/>
      <c r="W416" s="20"/>
      <c r="X416" s="43"/>
    </row>
    <row r="417" spans="1:24" ht="15.75" hidden="1" customHeight="1" x14ac:dyDescent="0.25">
      <c r="A417" s="16"/>
      <c r="B417" s="16"/>
      <c r="C417" s="16"/>
      <c r="D417" s="40"/>
      <c r="E417" s="17"/>
      <c r="F417" s="21"/>
      <c r="G417" s="16"/>
      <c r="H417" s="16"/>
      <c r="I417" s="22"/>
      <c r="J417" s="22"/>
      <c r="K417" s="16"/>
      <c r="L417" s="16"/>
      <c r="M417" s="16"/>
      <c r="N417" s="19"/>
      <c r="O417" s="19"/>
      <c r="P417" s="19"/>
      <c r="Q417" s="19"/>
      <c r="R417" s="19"/>
      <c r="S417" s="19"/>
      <c r="T417" s="19"/>
      <c r="U417" s="19"/>
      <c r="V417" s="59"/>
      <c r="W417" s="20"/>
      <c r="X417" s="43"/>
    </row>
    <row r="418" spans="1:24" ht="15.75" hidden="1" customHeight="1" x14ac:dyDescent="0.25">
      <c r="A418" s="16"/>
      <c r="B418" s="16"/>
      <c r="C418" s="16"/>
      <c r="D418" s="40"/>
      <c r="E418" s="17"/>
      <c r="F418" s="21"/>
      <c r="G418" s="16"/>
      <c r="H418" s="16"/>
      <c r="I418" s="22"/>
      <c r="J418" s="22"/>
      <c r="K418" s="16"/>
      <c r="L418" s="16"/>
      <c r="M418" s="16"/>
      <c r="N418" s="19"/>
      <c r="O418" s="19"/>
      <c r="P418" s="19"/>
      <c r="Q418" s="19"/>
      <c r="R418" s="19"/>
      <c r="S418" s="19"/>
      <c r="T418" s="19"/>
      <c r="U418" s="19"/>
      <c r="V418" s="59"/>
      <c r="W418" s="20"/>
      <c r="X418" s="43"/>
    </row>
    <row r="419" spans="1:24" ht="15.75" hidden="1" customHeight="1" x14ac:dyDescent="0.25">
      <c r="A419" s="16"/>
      <c r="B419" s="16"/>
      <c r="C419" s="16"/>
      <c r="D419" s="40"/>
      <c r="E419" s="17"/>
      <c r="F419" s="21"/>
      <c r="G419" s="16"/>
      <c r="H419" s="16"/>
      <c r="I419" s="22"/>
      <c r="J419" s="22"/>
      <c r="K419" s="16"/>
      <c r="L419" s="16"/>
      <c r="M419" s="16"/>
      <c r="N419" s="19"/>
      <c r="O419" s="19"/>
      <c r="P419" s="19"/>
      <c r="Q419" s="19"/>
      <c r="R419" s="19"/>
      <c r="S419" s="19"/>
      <c r="T419" s="19"/>
      <c r="U419" s="19"/>
      <c r="V419" s="59"/>
      <c r="W419" s="20"/>
      <c r="X419" s="43"/>
    </row>
    <row r="420" spans="1:24" ht="15.75" hidden="1" customHeight="1" x14ac:dyDescent="0.25">
      <c r="A420" s="16"/>
      <c r="B420" s="16"/>
      <c r="C420" s="16"/>
      <c r="D420" s="40"/>
      <c r="E420" s="17"/>
      <c r="F420" s="21"/>
      <c r="G420" s="16"/>
      <c r="H420" s="16"/>
      <c r="I420" s="22"/>
      <c r="J420" s="22"/>
      <c r="K420" s="16"/>
      <c r="L420" s="16"/>
      <c r="M420" s="16"/>
      <c r="N420" s="19"/>
      <c r="O420" s="19"/>
      <c r="P420" s="19"/>
      <c r="Q420" s="19"/>
      <c r="R420" s="19"/>
      <c r="S420" s="19"/>
      <c r="T420" s="19"/>
      <c r="U420" s="19"/>
      <c r="V420" s="59"/>
      <c r="W420" s="20"/>
      <c r="X420" s="43"/>
    </row>
    <row r="421" spans="1:24" ht="15.75" hidden="1" customHeight="1" x14ac:dyDescent="0.25">
      <c r="A421" s="16"/>
      <c r="B421" s="16"/>
      <c r="C421" s="16"/>
      <c r="D421" s="40"/>
      <c r="E421" s="17"/>
      <c r="F421" s="21"/>
      <c r="G421" s="16"/>
      <c r="H421" s="16"/>
      <c r="I421" s="22"/>
      <c r="J421" s="22"/>
      <c r="K421" s="16"/>
      <c r="L421" s="16"/>
      <c r="M421" s="16"/>
      <c r="N421" s="19"/>
      <c r="O421" s="19"/>
      <c r="P421" s="19"/>
      <c r="Q421" s="19"/>
      <c r="R421" s="19"/>
      <c r="S421" s="19"/>
      <c r="T421" s="19"/>
      <c r="U421" s="19"/>
      <c r="V421" s="59"/>
      <c r="W421" s="20"/>
      <c r="X421" s="43"/>
    </row>
    <row r="422" spans="1:24" ht="15.75" hidden="1" customHeight="1" x14ac:dyDescent="0.25">
      <c r="A422" s="16"/>
      <c r="B422" s="16"/>
      <c r="C422" s="16"/>
      <c r="D422" s="40"/>
      <c r="E422" s="17"/>
      <c r="F422" s="21"/>
      <c r="G422" s="16"/>
      <c r="H422" s="16"/>
      <c r="I422" s="22"/>
      <c r="J422" s="22"/>
      <c r="K422" s="16"/>
      <c r="L422" s="16"/>
      <c r="M422" s="16"/>
      <c r="N422" s="19"/>
      <c r="O422" s="19"/>
      <c r="P422" s="19"/>
      <c r="Q422" s="19"/>
      <c r="R422" s="19"/>
      <c r="S422" s="19"/>
      <c r="T422" s="19"/>
      <c r="U422" s="19"/>
      <c r="V422" s="59"/>
      <c r="W422" s="20"/>
      <c r="X422" s="43"/>
    </row>
    <row r="423" spans="1:24" ht="15.75" hidden="1" customHeight="1" x14ac:dyDescent="0.25">
      <c r="A423" s="16"/>
      <c r="B423" s="16"/>
      <c r="C423" s="16"/>
      <c r="D423" s="40"/>
      <c r="E423" s="17"/>
      <c r="F423" s="21"/>
      <c r="G423" s="16"/>
      <c r="H423" s="16"/>
      <c r="I423" s="22"/>
      <c r="J423" s="22"/>
      <c r="K423" s="16"/>
      <c r="L423" s="16"/>
      <c r="M423" s="16"/>
      <c r="N423" s="19"/>
      <c r="O423" s="19"/>
      <c r="P423" s="19"/>
      <c r="Q423" s="19"/>
      <c r="R423" s="19"/>
      <c r="S423" s="19"/>
      <c r="T423" s="19"/>
      <c r="U423" s="19"/>
      <c r="V423" s="59"/>
      <c r="W423" s="20"/>
      <c r="X423" s="43"/>
    </row>
    <row r="424" spans="1:24" ht="15.75" hidden="1" customHeight="1" x14ac:dyDescent="0.25">
      <c r="A424" s="16"/>
      <c r="B424" s="16"/>
      <c r="C424" s="16"/>
      <c r="D424" s="40"/>
      <c r="E424" s="17"/>
      <c r="F424" s="21"/>
      <c r="G424" s="16"/>
      <c r="H424" s="16"/>
      <c r="I424" s="22"/>
      <c r="J424" s="22"/>
      <c r="K424" s="16"/>
      <c r="L424" s="16"/>
      <c r="M424" s="16"/>
      <c r="N424" s="19"/>
      <c r="O424" s="19"/>
      <c r="P424" s="19"/>
      <c r="Q424" s="19"/>
      <c r="R424" s="19"/>
      <c r="S424" s="19"/>
      <c r="T424" s="19"/>
      <c r="U424" s="19"/>
      <c r="V424" s="59"/>
      <c r="W424" s="20"/>
      <c r="X424" s="43"/>
    </row>
    <row r="425" spans="1:24" ht="15.75" hidden="1" customHeight="1" x14ac:dyDescent="0.25">
      <c r="A425" s="16"/>
      <c r="B425" s="16"/>
      <c r="C425" s="16"/>
      <c r="D425" s="40"/>
      <c r="E425" s="17"/>
      <c r="F425" s="21"/>
      <c r="G425" s="16"/>
      <c r="H425" s="16"/>
      <c r="I425" s="22"/>
      <c r="J425" s="22"/>
      <c r="K425" s="16"/>
      <c r="L425" s="16"/>
      <c r="M425" s="16"/>
      <c r="N425" s="19"/>
      <c r="O425" s="19"/>
      <c r="P425" s="19"/>
      <c r="Q425" s="19"/>
      <c r="R425" s="19"/>
      <c r="S425" s="19"/>
      <c r="T425" s="19"/>
      <c r="U425" s="19"/>
      <c r="V425" s="59"/>
      <c r="W425" s="20"/>
      <c r="X425" s="43"/>
    </row>
    <row r="426" spans="1:24" ht="15.75" hidden="1" customHeight="1" x14ac:dyDescent="0.25">
      <c r="A426" s="16"/>
      <c r="B426" s="16"/>
      <c r="C426" s="16"/>
      <c r="D426" s="40"/>
      <c r="E426" s="17"/>
      <c r="F426" s="21"/>
      <c r="G426" s="16"/>
      <c r="H426" s="16"/>
      <c r="I426" s="22"/>
      <c r="J426" s="22"/>
      <c r="K426" s="16"/>
      <c r="L426" s="16"/>
      <c r="M426" s="16"/>
      <c r="N426" s="19"/>
      <c r="O426" s="19"/>
      <c r="P426" s="19"/>
      <c r="Q426" s="19"/>
      <c r="R426" s="19"/>
      <c r="S426" s="19"/>
      <c r="T426" s="19"/>
      <c r="U426" s="19"/>
      <c r="V426" s="59"/>
      <c r="W426" s="20"/>
      <c r="X426" s="43"/>
    </row>
    <row r="427" spans="1:24" ht="15.75" hidden="1" customHeight="1" x14ac:dyDescent="0.25">
      <c r="A427" s="16"/>
      <c r="B427" s="16"/>
      <c r="C427" s="16"/>
      <c r="D427" s="40"/>
      <c r="E427" s="17"/>
      <c r="F427" s="21"/>
      <c r="G427" s="16"/>
      <c r="H427" s="16"/>
      <c r="I427" s="22"/>
      <c r="J427" s="22"/>
      <c r="K427" s="16"/>
      <c r="L427" s="16"/>
      <c r="M427" s="16"/>
      <c r="N427" s="19"/>
      <c r="O427" s="19"/>
      <c r="P427" s="19"/>
      <c r="Q427" s="19"/>
      <c r="R427" s="19"/>
      <c r="S427" s="19"/>
      <c r="T427" s="19"/>
      <c r="U427" s="19"/>
      <c r="V427" s="59"/>
      <c r="W427" s="20"/>
      <c r="X427" s="43"/>
    </row>
    <row r="428" spans="1:24" ht="15.75" hidden="1" customHeight="1" x14ac:dyDescent="0.25">
      <c r="A428" s="16"/>
      <c r="B428" s="16"/>
      <c r="C428" s="16"/>
      <c r="D428" s="40"/>
      <c r="E428" s="17"/>
      <c r="F428" s="21"/>
      <c r="G428" s="16"/>
      <c r="H428" s="16"/>
      <c r="I428" s="22"/>
      <c r="J428" s="22"/>
      <c r="K428" s="16"/>
      <c r="L428" s="16"/>
      <c r="M428" s="16"/>
      <c r="N428" s="19"/>
      <c r="O428" s="19"/>
      <c r="P428" s="19"/>
      <c r="Q428" s="19"/>
      <c r="R428" s="19"/>
      <c r="S428" s="19"/>
      <c r="T428" s="19"/>
      <c r="U428" s="19"/>
      <c r="V428" s="59"/>
      <c r="W428" s="20"/>
      <c r="X428" s="43"/>
    </row>
    <row r="429" spans="1:24" ht="15.75" hidden="1" customHeight="1" x14ac:dyDescent="0.25">
      <c r="A429" s="16"/>
      <c r="B429" s="16"/>
      <c r="C429" s="16"/>
      <c r="D429" s="40"/>
      <c r="E429" s="17"/>
      <c r="F429" s="21"/>
      <c r="G429" s="16"/>
      <c r="H429" s="16"/>
      <c r="I429" s="22"/>
      <c r="J429" s="22"/>
      <c r="K429" s="16"/>
      <c r="L429" s="16"/>
      <c r="M429" s="16"/>
      <c r="N429" s="19"/>
      <c r="O429" s="19"/>
      <c r="P429" s="19"/>
      <c r="Q429" s="19"/>
      <c r="R429" s="19"/>
      <c r="S429" s="19"/>
      <c r="T429" s="19"/>
      <c r="U429" s="19"/>
      <c r="V429" s="59"/>
      <c r="W429" s="20"/>
      <c r="X429" s="43"/>
    </row>
    <row r="430" spans="1:24" ht="15.75" hidden="1" customHeight="1" x14ac:dyDescent="0.25">
      <c r="A430" s="16"/>
      <c r="B430" s="16"/>
      <c r="C430" s="16"/>
      <c r="D430" s="40"/>
      <c r="E430" s="17"/>
      <c r="F430" s="21"/>
      <c r="G430" s="16"/>
      <c r="H430" s="16"/>
      <c r="I430" s="22"/>
      <c r="J430" s="22"/>
      <c r="K430" s="16"/>
      <c r="L430" s="16"/>
      <c r="M430" s="16"/>
      <c r="N430" s="19"/>
      <c r="O430" s="19"/>
      <c r="P430" s="19"/>
      <c r="Q430" s="19"/>
      <c r="R430" s="19"/>
      <c r="S430" s="19"/>
      <c r="T430" s="19"/>
      <c r="U430" s="19"/>
      <c r="V430" s="59"/>
      <c r="W430" s="20"/>
      <c r="X430" s="43"/>
    </row>
    <row r="431" spans="1:24" ht="15.75" hidden="1" customHeight="1" x14ac:dyDescent="0.25">
      <c r="A431" s="16"/>
      <c r="B431" s="16"/>
      <c r="C431" s="16"/>
      <c r="D431" s="40"/>
      <c r="E431" s="17"/>
      <c r="F431" s="21"/>
      <c r="G431" s="16"/>
      <c r="H431" s="16"/>
      <c r="I431" s="22"/>
      <c r="J431" s="22"/>
      <c r="K431" s="16"/>
      <c r="L431" s="16"/>
      <c r="M431" s="16"/>
      <c r="N431" s="19"/>
      <c r="O431" s="19"/>
      <c r="P431" s="19"/>
      <c r="Q431" s="19"/>
      <c r="R431" s="19"/>
      <c r="S431" s="19"/>
      <c r="T431" s="19"/>
      <c r="U431" s="19"/>
      <c r="V431" s="59"/>
      <c r="W431" s="20"/>
      <c r="X431" s="43"/>
    </row>
    <row r="432" spans="1:24" ht="15.75" hidden="1" customHeight="1" x14ac:dyDescent="0.25">
      <c r="A432" s="16"/>
      <c r="B432" s="16"/>
      <c r="C432" s="16"/>
      <c r="D432" s="40"/>
      <c r="E432" s="17"/>
      <c r="F432" s="21"/>
      <c r="G432" s="16"/>
      <c r="H432" s="16"/>
      <c r="I432" s="22"/>
      <c r="J432" s="22"/>
      <c r="K432" s="16"/>
      <c r="L432" s="16"/>
      <c r="M432" s="16"/>
      <c r="N432" s="19"/>
      <c r="O432" s="19"/>
      <c r="P432" s="19"/>
      <c r="Q432" s="19"/>
      <c r="R432" s="19"/>
      <c r="S432" s="19"/>
      <c r="T432" s="19"/>
      <c r="U432" s="19"/>
      <c r="V432" s="59"/>
      <c r="W432" s="20"/>
      <c r="X432" s="43"/>
    </row>
    <row r="433" spans="1:24" ht="15.75" hidden="1" customHeight="1" x14ac:dyDescent="0.25">
      <c r="A433" s="16"/>
      <c r="B433" s="16"/>
      <c r="C433" s="16"/>
      <c r="D433" s="40"/>
      <c r="E433" s="17"/>
      <c r="F433" s="21"/>
      <c r="G433" s="16"/>
      <c r="H433" s="16"/>
      <c r="I433" s="22"/>
      <c r="J433" s="22"/>
      <c r="K433" s="16"/>
      <c r="L433" s="16"/>
      <c r="M433" s="16"/>
      <c r="N433" s="19"/>
      <c r="O433" s="19"/>
      <c r="P433" s="19"/>
      <c r="Q433" s="19"/>
      <c r="R433" s="19"/>
      <c r="S433" s="19"/>
      <c r="T433" s="19"/>
      <c r="U433" s="19"/>
      <c r="V433" s="59"/>
      <c r="W433" s="20"/>
      <c r="X433" s="43"/>
    </row>
    <row r="434" spans="1:24" ht="15.75" hidden="1" customHeight="1" x14ac:dyDescent="0.25">
      <c r="A434" s="16"/>
      <c r="B434" s="16"/>
      <c r="C434" s="16"/>
      <c r="D434" s="40"/>
      <c r="E434" s="17"/>
      <c r="F434" s="21"/>
      <c r="G434" s="16"/>
      <c r="H434" s="16"/>
      <c r="I434" s="22"/>
      <c r="J434" s="22"/>
      <c r="K434" s="16"/>
      <c r="L434" s="16"/>
      <c r="M434" s="16"/>
      <c r="N434" s="19"/>
      <c r="O434" s="19"/>
      <c r="P434" s="19"/>
      <c r="Q434" s="19"/>
      <c r="R434" s="19"/>
      <c r="S434" s="19"/>
      <c r="T434" s="19"/>
      <c r="U434" s="19"/>
      <c r="V434" s="59"/>
      <c r="W434" s="20"/>
      <c r="X434" s="43"/>
    </row>
    <row r="435" spans="1:24" ht="15.75" hidden="1" customHeight="1" x14ac:dyDescent="0.25">
      <c r="A435" s="16"/>
      <c r="B435" s="16"/>
      <c r="C435" s="16"/>
      <c r="D435" s="40"/>
      <c r="E435" s="17"/>
      <c r="F435" s="21"/>
      <c r="G435" s="16"/>
      <c r="H435" s="16"/>
      <c r="I435" s="22"/>
      <c r="J435" s="22"/>
      <c r="K435" s="16"/>
      <c r="L435" s="16"/>
      <c r="M435" s="16"/>
      <c r="N435" s="19"/>
      <c r="O435" s="19"/>
      <c r="P435" s="19"/>
      <c r="Q435" s="19"/>
      <c r="R435" s="19"/>
      <c r="S435" s="19"/>
      <c r="T435" s="19"/>
      <c r="U435" s="19"/>
      <c r="V435" s="59"/>
      <c r="W435" s="20"/>
      <c r="X435" s="43"/>
    </row>
    <row r="436" spans="1:24" ht="15.75" hidden="1" customHeight="1" x14ac:dyDescent="0.25">
      <c r="A436" s="16"/>
      <c r="B436" s="16"/>
      <c r="C436" s="16"/>
      <c r="D436" s="40"/>
      <c r="E436" s="17"/>
      <c r="F436" s="21"/>
      <c r="G436" s="16"/>
      <c r="H436" s="16"/>
      <c r="I436" s="22"/>
      <c r="J436" s="22"/>
      <c r="K436" s="16"/>
      <c r="L436" s="16"/>
      <c r="M436" s="16"/>
      <c r="N436" s="19"/>
      <c r="O436" s="19"/>
      <c r="P436" s="19"/>
      <c r="Q436" s="19"/>
      <c r="R436" s="19"/>
      <c r="S436" s="19"/>
      <c r="T436" s="19"/>
      <c r="U436" s="19"/>
      <c r="V436" s="59"/>
      <c r="W436" s="20"/>
      <c r="X436" s="43"/>
    </row>
    <row r="437" spans="1:24" ht="15.75" hidden="1" customHeight="1" x14ac:dyDescent="0.25">
      <c r="A437" s="16"/>
      <c r="B437" s="16"/>
      <c r="C437" s="16"/>
      <c r="D437" s="40"/>
      <c r="E437" s="17"/>
      <c r="F437" s="21"/>
      <c r="G437" s="16"/>
      <c r="H437" s="16"/>
      <c r="I437" s="22"/>
      <c r="J437" s="22"/>
      <c r="K437" s="16"/>
      <c r="L437" s="16"/>
      <c r="M437" s="16"/>
      <c r="N437" s="19"/>
      <c r="O437" s="19"/>
      <c r="P437" s="19"/>
      <c r="Q437" s="19"/>
      <c r="R437" s="19"/>
      <c r="S437" s="19"/>
      <c r="T437" s="19"/>
      <c r="U437" s="19"/>
      <c r="V437" s="59"/>
      <c r="W437" s="20"/>
      <c r="X437" s="43"/>
    </row>
    <row r="438" spans="1:24" ht="15.75" hidden="1" customHeight="1" x14ac:dyDescent="0.25">
      <c r="A438" s="16"/>
      <c r="B438" s="16"/>
      <c r="C438" s="16"/>
      <c r="D438" s="40"/>
      <c r="E438" s="17"/>
      <c r="F438" s="21"/>
      <c r="G438" s="16"/>
      <c r="H438" s="16"/>
      <c r="I438" s="22"/>
      <c r="J438" s="22"/>
      <c r="K438" s="16"/>
      <c r="L438" s="16"/>
      <c r="M438" s="16"/>
      <c r="N438" s="19"/>
      <c r="O438" s="19"/>
      <c r="P438" s="19"/>
      <c r="Q438" s="19"/>
      <c r="R438" s="19"/>
      <c r="S438" s="19"/>
      <c r="T438" s="19"/>
      <c r="U438" s="19"/>
      <c r="V438" s="59"/>
      <c r="W438" s="20"/>
      <c r="X438" s="43"/>
    </row>
    <row r="439" spans="1:24" ht="15.75" hidden="1" customHeight="1" x14ac:dyDescent="0.25">
      <c r="A439" s="16"/>
      <c r="B439" s="16"/>
      <c r="C439" s="16"/>
      <c r="D439" s="40"/>
      <c r="E439" s="17"/>
      <c r="F439" s="21"/>
      <c r="G439" s="16"/>
      <c r="H439" s="16"/>
      <c r="I439" s="22"/>
      <c r="J439" s="22"/>
      <c r="K439" s="16"/>
      <c r="L439" s="16"/>
      <c r="M439" s="16"/>
      <c r="N439" s="19"/>
      <c r="O439" s="19"/>
      <c r="P439" s="19"/>
      <c r="Q439" s="19"/>
      <c r="R439" s="19"/>
      <c r="S439" s="19"/>
      <c r="T439" s="19"/>
      <c r="U439" s="19"/>
      <c r="V439" s="59"/>
      <c r="W439" s="20"/>
      <c r="X439" s="43"/>
    </row>
    <row r="440" spans="1:24" ht="15.75" hidden="1" customHeight="1" x14ac:dyDescent="0.25">
      <c r="A440" s="16"/>
      <c r="B440" s="16"/>
      <c r="C440" s="16"/>
      <c r="D440" s="40"/>
      <c r="E440" s="17"/>
      <c r="F440" s="21"/>
      <c r="G440" s="16"/>
      <c r="H440" s="16"/>
      <c r="I440" s="22"/>
      <c r="J440" s="22"/>
      <c r="K440" s="16"/>
      <c r="L440" s="16"/>
      <c r="M440" s="16"/>
      <c r="N440" s="19"/>
      <c r="O440" s="19"/>
      <c r="P440" s="19"/>
      <c r="Q440" s="19"/>
      <c r="R440" s="19"/>
      <c r="S440" s="19"/>
      <c r="T440" s="19"/>
      <c r="U440" s="19"/>
      <c r="V440" s="59"/>
      <c r="W440" s="20"/>
      <c r="X440" s="43"/>
    </row>
    <row r="441" spans="1:24" ht="15.75" hidden="1" customHeight="1" x14ac:dyDescent="0.25">
      <c r="A441" s="16"/>
      <c r="B441" s="16"/>
      <c r="C441" s="16"/>
      <c r="D441" s="40"/>
      <c r="E441" s="17"/>
      <c r="F441" s="21"/>
      <c r="G441" s="16"/>
      <c r="H441" s="16"/>
      <c r="I441" s="22"/>
      <c r="J441" s="22"/>
      <c r="K441" s="16"/>
      <c r="L441" s="16"/>
      <c r="M441" s="16"/>
      <c r="N441" s="19"/>
      <c r="O441" s="19"/>
      <c r="P441" s="19"/>
      <c r="Q441" s="19"/>
      <c r="R441" s="19"/>
      <c r="S441" s="19"/>
      <c r="T441" s="19"/>
      <c r="U441" s="19"/>
      <c r="V441" s="59"/>
      <c r="W441" s="20"/>
      <c r="X441" s="43"/>
    </row>
    <row r="442" spans="1:24" ht="15.75" hidden="1" customHeight="1" x14ac:dyDescent="0.25">
      <c r="A442" s="16"/>
      <c r="B442" s="16"/>
      <c r="C442" s="16"/>
      <c r="D442" s="40"/>
      <c r="E442" s="17"/>
      <c r="F442" s="21"/>
      <c r="G442" s="16"/>
      <c r="H442" s="16"/>
      <c r="I442" s="22"/>
      <c r="J442" s="22"/>
      <c r="K442" s="16"/>
      <c r="L442" s="16"/>
      <c r="M442" s="16"/>
      <c r="N442" s="19"/>
      <c r="O442" s="19"/>
      <c r="P442" s="19"/>
      <c r="Q442" s="19"/>
      <c r="R442" s="19"/>
      <c r="S442" s="19"/>
      <c r="T442" s="19"/>
      <c r="U442" s="19"/>
      <c r="V442" s="59"/>
      <c r="W442" s="20"/>
      <c r="X442" s="43"/>
    </row>
    <row r="443" spans="1:24" ht="15.75" hidden="1" customHeight="1" x14ac:dyDescent="0.25">
      <c r="A443" s="16"/>
      <c r="B443" s="16"/>
      <c r="C443" s="16"/>
      <c r="D443" s="40"/>
      <c r="E443" s="17"/>
      <c r="F443" s="21"/>
      <c r="G443" s="16"/>
      <c r="H443" s="16"/>
      <c r="I443" s="22"/>
      <c r="J443" s="22"/>
      <c r="K443" s="16"/>
      <c r="L443" s="16"/>
      <c r="M443" s="16"/>
      <c r="N443" s="19"/>
      <c r="O443" s="19"/>
      <c r="P443" s="19"/>
      <c r="Q443" s="19"/>
      <c r="R443" s="19"/>
      <c r="S443" s="19"/>
      <c r="T443" s="19"/>
      <c r="U443" s="19"/>
      <c r="V443" s="59"/>
      <c r="W443" s="20"/>
      <c r="X443" s="43"/>
    </row>
    <row r="444" spans="1:24" ht="15.75" hidden="1" customHeight="1" x14ac:dyDescent="0.25">
      <c r="A444" s="16"/>
      <c r="B444" s="16"/>
      <c r="C444" s="16"/>
      <c r="D444" s="40"/>
      <c r="E444" s="17"/>
      <c r="F444" s="21"/>
      <c r="G444" s="16"/>
      <c r="H444" s="16"/>
      <c r="I444" s="22"/>
      <c r="J444" s="22"/>
      <c r="K444" s="16"/>
      <c r="L444" s="16"/>
      <c r="M444" s="16"/>
      <c r="N444" s="19"/>
      <c r="O444" s="19"/>
      <c r="P444" s="19"/>
      <c r="Q444" s="19"/>
      <c r="R444" s="19"/>
      <c r="S444" s="19"/>
      <c r="T444" s="19"/>
      <c r="U444" s="19"/>
      <c r="V444" s="59"/>
      <c r="W444" s="20"/>
      <c r="X444" s="43"/>
    </row>
    <row r="445" spans="1:24" ht="15.75" hidden="1" customHeight="1" x14ac:dyDescent="0.25">
      <c r="A445" s="16"/>
      <c r="B445" s="16"/>
      <c r="C445" s="16"/>
      <c r="D445" s="40"/>
      <c r="E445" s="17"/>
      <c r="F445" s="21"/>
      <c r="G445" s="16"/>
      <c r="H445" s="16"/>
      <c r="I445" s="22"/>
      <c r="J445" s="22"/>
      <c r="K445" s="16"/>
      <c r="L445" s="16"/>
      <c r="M445" s="16"/>
      <c r="N445" s="19"/>
      <c r="O445" s="19"/>
      <c r="P445" s="19"/>
      <c r="Q445" s="19"/>
      <c r="R445" s="19"/>
      <c r="S445" s="19"/>
      <c r="T445" s="19"/>
      <c r="U445" s="19"/>
      <c r="V445" s="59"/>
      <c r="W445" s="20"/>
      <c r="X445" s="43"/>
    </row>
    <row r="446" spans="1:24" ht="15.75" hidden="1" customHeight="1" x14ac:dyDescent="0.25">
      <c r="A446" s="16"/>
      <c r="B446" s="16"/>
      <c r="C446" s="16"/>
      <c r="D446" s="40"/>
      <c r="E446" s="17"/>
      <c r="F446" s="21"/>
      <c r="G446" s="16"/>
      <c r="H446" s="16"/>
      <c r="I446" s="22"/>
      <c r="J446" s="22"/>
      <c r="K446" s="16"/>
      <c r="L446" s="16"/>
      <c r="M446" s="16"/>
      <c r="N446" s="19"/>
      <c r="O446" s="19"/>
      <c r="P446" s="19"/>
      <c r="Q446" s="19"/>
      <c r="R446" s="19"/>
      <c r="S446" s="19"/>
      <c r="T446" s="19"/>
      <c r="U446" s="19"/>
      <c r="V446" s="59"/>
      <c r="W446" s="20"/>
      <c r="X446" s="43"/>
    </row>
    <row r="447" spans="1:24" ht="15.75" hidden="1" customHeight="1" x14ac:dyDescent="0.25">
      <c r="A447" s="16"/>
      <c r="B447" s="16"/>
      <c r="C447" s="16"/>
      <c r="D447" s="40"/>
      <c r="E447" s="17"/>
      <c r="F447" s="21"/>
      <c r="G447" s="16"/>
      <c r="H447" s="16"/>
      <c r="I447" s="22"/>
      <c r="J447" s="22"/>
      <c r="K447" s="16"/>
      <c r="L447" s="16"/>
      <c r="M447" s="16"/>
      <c r="N447" s="19"/>
      <c r="O447" s="19"/>
      <c r="P447" s="19"/>
      <c r="Q447" s="19"/>
      <c r="R447" s="19"/>
      <c r="S447" s="19"/>
      <c r="T447" s="19"/>
      <c r="U447" s="19"/>
      <c r="V447" s="59"/>
      <c r="W447" s="20"/>
      <c r="X447" s="43"/>
    </row>
    <row r="448" spans="1:24" ht="15.75" hidden="1" customHeight="1" x14ac:dyDescent="0.25">
      <c r="A448" s="16"/>
      <c r="B448" s="16"/>
      <c r="C448" s="16"/>
      <c r="D448" s="40"/>
      <c r="E448" s="17"/>
      <c r="F448" s="21"/>
      <c r="G448" s="16"/>
      <c r="H448" s="16"/>
      <c r="I448" s="22"/>
      <c r="J448" s="22"/>
      <c r="K448" s="16"/>
      <c r="L448" s="16"/>
      <c r="M448" s="16"/>
      <c r="N448" s="19"/>
      <c r="O448" s="19"/>
      <c r="P448" s="19"/>
      <c r="Q448" s="19"/>
      <c r="R448" s="19"/>
      <c r="S448" s="19"/>
      <c r="T448" s="19"/>
      <c r="U448" s="19"/>
      <c r="V448" s="59"/>
      <c r="W448" s="20"/>
      <c r="X448" s="43"/>
    </row>
    <row r="449" spans="1:24" ht="15.75" hidden="1" customHeight="1" x14ac:dyDescent="0.25">
      <c r="A449" s="16"/>
      <c r="B449" s="16"/>
      <c r="C449" s="16"/>
      <c r="D449" s="40"/>
      <c r="E449" s="17"/>
      <c r="F449" s="21"/>
      <c r="G449" s="16"/>
      <c r="H449" s="16"/>
      <c r="I449" s="22"/>
      <c r="J449" s="22"/>
      <c r="K449" s="16"/>
      <c r="L449" s="16"/>
      <c r="M449" s="16"/>
      <c r="N449" s="19"/>
      <c r="O449" s="19"/>
      <c r="P449" s="19"/>
      <c r="Q449" s="19"/>
      <c r="R449" s="19"/>
      <c r="S449" s="19"/>
      <c r="T449" s="19"/>
      <c r="U449" s="19"/>
      <c r="V449" s="59"/>
      <c r="W449" s="20"/>
      <c r="X449" s="43"/>
    </row>
    <row r="450" spans="1:24" ht="15.75" hidden="1" customHeight="1" x14ac:dyDescent="0.25">
      <c r="A450" s="16"/>
      <c r="B450" s="16"/>
      <c r="C450" s="16"/>
      <c r="D450" s="40"/>
      <c r="E450" s="17"/>
      <c r="F450" s="21"/>
      <c r="G450" s="16"/>
      <c r="H450" s="16"/>
      <c r="I450" s="22"/>
      <c r="J450" s="22"/>
      <c r="K450" s="16"/>
      <c r="L450" s="16"/>
      <c r="M450" s="16"/>
      <c r="N450" s="19"/>
      <c r="O450" s="19"/>
      <c r="P450" s="19"/>
      <c r="Q450" s="19"/>
      <c r="R450" s="19"/>
      <c r="S450" s="19"/>
      <c r="T450" s="19"/>
      <c r="U450" s="19"/>
      <c r="V450" s="59"/>
      <c r="W450" s="20"/>
      <c r="X450" s="43"/>
    </row>
    <row r="451" spans="1:24" ht="15.75" hidden="1" customHeight="1" x14ac:dyDescent="0.25">
      <c r="A451" s="16"/>
      <c r="B451" s="16"/>
      <c r="C451" s="16"/>
      <c r="D451" s="40"/>
      <c r="E451" s="17"/>
      <c r="F451" s="21"/>
      <c r="G451" s="16"/>
      <c r="H451" s="16"/>
      <c r="I451" s="22"/>
      <c r="J451" s="22"/>
      <c r="K451" s="16"/>
      <c r="L451" s="16"/>
      <c r="M451" s="16"/>
      <c r="N451" s="19"/>
      <c r="O451" s="19"/>
      <c r="P451" s="19"/>
      <c r="Q451" s="19"/>
      <c r="R451" s="19"/>
      <c r="S451" s="19"/>
      <c r="T451" s="19"/>
      <c r="U451" s="19"/>
      <c r="V451" s="59"/>
      <c r="W451" s="20"/>
      <c r="X451" s="43"/>
    </row>
    <row r="452" spans="1:24" ht="15.75" hidden="1" customHeight="1" x14ac:dyDescent="0.25">
      <c r="A452" s="16"/>
      <c r="B452" s="16"/>
      <c r="C452" s="16"/>
      <c r="D452" s="40"/>
      <c r="E452" s="17"/>
      <c r="F452" s="21"/>
      <c r="G452" s="16"/>
      <c r="H452" s="16"/>
      <c r="I452" s="22"/>
      <c r="J452" s="22"/>
      <c r="K452" s="16"/>
      <c r="L452" s="16"/>
      <c r="M452" s="16"/>
      <c r="N452" s="19"/>
      <c r="O452" s="19"/>
      <c r="P452" s="19"/>
      <c r="Q452" s="19"/>
      <c r="R452" s="19"/>
      <c r="S452" s="19"/>
      <c r="T452" s="19"/>
      <c r="U452" s="19"/>
      <c r="V452" s="59"/>
      <c r="W452" s="20"/>
      <c r="X452" s="43"/>
    </row>
    <row r="453" spans="1:24" ht="15.75" hidden="1" customHeight="1" x14ac:dyDescent="0.25">
      <c r="A453" s="16"/>
      <c r="B453" s="16"/>
      <c r="C453" s="16"/>
      <c r="D453" s="40"/>
      <c r="E453" s="17"/>
      <c r="F453" s="21"/>
      <c r="G453" s="16"/>
      <c r="H453" s="16"/>
      <c r="I453" s="22"/>
      <c r="J453" s="22"/>
      <c r="K453" s="16"/>
      <c r="L453" s="16"/>
      <c r="M453" s="16"/>
      <c r="N453" s="19"/>
      <c r="O453" s="19"/>
      <c r="P453" s="19"/>
      <c r="Q453" s="19"/>
      <c r="R453" s="19"/>
      <c r="S453" s="19"/>
      <c r="T453" s="19"/>
      <c r="U453" s="19"/>
      <c r="V453" s="59"/>
      <c r="W453" s="20"/>
      <c r="X453" s="43"/>
    </row>
    <row r="454" spans="1:24" ht="15.75" hidden="1" customHeight="1" x14ac:dyDescent="0.25">
      <c r="A454" s="16"/>
      <c r="B454" s="16"/>
      <c r="C454" s="16"/>
      <c r="D454" s="40"/>
      <c r="E454" s="17"/>
      <c r="F454" s="21"/>
      <c r="G454" s="16"/>
      <c r="H454" s="16"/>
      <c r="I454" s="22"/>
      <c r="J454" s="22"/>
      <c r="K454" s="16"/>
      <c r="L454" s="16"/>
      <c r="M454" s="16"/>
      <c r="N454" s="19"/>
      <c r="O454" s="19"/>
      <c r="P454" s="19"/>
      <c r="Q454" s="19"/>
      <c r="R454" s="19"/>
      <c r="S454" s="19"/>
      <c r="T454" s="19"/>
      <c r="U454" s="19"/>
      <c r="V454" s="59"/>
      <c r="W454" s="20"/>
      <c r="X454" s="43"/>
    </row>
    <row r="455" spans="1:24" ht="15.75" hidden="1" customHeight="1" x14ac:dyDescent="0.25">
      <c r="A455" s="16"/>
      <c r="B455" s="16"/>
      <c r="C455" s="16"/>
      <c r="D455" s="40"/>
      <c r="E455" s="17"/>
      <c r="F455" s="21"/>
      <c r="G455" s="16"/>
      <c r="H455" s="16"/>
      <c r="I455" s="22"/>
      <c r="J455" s="22"/>
      <c r="K455" s="16"/>
      <c r="L455" s="16"/>
      <c r="M455" s="16"/>
      <c r="N455" s="19"/>
      <c r="O455" s="19"/>
      <c r="P455" s="19"/>
      <c r="Q455" s="19"/>
      <c r="R455" s="19"/>
      <c r="S455" s="19"/>
      <c r="T455" s="19"/>
      <c r="U455" s="19"/>
      <c r="V455" s="59"/>
      <c r="W455" s="20"/>
      <c r="X455" s="43"/>
    </row>
    <row r="456" spans="1:24" ht="15.75" hidden="1" customHeight="1" x14ac:dyDescent="0.25">
      <c r="A456" s="16"/>
      <c r="B456" s="16"/>
      <c r="C456" s="16"/>
      <c r="D456" s="40"/>
      <c r="E456" s="17"/>
      <c r="F456" s="21"/>
      <c r="G456" s="16"/>
      <c r="H456" s="16"/>
      <c r="I456" s="22"/>
      <c r="J456" s="22"/>
      <c r="K456" s="16"/>
      <c r="L456" s="16"/>
      <c r="M456" s="16"/>
      <c r="N456" s="19"/>
      <c r="O456" s="19"/>
      <c r="P456" s="19"/>
      <c r="Q456" s="19"/>
      <c r="R456" s="19"/>
      <c r="S456" s="19"/>
      <c r="T456" s="19"/>
      <c r="U456" s="19"/>
      <c r="V456" s="59"/>
      <c r="W456" s="20"/>
      <c r="X456" s="43"/>
    </row>
    <row r="457" spans="1:24" ht="15.75" hidden="1" customHeight="1" x14ac:dyDescent="0.25">
      <c r="A457" s="16"/>
      <c r="B457" s="16"/>
      <c r="C457" s="16"/>
      <c r="D457" s="40"/>
      <c r="E457" s="17"/>
      <c r="F457" s="21"/>
      <c r="G457" s="16"/>
      <c r="H457" s="16"/>
      <c r="I457" s="22"/>
      <c r="J457" s="22"/>
      <c r="K457" s="16"/>
      <c r="L457" s="16"/>
      <c r="M457" s="16"/>
      <c r="N457" s="19"/>
      <c r="O457" s="19"/>
      <c r="P457" s="19"/>
      <c r="Q457" s="19"/>
      <c r="R457" s="19"/>
      <c r="S457" s="19"/>
      <c r="T457" s="19"/>
      <c r="U457" s="19"/>
      <c r="V457" s="59"/>
      <c r="W457" s="20"/>
      <c r="X457" s="43"/>
    </row>
    <row r="458" spans="1:24" ht="15.75" hidden="1" customHeight="1" x14ac:dyDescent="0.25">
      <c r="A458" s="16"/>
      <c r="B458" s="16"/>
      <c r="C458" s="16"/>
      <c r="D458" s="40"/>
      <c r="E458" s="17"/>
      <c r="F458" s="21"/>
      <c r="G458" s="16"/>
      <c r="H458" s="16"/>
      <c r="I458" s="22"/>
      <c r="J458" s="22"/>
      <c r="K458" s="16"/>
      <c r="L458" s="16"/>
      <c r="M458" s="16"/>
      <c r="N458" s="19"/>
      <c r="O458" s="19"/>
      <c r="P458" s="19"/>
      <c r="Q458" s="19"/>
      <c r="R458" s="19"/>
      <c r="S458" s="19"/>
      <c r="T458" s="19"/>
      <c r="U458" s="19"/>
      <c r="V458" s="59"/>
      <c r="W458" s="20"/>
      <c r="X458" s="43"/>
    </row>
    <row r="459" spans="1:24" ht="15.75" hidden="1" customHeight="1" x14ac:dyDescent="0.25">
      <c r="A459" s="16"/>
      <c r="B459" s="16"/>
      <c r="C459" s="16"/>
      <c r="D459" s="40"/>
      <c r="E459" s="17"/>
      <c r="F459" s="21"/>
      <c r="G459" s="16"/>
      <c r="H459" s="16"/>
      <c r="I459" s="22"/>
      <c r="J459" s="22"/>
      <c r="K459" s="16"/>
      <c r="L459" s="16"/>
      <c r="M459" s="16"/>
      <c r="N459" s="19"/>
      <c r="O459" s="19"/>
      <c r="P459" s="19"/>
      <c r="Q459" s="19"/>
      <c r="R459" s="19"/>
      <c r="S459" s="19"/>
      <c r="T459" s="19"/>
      <c r="U459" s="19"/>
      <c r="V459" s="59"/>
      <c r="W459" s="20"/>
      <c r="X459" s="43"/>
    </row>
    <row r="460" spans="1:24" ht="15.75" hidden="1" customHeight="1" x14ac:dyDescent="0.25">
      <c r="A460" s="16"/>
      <c r="B460" s="16"/>
      <c r="C460" s="16"/>
      <c r="D460" s="40"/>
      <c r="E460" s="17"/>
      <c r="F460" s="21"/>
      <c r="G460" s="16"/>
      <c r="H460" s="16"/>
      <c r="I460" s="22"/>
      <c r="J460" s="22"/>
      <c r="K460" s="16"/>
      <c r="L460" s="16"/>
      <c r="M460" s="16"/>
      <c r="N460" s="19"/>
      <c r="O460" s="19"/>
      <c r="P460" s="19"/>
      <c r="Q460" s="19"/>
      <c r="R460" s="19"/>
      <c r="S460" s="19"/>
      <c r="T460" s="19"/>
      <c r="U460" s="19"/>
      <c r="V460" s="59"/>
      <c r="W460" s="20"/>
      <c r="X460" s="43"/>
    </row>
    <row r="461" spans="1:24" ht="15.75" hidden="1" customHeight="1" x14ac:dyDescent="0.25">
      <c r="A461" s="16"/>
      <c r="B461" s="16"/>
      <c r="C461" s="16"/>
      <c r="D461" s="40"/>
      <c r="E461" s="17"/>
      <c r="F461" s="21"/>
      <c r="G461" s="16"/>
      <c r="H461" s="16"/>
      <c r="I461" s="22"/>
      <c r="J461" s="22"/>
      <c r="K461" s="16"/>
      <c r="L461" s="16"/>
      <c r="M461" s="16"/>
      <c r="N461" s="19"/>
      <c r="O461" s="19"/>
      <c r="P461" s="19"/>
      <c r="Q461" s="19"/>
      <c r="R461" s="19"/>
      <c r="S461" s="19"/>
      <c r="T461" s="19"/>
      <c r="U461" s="19"/>
      <c r="V461" s="59"/>
      <c r="W461" s="20"/>
      <c r="X461" s="43"/>
    </row>
    <row r="462" spans="1:24" ht="15.75" hidden="1" customHeight="1" x14ac:dyDescent="0.25">
      <c r="A462" s="16"/>
      <c r="B462" s="16"/>
      <c r="C462" s="16"/>
      <c r="D462" s="40"/>
      <c r="E462" s="17"/>
      <c r="F462" s="21"/>
      <c r="G462" s="16"/>
      <c r="H462" s="16"/>
      <c r="I462" s="22"/>
      <c r="J462" s="22"/>
      <c r="K462" s="16"/>
      <c r="L462" s="16"/>
      <c r="M462" s="16"/>
      <c r="N462" s="19"/>
      <c r="O462" s="19"/>
      <c r="P462" s="19"/>
      <c r="Q462" s="19"/>
      <c r="R462" s="19"/>
      <c r="S462" s="19"/>
      <c r="T462" s="19"/>
      <c r="U462" s="19"/>
      <c r="V462" s="59"/>
      <c r="W462" s="20"/>
      <c r="X462" s="43"/>
    </row>
    <row r="463" spans="1:24" ht="15.75" hidden="1" customHeight="1" x14ac:dyDescent="0.25">
      <c r="A463" s="16"/>
      <c r="B463" s="16"/>
      <c r="C463" s="16"/>
      <c r="D463" s="40"/>
      <c r="E463" s="17"/>
      <c r="F463" s="21"/>
      <c r="G463" s="16"/>
      <c r="H463" s="16"/>
      <c r="I463" s="22"/>
      <c r="J463" s="22"/>
      <c r="K463" s="16"/>
      <c r="L463" s="16"/>
      <c r="M463" s="16"/>
      <c r="N463" s="19"/>
      <c r="O463" s="19"/>
      <c r="P463" s="19"/>
      <c r="Q463" s="19"/>
      <c r="R463" s="19"/>
      <c r="S463" s="19"/>
      <c r="T463" s="19"/>
      <c r="U463" s="19"/>
      <c r="V463" s="59"/>
      <c r="W463" s="20"/>
      <c r="X463" s="43"/>
    </row>
    <row r="464" spans="1:24" ht="15.75" hidden="1" customHeight="1" x14ac:dyDescent="0.25">
      <c r="A464" s="16"/>
      <c r="B464" s="16"/>
      <c r="C464" s="16"/>
      <c r="D464" s="40"/>
      <c r="E464" s="17"/>
      <c r="F464" s="21"/>
      <c r="G464" s="16"/>
      <c r="H464" s="16"/>
      <c r="I464" s="22"/>
      <c r="J464" s="22"/>
      <c r="K464" s="16"/>
      <c r="L464" s="16"/>
      <c r="M464" s="16"/>
      <c r="N464" s="19"/>
      <c r="O464" s="19"/>
      <c r="P464" s="19"/>
      <c r="Q464" s="19"/>
      <c r="R464" s="19"/>
      <c r="S464" s="19"/>
      <c r="T464" s="19"/>
      <c r="U464" s="19"/>
      <c r="V464" s="59"/>
      <c r="W464" s="20"/>
      <c r="X464" s="43"/>
    </row>
    <row r="465" spans="1:24" ht="15.75" hidden="1" customHeight="1" x14ac:dyDescent="0.25">
      <c r="A465" s="16"/>
      <c r="B465" s="16"/>
      <c r="C465" s="16"/>
      <c r="D465" s="40"/>
      <c r="E465" s="17"/>
      <c r="F465" s="21"/>
      <c r="G465" s="16"/>
      <c r="H465" s="16"/>
      <c r="I465" s="22"/>
      <c r="J465" s="22"/>
      <c r="K465" s="16"/>
      <c r="L465" s="16"/>
      <c r="M465" s="16"/>
      <c r="N465" s="19"/>
      <c r="O465" s="19"/>
      <c r="P465" s="19"/>
      <c r="Q465" s="19"/>
      <c r="R465" s="19"/>
      <c r="S465" s="19"/>
      <c r="T465" s="19"/>
      <c r="U465" s="19"/>
      <c r="V465" s="59"/>
      <c r="W465" s="20"/>
      <c r="X465" s="43"/>
    </row>
    <row r="466" spans="1:24" ht="15.75" hidden="1" customHeight="1" x14ac:dyDescent="0.25">
      <c r="A466" s="16"/>
      <c r="B466" s="16"/>
      <c r="C466" s="16"/>
      <c r="D466" s="40"/>
      <c r="E466" s="17"/>
      <c r="F466" s="21"/>
      <c r="G466" s="16"/>
      <c r="H466" s="16"/>
      <c r="I466" s="22"/>
      <c r="J466" s="22"/>
      <c r="K466" s="16"/>
      <c r="L466" s="16"/>
      <c r="M466" s="16"/>
      <c r="N466" s="19"/>
      <c r="O466" s="19"/>
      <c r="P466" s="19"/>
      <c r="Q466" s="19"/>
      <c r="R466" s="19"/>
      <c r="S466" s="19"/>
      <c r="T466" s="19"/>
      <c r="U466" s="19"/>
      <c r="V466" s="59"/>
      <c r="W466" s="20"/>
      <c r="X466" s="43"/>
    </row>
    <row r="467" spans="1:24" ht="15.75" hidden="1" customHeight="1" x14ac:dyDescent="0.25">
      <c r="A467" s="16"/>
      <c r="B467" s="16"/>
      <c r="C467" s="16"/>
      <c r="D467" s="40"/>
      <c r="E467" s="17"/>
      <c r="F467" s="21"/>
      <c r="G467" s="16"/>
      <c r="H467" s="16"/>
      <c r="I467" s="22"/>
      <c r="J467" s="22"/>
      <c r="K467" s="16"/>
      <c r="L467" s="16"/>
      <c r="M467" s="16"/>
      <c r="N467" s="19"/>
      <c r="O467" s="19"/>
      <c r="P467" s="19"/>
      <c r="Q467" s="19"/>
      <c r="R467" s="19"/>
      <c r="S467" s="19"/>
      <c r="T467" s="19"/>
      <c r="U467" s="19"/>
      <c r="V467" s="59"/>
      <c r="W467" s="20"/>
      <c r="X467" s="43"/>
    </row>
    <row r="468" spans="1:24" ht="15.75" hidden="1" customHeight="1" x14ac:dyDescent="0.25">
      <c r="A468" s="16"/>
      <c r="B468" s="16"/>
      <c r="C468" s="16"/>
      <c r="D468" s="40"/>
      <c r="E468" s="17"/>
      <c r="F468" s="21"/>
      <c r="G468" s="16"/>
      <c r="H468" s="16"/>
      <c r="I468" s="22"/>
      <c r="J468" s="22"/>
      <c r="K468" s="16"/>
      <c r="L468" s="16"/>
      <c r="M468" s="16"/>
      <c r="N468" s="19"/>
      <c r="O468" s="19"/>
      <c r="P468" s="19"/>
      <c r="Q468" s="19"/>
      <c r="R468" s="19"/>
      <c r="S468" s="19"/>
      <c r="T468" s="19"/>
      <c r="U468" s="19"/>
      <c r="V468" s="59"/>
      <c r="W468" s="20"/>
      <c r="X468" s="43"/>
    </row>
    <row r="469" spans="1:24" ht="15.75" hidden="1" customHeight="1" x14ac:dyDescent="0.25">
      <c r="A469" s="16"/>
      <c r="B469" s="16"/>
      <c r="C469" s="16"/>
      <c r="D469" s="40"/>
      <c r="E469" s="17"/>
      <c r="F469" s="21"/>
      <c r="G469" s="16"/>
      <c r="H469" s="16"/>
      <c r="I469" s="22"/>
      <c r="J469" s="22"/>
      <c r="K469" s="16"/>
      <c r="L469" s="16"/>
      <c r="M469" s="16"/>
      <c r="N469" s="19"/>
      <c r="O469" s="19"/>
      <c r="P469" s="19"/>
      <c r="Q469" s="19"/>
      <c r="R469" s="19"/>
      <c r="S469" s="19"/>
      <c r="T469" s="19"/>
      <c r="U469" s="19"/>
      <c r="V469" s="59"/>
      <c r="W469" s="20"/>
      <c r="X469" s="43"/>
    </row>
    <row r="470" spans="1:24" ht="15.75" hidden="1" customHeight="1" x14ac:dyDescent="0.25">
      <c r="A470" s="16"/>
      <c r="B470" s="16"/>
      <c r="C470" s="16"/>
      <c r="D470" s="40"/>
      <c r="E470" s="17"/>
      <c r="F470" s="21"/>
      <c r="G470" s="16"/>
      <c r="H470" s="16"/>
      <c r="I470" s="22"/>
      <c r="J470" s="22"/>
      <c r="K470" s="16"/>
      <c r="L470" s="16"/>
      <c r="M470" s="16"/>
      <c r="N470" s="19"/>
      <c r="O470" s="19"/>
      <c r="P470" s="19"/>
      <c r="Q470" s="19"/>
      <c r="R470" s="19"/>
      <c r="S470" s="19"/>
      <c r="T470" s="19"/>
      <c r="U470" s="19"/>
      <c r="V470" s="59"/>
      <c r="W470" s="20"/>
      <c r="X470" s="43"/>
    </row>
    <row r="471" spans="1:24" ht="15.75" hidden="1" customHeight="1" x14ac:dyDescent="0.25">
      <c r="A471" s="16"/>
      <c r="B471" s="16"/>
      <c r="C471" s="16"/>
      <c r="D471" s="40"/>
      <c r="E471" s="17"/>
      <c r="F471" s="21"/>
      <c r="G471" s="16"/>
      <c r="H471" s="16"/>
      <c r="I471" s="22"/>
      <c r="J471" s="22"/>
      <c r="K471" s="16"/>
      <c r="L471" s="16"/>
      <c r="M471" s="16"/>
      <c r="N471" s="19"/>
      <c r="O471" s="19"/>
      <c r="P471" s="19"/>
      <c r="Q471" s="19"/>
      <c r="R471" s="19"/>
      <c r="S471" s="19"/>
      <c r="T471" s="19"/>
      <c r="U471" s="19"/>
      <c r="V471" s="59"/>
      <c r="W471" s="20"/>
      <c r="X471" s="43"/>
    </row>
    <row r="472" spans="1:24" ht="15.75" hidden="1" customHeight="1" x14ac:dyDescent="0.25">
      <c r="A472" s="16"/>
      <c r="B472" s="16"/>
      <c r="C472" s="16"/>
      <c r="D472" s="40"/>
      <c r="E472" s="17"/>
      <c r="F472" s="21"/>
      <c r="G472" s="16"/>
      <c r="H472" s="16"/>
      <c r="I472" s="22"/>
      <c r="J472" s="22"/>
      <c r="K472" s="16"/>
      <c r="L472" s="16"/>
      <c r="M472" s="16"/>
      <c r="N472" s="19"/>
      <c r="O472" s="19"/>
      <c r="P472" s="19"/>
      <c r="Q472" s="19"/>
      <c r="R472" s="19"/>
      <c r="S472" s="19"/>
      <c r="T472" s="19"/>
      <c r="U472" s="19"/>
      <c r="V472" s="59"/>
      <c r="W472" s="20"/>
      <c r="X472" s="43"/>
    </row>
    <row r="473" spans="1:24" ht="15.75" hidden="1" customHeight="1" x14ac:dyDescent="0.25">
      <c r="A473" s="16"/>
      <c r="B473" s="16"/>
      <c r="C473" s="16"/>
      <c r="D473" s="40"/>
      <c r="E473" s="17"/>
      <c r="F473" s="21"/>
      <c r="G473" s="16"/>
      <c r="H473" s="16"/>
      <c r="I473" s="22"/>
      <c r="J473" s="22"/>
      <c r="K473" s="16"/>
      <c r="L473" s="16"/>
      <c r="M473" s="16"/>
      <c r="N473" s="19"/>
      <c r="O473" s="19"/>
      <c r="P473" s="19"/>
      <c r="Q473" s="19"/>
      <c r="R473" s="19"/>
      <c r="S473" s="19"/>
      <c r="T473" s="19"/>
      <c r="U473" s="19"/>
      <c r="V473" s="59"/>
      <c r="W473" s="20"/>
      <c r="X473" s="43"/>
    </row>
    <row r="474" spans="1:24" ht="15.75" hidden="1" customHeight="1" x14ac:dyDescent="0.25">
      <c r="A474" s="16"/>
      <c r="B474" s="16"/>
      <c r="C474" s="16"/>
      <c r="D474" s="40"/>
      <c r="E474" s="17"/>
      <c r="F474" s="21"/>
      <c r="G474" s="16"/>
      <c r="H474" s="16"/>
      <c r="I474" s="22"/>
      <c r="J474" s="22"/>
      <c r="K474" s="16"/>
      <c r="L474" s="16"/>
      <c r="M474" s="16"/>
      <c r="N474" s="19"/>
      <c r="O474" s="19"/>
      <c r="P474" s="19"/>
      <c r="Q474" s="19"/>
      <c r="R474" s="19"/>
      <c r="S474" s="19"/>
      <c r="T474" s="19"/>
      <c r="U474" s="19"/>
      <c r="V474" s="59"/>
      <c r="W474" s="20"/>
      <c r="X474" s="43"/>
    </row>
    <row r="475" spans="1:24" ht="15.75" hidden="1" customHeight="1" x14ac:dyDescent="0.25">
      <c r="A475" s="16"/>
      <c r="B475" s="16"/>
      <c r="C475" s="16"/>
      <c r="D475" s="40"/>
      <c r="E475" s="17"/>
      <c r="F475" s="21"/>
      <c r="G475" s="16"/>
      <c r="H475" s="16"/>
      <c r="I475" s="22"/>
      <c r="J475" s="22"/>
      <c r="K475" s="16"/>
      <c r="L475" s="16"/>
      <c r="M475" s="16"/>
      <c r="N475" s="19"/>
      <c r="O475" s="19"/>
      <c r="P475" s="19"/>
      <c r="Q475" s="19"/>
      <c r="R475" s="19"/>
      <c r="S475" s="19"/>
      <c r="T475" s="19"/>
      <c r="U475" s="19"/>
      <c r="V475" s="59"/>
      <c r="W475" s="20"/>
      <c r="X475" s="43"/>
    </row>
    <row r="476" spans="1:24" ht="15.75" hidden="1" customHeight="1" x14ac:dyDescent="0.25">
      <c r="A476" s="16"/>
      <c r="B476" s="16"/>
      <c r="C476" s="16"/>
      <c r="D476" s="40"/>
      <c r="E476" s="17"/>
      <c r="F476" s="21"/>
      <c r="G476" s="16"/>
      <c r="H476" s="16"/>
      <c r="I476" s="22"/>
      <c r="J476" s="22"/>
      <c r="K476" s="16"/>
      <c r="L476" s="16"/>
      <c r="M476" s="16"/>
      <c r="N476" s="19"/>
      <c r="O476" s="19"/>
      <c r="P476" s="19"/>
      <c r="Q476" s="19"/>
      <c r="R476" s="19"/>
      <c r="S476" s="19"/>
      <c r="T476" s="19"/>
      <c r="U476" s="19"/>
      <c r="V476" s="59"/>
      <c r="W476" s="20"/>
      <c r="X476" s="43"/>
    </row>
    <row r="477" spans="1:24" ht="15.75" hidden="1" customHeight="1" x14ac:dyDescent="0.25">
      <c r="A477" s="16"/>
      <c r="B477" s="16"/>
      <c r="C477" s="16"/>
      <c r="D477" s="40"/>
      <c r="E477" s="17"/>
      <c r="F477" s="21"/>
      <c r="G477" s="16"/>
      <c r="H477" s="16"/>
      <c r="I477" s="22"/>
      <c r="J477" s="22"/>
      <c r="K477" s="16"/>
      <c r="L477" s="16"/>
      <c r="M477" s="16"/>
      <c r="N477" s="19"/>
      <c r="O477" s="19"/>
      <c r="P477" s="19"/>
      <c r="Q477" s="19"/>
      <c r="R477" s="19"/>
      <c r="S477" s="19"/>
      <c r="T477" s="19"/>
      <c r="U477" s="19"/>
      <c r="V477" s="59"/>
      <c r="W477" s="20"/>
      <c r="X477" s="43"/>
    </row>
    <row r="478" spans="1:24" ht="15.75" hidden="1" customHeight="1" x14ac:dyDescent="0.25">
      <c r="A478" s="16"/>
      <c r="B478" s="16"/>
      <c r="C478" s="16"/>
      <c r="D478" s="40"/>
      <c r="E478" s="17"/>
      <c r="F478" s="21"/>
      <c r="G478" s="16"/>
      <c r="H478" s="16"/>
      <c r="I478" s="22"/>
      <c r="J478" s="22"/>
      <c r="K478" s="16"/>
      <c r="L478" s="16"/>
      <c r="M478" s="16"/>
      <c r="N478" s="19"/>
      <c r="O478" s="19"/>
      <c r="P478" s="19"/>
      <c r="Q478" s="19"/>
      <c r="R478" s="19"/>
      <c r="S478" s="19"/>
      <c r="T478" s="19"/>
      <c r="U478" s="19"/>
      <c r="V478" s="59"/>
      <c r="W478" s="20"/>
      <c r="X478" s="43"/>
    </row>
    <row r="479" spans="1:24" ht="15.75" hidden="1" customHeight="1" x14ac:dyDescent="0.25">
      <c r="A479" s="16"/>
      <c r="B479" s="16"/>
      <c r="C479" s="16"/>
      <c r="D479" s="40"/>
      <c r="E479" s="17"/>
      <c r="F479" s="21"/>
      <c r="G479" s="16"/>
      <c r="H479" s="16"/>
      <c r="I479" s="22"/>
      <c r="J479" s="22"/>
      <c r="K479" s="16"/>
      <c r="L479" s="16"/>
      <c r="M479" s="16"/>
      <c r="N479" s="19"/>
      <c r="O479" s="19"/>
      <c r="P479" s="19"/>
      <c r="Q479" s="19"/>
      <c r="R479" s="19"/>
      <c r="S479" s="19"/>
      <c r="T479" s="19"/>
      <c r="U479" s="19"/>
      <c r="V479" s="59"/>
      <c r="W479" s="20"/>
      <c r="X479" s="43"/>
    </row>
    <row r="480" spans="1:24" ht="15.75" hidden="1" customHeight="1" x14ac:dyDescent="0.25">
      <c r="A480" s="16"/>
      <c r="B480" s="16"/>
      <c r="C480" s="16"/>
      <c r="D480" s="40"/>
      <c r="E480" s="17"/>
      <c r="F480" s="21"/>
      <c r="G480" s="16"/>
      <c r="H480" s="16"/>
      <c r="I480" s="22"/>
      <c r="J480" s="22"/>
      <c r="K480" s="16"/>
      <c r="L480" s="16"/>
      <c r="M480" s="16"/>
      <c r="N480" s="19"/>
      <c r="O480" s="19"/>
      <c r="P480" s="19"/>
      <c r="Q480" s="19"/>
      <c r="R480" s="19"/>
      <c r="S480" s="19"/>
      <c r="T480" s="19"/>
      <c r="U480" s="19"/>
      <c r="V480" s="59"/>
      <c r="W480" s="20"/>
      <c r="X480" s="43"/>
    </row>
    <row r="481" spans="1:24" ht="15.75" hidden="1" customHeight="1" x14ac:dyDescent="0.25">
      <c r="A481" s="16"/>
      <c r="B481" s="16"/>
      <c r="C481" s="16"/>
      <c r="D481" s="40"/>
      <c r="E481" s="17"/>
      <c r="F481" s="21"/>
      <c r="G481" s="16"/>
      <c r="H481" s="16"/>
      <c r="I481" s="22"/>
      <c r="J481" s="22"/>
      <c r="K481" s="16"/>
      <c r="L481" s="16"/>
      <c r="M481" s="16"/>
      <c r="N481" s="19"/>
      <c r="O481" s="19"/>
      <c r="P481" s="19"/>
      <c r="Q481" s="19"/>
      <c r="R481" s="19"/>
      <c r="S481" s="19"/>
      <c r="T481" s="19"/>
      <c r="U481" s="19"/>
      <c r="V481" s="59"/>
      <c r="W481" s="20"/>
      <c r="X481" s="43"/>
    </row>
    <row r="482" spans="1:24" ht="15.75" hidden="1" customHeight="1" x14ac:dyDescent="0.25">
      <c r="A482" s="16"/>
      <c r="B482" s="16"/>
      <c r="C482" s="16"/>
      <c r="D482" s="40"/>
      <c r="E482" s="17"/>
      <c r="F482" s="21"/>
      <c r="G482" s="16"/>
      <c r="H482" s="16"/>
      <c r="I482" s="22"/>
      <c r="J482" s="22"/>
      <c r="K482" s="16"/>
      <c r="L482" s="16"/>
      <c r="M482" s="16"/>
      <c r="N482" s="19"/>
      <c r="O482" s="19"/>
      <c r="P482" s="19"/>
      <c r="Q482" s="19"/>
      <c r="R482" s="19"/>
      <c r="S482" s="19"/>
      <c r="T482" s="19"/>
      <c r="U482" s="19"/>
      <c r="V482" s="59"/>
      <c r="W482" s="20"/>
      <c r="X482" s="43"/>
    </row>
    <row r="483" spans="1:24" ht="15.75" hidden="1" customHeight="1" x14ac:dyDescent="0.25">
      <c r="A483" s="16"/>
      <c r="B483" s="16"/>
      <c r="C483" s="16"/>
      <c r="D483" s="40"/>
      <c r="E483" s="17"/>
      <c r="F483" s="21"/>
      <c r="G483" s="16"/>
      <c r="H483" s="16"/>
      <c r="I483" s="22"/>
      <c r="J483" s="22"/>
      <c r="K483" s="16"/>
      <c r="L483" s="16"/>
      <c r="M483" s="16"/>
      <c r="N483" s="19"/>
      <c r="O483" s="19"/>
      <c r="P483" s="19"/>
      <c r="Q483" s="19"/>
      <c r="R483" s="19"/>
      <c r="S483" s="19"/>
      <c r="T483" s="19"/>
      <c r="U483" s="19"/>
      <c r="V483" s="59"/>
      <c r="W483" s="20"/>
      <c r="X483" s="43"/>
    </row>
    <row r="484" spans="1:24" ht="15.75" hidden="1" customHeight="1" x14ac:dyDescent="0.25">
      <c r="A484" s="16"/>
      <c r="B484" s="16"/>
      <c r="C484" s="16"/>
      <c r="D484" s="40"/>
      <c r="E484" s="17"/>
      <c r="F484" s="21"/>
      <c r="G484" s="16"/>
      <c r="H484" s="16"/>
      <c r="I484" s="22"/>
      <c r="J484" s="22"/>
      <c r="K484" s="16"/>
      <c r="L484" s="16"/>
      <c r="M484" s="16"/>
      <c r="N484" s="19"/>
      <c r="O484" s="19"/>
      <c r="P484" s="19"/>
      <c r="Q484" s="19"/>
      <c r="R484" s="19"/>
      <c r="S484" s="19"/>
      <c r="T484" s="19"/>
      <c r="U484" s="19"/>
      <c r="V484" s="59"/>
      <c r="W484" s="20"/>
      <c r="X484" s="43"/>
    </row>
    <row r="485" spans="1:24" ht="15.75" hidden="1" customHeight="1" x14ac:dyDescent="0.25">
      <c r="A485" s="16"/>
      <c r="B485" s="16"/>
      <c r="C485" s="16"/>
      <c r="D485" s="40"/>
      <c r="E485" s="17"/>
      <c r="F485" s="21"/>
      <c r="G485" s="16"/>
      <c r="H485" s="16"/>
      <c r="I485" s="22"/>
      <c r="J485" s="22"/>
      <c r="K485" s="16"/>
      <c r="L485" s="16"/>
      <c r="M485" s="16"/>
      <c r="N485" s="19"/>
      <c r="O485" s="19"/>
      <c r="P485" s="19"/>
      <c r="Q485" s="19"/>
      <c r="R485" s="19"/>
      <c r="S485" s="19"/>
      <c r="T485" s="19"/>
      <c r="U485" s="19"/>
      <c r="V485" s="59"/>
      <c r="W485" s="20"/>
      <c r="X485" s="43"/>
    </row>
    <row r="486" spans="1:24" ht="15.75" hidden="1" customHeight="1" x14ac:dyDescent="0.25">
      <c r="A486" s="16"/>
      <c r="B486" s="16"/>
      <c r="C486" s="16"/>
      <c r="D486" s="40"/>
      <c r="E486" s="17"/>
      <c r="F486" s="21"/>
      <c r="G486" s="16"/>
      <c r="H486" s="16"/>
      <c r="I486" s="22"/>
      <c r="J486" s="22"/>
      <c r="K486" s="16"/>
      <c r="L486" s="16"/>
      <c r="M486" s="16"/>
      <c r="N486" s="19"/>
      <c r="O486" s="19"/>
      <c r="P486" s="19"/>
      <c r="Q486" s="19"/>
      <c r="R486" s="19"/>
      <c r="S486" s="19"/>
      <c r="T486" s="19"/>
      <c r="U486" s="19"/>
      <c r="V486" s="59"/>
      <c r="W486" s="20"/>
      <c r="X486" s="43"/>
    </row>
    <row r="487" spans="1:24" ht="15.75" hidden="1" customHeight="1" x14ac:dyDescent="0.25">
      <c r="A487" s="16"/>
      <c r="B487" s="16"/>
      <c r="C487" s="16"/>
      <c r="D487" s="40"/>
      <c r="E487" s="17"/>
      <c r="F487" s="21"/>
      <c r="G487" s="16"/>
      <c r="H487" s="16"/>
      <c r="I487" s="22"/>
      <c r="J487" s="22"/>
      <c r="K487" s="16"/>
      <c r="L487" s="16"/>
      <c r="M487" s="16"/>
      <c r="N487" s="19"/>
      <c r="O487" s="19"/>
      <c r="P487" s="19"/>
      <c r="Q487" s="19"/>
      <c r="R487" s="19"/>
      <c r="S487" s="19"/>
      <c r="T487" s="19"/>
      <c r="U487" s="19"/>
      <c r="V487" s="59"/>
      <c r="W487" s="20"/>
      <c r="X487" s="43"/>
    </row>
    <row r="488" spans="1:24" ht="15.75" hidden="1" customHeight="1" x14ac:dyDescent="0.25">
      <c r="A488" s="16"/>
      <c r="B488" s="16"/>
      <c r="C488" s="16"/>
      <c r="D488" s="40"/>
      <c r="E488" s="17"/>
      <c r="F488" s="21"/>
      <c r="G488" s="16"/>
      <c r="H488" s="16"/>
      <c r="I488" s="22"/>
      <c r="J488" s="22"/>
      <c r="K488" s="16"/>
      <c r="L488" s="16"/>
      <c r="M488" s="16"/>
      <c r="N488" s="19"/>
      <c r="O488" s="19"/>
      <c r="P488" s="19"/>
      <c r="Q488" s="19"/>
      <c r="R488" s="19"/>
      <c r="S488" s="19"/>
      <c r="T488" s="19"/>
      <c r="U488" s="19"/>
      <c r="V488" s="59"/>
      <c r="W488" s="20"/>
      <c r="X488" s="43"/>
    </row>
    <row r="489" spans="1:24" ht="15.75" hidden="1" customHeight="1" x14ac:dyDescent="0.25">
      <c r="A489" s="16"/>
      <c r="B489" s="16"/>
      <c r="C489" s="16"/>
      <c r="D489" s="40"/>
      <c r="E489" s="17"/>
      <c r="F489" s="21"/>
      <c r="G489" s="16"/>
      <c r="H489" s="16"/>
      <c r="I489" s="22"/>
      <c r="J489" s="22"/>
      <c r="K489" s="16"/>
      <c r="L489" s="16"/>
      <c r="M489" s="16"/>
      <c r="N489" s="19"/>
      <c r="O489" s="19"/>
      <c r="P489" s="19"/>
      <c r="Q489" s="19"/>
      <c r="R489" s="19"/>
      <c r="S489" s="19"/>
      <c r="T489" s="19"/>
      <c r="U489" s="19"/>
      <c r="V489" s="59"/>
      <c r="W489" s="20"/>
      <c r="X489" s="43"/>
    </row>
    <row r="490" spans="1:24" ht="15.75" hidden="1" customHeight="1" x14ac:dyDescent="0.25">
      <c r="A490" s="16"/>
      <c r="B490" s="16"/>
      <c r="C490" s="16"/>
      <c r="D490" s="40"/>
      <c r="E490" s="17"/>
      <c r="F490" s="21"/>
      <c r="G490" s="16"/>
      <c r="H490" s="16"/>
      <c r="I490" s="22"/>
      <c r="J490" s="22"/>
      <c r="K490" s="16"/>
      <c r="L490" s="16"/>
      <c r="M490" s="16"/>
      <c r="N490" s="19"/>
      <c r="O490" s="19"/>
      <c r="P490" s="19"/>
      <c r="Q490" s="19"/>
      <c r="R490" s="19"/>
      <c r="S490" s="19"/>
      <c r="T490" s="19"/>
      <c r="U490" s="19"/>
      <c r="V490" s="59"/>
      <c r="W490" s="20"/>
      <c r="X490" s="43"/>
    </row>
    <row r="491" spans="1:24" ht="15.75" hidden="1" customHeight="1" x14ac:dyDescent="0.25">
      <c r="A491" s="16"/>
      <c r="B491" s="16"/>
      <c r="C491" s="16"/>
      <c r="D491" s="40"/>
      <c r="E491" s="17"/>
      <c r="F491" s="21"/>
      <c r="G491" s="16"/>
      <c r="H491" s="16"/>
      <c r="I491" s="22"/>
      <c r="J491" s="22"/>
      <c r="K491" s="16"/>
      <c r="L491" s="16"/>
      <c r="M491" s="16"/>
      <c r="N491" s="19"/>
      <c r="O491" s="19"/>
      <c r="P491" s="19"/>
      <c r="Q491" s="19"/>
      <c r="R491" s="19"/>
      <c r="S491" s="19"/>
      <c r="T491" s="19"/>
      <c r="U491" s="19"/>
      <c r="V491" s="59"/>
      <c r="W491" s="20"/>
      <c r="X491" s="43"/>
    </row>
    <row r="492" spans="1:24" ht="15.75" hidden="1" customHeight="1" x14ac:dyDescent="0.25">
      <c r="A492" s="16"/>
      <c r="B492" s="16"/>
      <c r="C492" s="16"/>
      <c r="D492" s="40"/>
      <c r="E492" s="17"/>
      <c r="F492" s="21"/>
      <c r="G492" s="16"/>
      <c r="H492" s="16"/>
      <c r="I492" s="22"/>
      <c r="J492" s="22"/>
      <c r="K492" s="16"/>
      <c r="L492" s="16"/>
      <c r="M492" s="16"/>
      <c r="N492" s="19"/>
      <c r="O492" s="19"/>
      <c r="P492" s="19"/>
      <c r="Q492" s="19"/>
      <c r="R492" s="19"/>
      <c r="S492" s="19"/>
      <c r="T492" s="19"/>
      <c r="U492" s="19"/>
      <c r="V492" s="59"/>
      <c r="W492" s="20"/>
      <c r="X492" s="43"/>
    </row>
    <row r="493" spans="1:24" ht="15.75" hidden="1" customHeight="1" x14ac:dyDescent="0.25">
      <c r="A493" s="16"/>
      <c r="B493" s="16"/>
      <c r="C493" s="16"/>
      <c r="D493" s="40"/>
      <c r="E493" s="17"/>
      <c r="F493" s="21"/>
      <c r="G493" s="16"/>
      <c r="H493" s="16"/>
      <c r="I493" s="22"/>
      <c r="J493" s="22"/>
      <c r="K493" s="16"/>
      <c r="L493" s="16"/>
      <c r="M493" s="16"/>
      <c r="N493" s="19"/>
      <c r="O493" s="19"/>
      <c r="P493" s="19"/>
      <c r="Q493" s="19"/>
      <c r="R493" s="19"/>
      <c r="S493" s="19"/>
      <c r="T493" s="19"/>
      <c r="U493" s="19"/>
      <c r="V493" s="59"/>
      <c r="W493" s="20"/>
      <c r="X493" s="43"/>
    </row>
    <row r="494" spans="1:24" ht="15.75" hidden="1" customHeight="1" x14ac:dyDescent="0.25">
      <c r="A494" s="16"/>
      <c r="B494" s="16"/>
      <c r="C494" s="16"/>
      <c r="D494" s="40"/>
      <c r="E494" s="17"/>
      <c r="F494" s="21"/>
      <c r="G494" s="16"/>
      <c r="H494" s="16"/>
      <c r="I494" s="22"/>
      <c r="J494" s="22"/>
      <c r="K494" s="16"/>
      <c r="L494" s="16"/>
      <c r="M494" s="16"/>
      <c r="N494" s="19"/>
      <c r="O494" s="19"/>
      <c r="P494" s="19"/>
      <c r="Q494" s="19"/>
      <c r="R494" s="19"/>
      <c r="S494" s="19"/>
      <c r="T494" s="19"/>
      <c r="U494" s="19"/>
      <c r="V494" s="59"/>
      <c r="W494" s="20"/>
      <c r="X494" s="43"/>
    </row>
    <row r="495" spans="1:24" ht="15.75" hidden="1" customHeight="1" x14ac:dyDescent="0.25">
      <c r="A495" s="16"/>
      <c r="B495" s="16"/>
      <c r="C495" s="16"/>
      <c r="D495" s="40"/>
      <c r="E495" s="17"/>
      <c r="F495" s="21"/>
      <c r="G495" s="16"/>
      <c r="H495" s="16"/>
      <c r="I495" s="22"/>
      <c r="J495" s="22"/>
      <c r="K495" s="16"/>
      <c r="L495" s="16"/>
      <c r="M495" s="16"/>
      <c r="N495" s="19"/>
      <c r="O495" s="19"/>
      <c r="P495" s="19"/>
      <c r="Q495" s="19"/>
      <c r="R495" s="19"/>
      <c r="S495" s="19"/>
      <c r="T495" s="19"/>
      <c r="U495" s="19"/>
      <c r="V495" s="59"/>
      <c r="W495" s="20"/>
      <c r="X495" s="43"/>
    </row>
    <row r="496" spans="1:24" ht="15.75" hidden="1" customHeight="1" x14ac:dyDescent="0.25">
      <c r="A496" s="16"/>
      <c r="B496" s="16"/>
      <c r="C496" s="16"/>
      <c r="D496" s="40"/>
      <c r="E496" s="17"/>
      <c r="F496" s="21"/>
      <c r="G496" s="16"/>
      <c r="H496" s="16"/>
      <c r="I496" s="22"/>
      <c r="J496" s="22"/>
      <c r="K496" s="16"/>
      <c r="L496" s="16"/>
      <c r="M496" s="16"/>
      <c r="N496" s="19"/>
      <c r="O496" s="19"/>
      <c r="P496" s="19"/>
      <c r="Q496" s="19"/>
      <c r="R496" s="19"/>
      <c r="S496" s="19"/>
      <c r="T496" s="19"/>
      <c r="U496" s="19"/>
      <c r="V496" s="59"/>
      <c r="W496" s="20"/>
      <c r="X496" s="43"/>
    </row>
    <row r="497" spans="1:24" ht="15.75" hidden="1" customHeight="1" x14ac:dyDescent="0.25">
      <c r="A497" s="16"/>
      <c r="B497" s="16"/>
      <c r="C497" s="16"/>
      <c r="D497" s="40"/>
      <c r="E497" s="17"/>
      <c r="F497" s="21"/>
      <c r="G497" s="16"/>
      <c r="H497" s="16"/>
      <c r="I497" s="22"/>
      <c r="J497" s="22"/>
      <c r="K497" s="16"/>
      <c r="L497" s="16"/>
      <c r="M497" s="16"/>
      <c r="N497" s="19"/>
      <c r="O497" s="19"/>
      <c r="P497" s="19"/>
      <c r="Q497" s="19"/>
      <c r="R497" s="19"/>
      <c r="S497" s="19"/>
      <c r="T497" s="19"/>
      <c r="U497" s="19"/>
      <c r="V497" s="59"/>
      <c r="W497" s="20"/>
      <c r="X497" s="43"/>
    </row>
    <row r="498" spans="1:24" ht="15.75" hidden="1" customHeight="1" x14ac:dyDescent="0.25">
      <c r="A498" s="16"/>
      <c r="B498" s="16"/>
      <c r="C498" s="16"/>
      <c r="D498" s="40"/>
      <c r="E498" s="17"/>
      <c r="F498" s="21"/>
      <c r="G498" s="16"/>
      <c r="H498" s="16"/>
      <c r="I498" s="22"/>
      <c r="J498" s="22"/>
      <c r="K498" s="16"/>
      <c r="L498" s="16"/>
      <c r="M498" s="16"/>
      <c r="N498" s="19"/>
      <c r="O498" s="19"/>
      <c r="P498" s="19"/>
      <c r="Q498" s="19"/>
      <c r="R498" s="19"/>
      <c r="S498" s="19"/>
      <c r="T498" s="19"/>
      <c r="U498" s="19"/>
      <c r="V498" s="59"/>
      <c r="W498" s="20"/>
      <c r="X498" s="43"/>
    </row>
    <row r="499" spans="1:24" ht="15.75" hidden="1" customHeight="1" x14ac:dyDescent="0.25">
      <c r="A499" s="16"/>
      <c r="B499" s="16"/>
      <c r="C499" s="16"/>
      <c r="D499" s="40"/>
      <c r="E499" s="17"/>
      <c r="F499" s="21"/>
      <c r="G499" s="16"/>
      <c r="H499" s="16"/>
      <c r="I499" s="22"/>
      <c r="J499" s="22"/>
      <c r="K499" s="16"/>
      <c r="L499" s="16"/>
      <c r="M499" s="16"/>
      <c r="N499" s="19"/>
      <c r="O499" s="19"/>
      <c r="P499" s="19"/>
      <c r="Q499" s="19"/>
      <c r="R499" s="19"/>
      <c r="S499" s="19"/>
      <c r="T499" s="19"/>
      <c r="U499" s="19"/>
      <c r="V499" s="59"/>
      <c r="W499" s="20"/>
      <c r="X499" s="43"/>
    </row>
    <row r="500" spans="1:24" ht="15.75" hidden="1" customHeight="1" x14ac:dyDescent="0.25">
      <c r="A500" s="16"/>
      <c r="B500" s="16"/>
      <c r="C500" s="16"/>
      <c r="D500" s="40"/>
      <c r="E500" s="17"/>
      <c r="F500" s="21"/>
      <c r="G500" s="16"/>
      <c r="H500" s="16"/>
      <c r="I500" s="22"/>
      <c r="J500" s="22"/>
      <c r="K500" s="16"/>
      <c r="L500" s="16"/>
      <c r="M500" s="16"/>
      <c r="N500" s="19"/>
      <c r="O500" s="19"/>
      <c r="P500" s="19"/>
      <c r="Q500" s="19"/>
      <c r="R500" s="19"/>
      <c r="S500" s="19"/>
      <c r="T500" s="19"/>
      <c r="U500" s="19"/>
      <c r="V500" s="59"/>
      <c r="W500" s="20"/>
      <c r="X500" s="43"/>
    </row>
    <row r="501" spans="1:24" ht="15.75" hidden="1" customHeight="1" x14ac:dyDescent="0.25">
      <c r="A501" s="16"/>
      <c r="B501" s="16"/>
      <c r="C501" s="16"/>
      <c r="D501" s="40"/>
      <c r="E501" s="17"/>
      <c r="F501" s="21"/>
      <c r="G501" s="16"/>
      <c r="H501" s="16"/>
      <c r="I501" s="22"/>
      <c r="J501" s="22"/>
      <c r="K501" s="16"/>
      <c r="L501" s="16"/>
      <c r="M501" s="16"/>
      <c r="N501" s="19"/>
      <c r="O501" s="19"/>
      <c r="P501" s="19"/>
      <c r="Q501" s="19"/>
      <c r="R501" s="19"/>
      <c r="S501" s="19"/>
      <c r="T501" s="19"/>
      <c r="U501" s="19"/>
      <c r="V501" s="59"/>
      <c r="W501" s="20"/>
      <c r="X501" s="43"/>
    </row>
    <row r="502" spans="1:24" ht="15.75" hidden="1" customHeight="1" x14ac:dyDescent="0.25">
      <c r="A502" s="16"/>
      <c r="B502" s="16"/>
      <c r="C502" s="16"/>
      <c r="D502" s="40"/>
      <c r="E502" s="17"/>
      <c r="F502" s="21"/>
      <c r="G502" s="16"/>
      <c r="H502" s="16"/>
      <c r="I502" s="22"/>
      <c r="J502" s="22"/>
      <c r="K502" s="16"/>
      <c r="L502" s="16"/>
      <c r="M502" s="16"/>
      <c r="N502" s="19"/>
      <c r="O502" s="19"/>
      <c r="P502" s="19"/>
      <c r="Q502" s="19"/>
      <c r="R502" s="19"/>
      <c r="S502" s="19"/>
      <c r="T502" s="19"/>
      <c r="U502" s="19"/>
      <c r="V502" s="59"/>
      <c r="W502" s="20"/>
      <c r="X502" s="43"/>
    </row>
    <row r="503" spans="1:24" ht="15.75" hidden="1" customHeight="1" x14ac:dyDescent="0.25">
      <c r="A503" s="16"/>
      <c r="B503" s="16"/>
      <c r="C503" s="16"/>
      <c r="D503" s="40"/>
      <c r="E503" s="17"/>
      <c r="F503" s="21"/>
      <c r="G503" s="16"/>
      <c r="H503" s="16"/>
      <c r="I503" s="22"/>
      <c r="J503" s="22"/>
      <c r="K503" s="16"/>
      <c r="L503" s="16"/>
      <c r="M503" s="16"/>
      <c r="N503" s="19"/>
      <c r="O503" s="19"/>
      <c r="P503" s="19"/>
      <c r="Q503" s="19"/>
      <c r="R503" s="19"/>
      <c r="S503" s="19"/>
      <c r="T503" s="19"/>
      <c r="U503" s="19"/>
      <c r="V503" s="59"/>
      <c r="W503" s="20"/>
      <c r="X503" s="43"/>
    </row>
    <row r="504" spans="1:24" ht="15.75" hidden="1" customHeight="1" x14ac:dyDescent="0.25">
      <c r="A504" s="16"/>
      <c r="B504" s="16"/>
      <c r="C504" s="16"/>
      <c r="D504" s="40"/>
      <c r="E504" s="17"/>
      <c r="F504" s="21"/>
      <c r="G504" s="16"/>
      <c r="H504" s="16"/>
      <c r="I504" s="22"/>
      <c r="J504" s="22"/>
      <c r="K504" s="16"/>
      <c r="L504" s="16"/>
      <c r="M504" s="16"/>
      <c r="N504" s="19"/>
      <c r="O504" s="19"/>
      <c r="P504" s="19"/>
      <c r="Q504" s="19"/>
      <c r="R504" s="19"/>
      <c r="S504" s="19"/>
      <c r="T504" s="19"/>
      <c r="U504" s="19"/>
      <c r="V504" s="59"/>
      <c r="W504" s="20"/>
      <c r="X504" s="43"/>
    </row>
    <row r="505" spans="1:24" ht="15.75" hidden="1" customHeight="1" x14ac:dyDescent="0.25">
      <c r="A505" s="16"/>
      <c r="B505" s="16"/>
      <c r="C505" s="16"/>
      <c r="D505" s="40"/>
      <c r="E505" s="17"/>
      <c r="F505" s="21"/>
      <c r="G505" s="16"/>
      <c r="H505" s="16"/>
      <c r="I505" s="22"/>
      <c r="J505" s="22"/>
      <c r="K505" s="16"/>
      <c r="L505" s="16"/>
      <c r="M505" s="16"/>
      <c r="N505" s="19"/>
      <c r="O505" s="19"/>
      <c r="P505" s="19"/>
      <c r="Q505" s="19"/>
      <c r="R505" s="19"/>
      <c r="S505" s="19"/>
      <c r="T505" s="19"/>
      <c r="U505" s="19"/>
      <c r="V505" s="59"/>
      <c r="W505" s="20"/>
      <c r="X505" s="43"/>
    </row>
    <row r="506" spans="1:24" ht="15.75" hidden="1" customHeight="1" x14ac:dyDescent="0.25">
      <c r="A506" s="16"/>
      <c r="B506" s="16"/>
      <c r="C506" s="16"/>
      <c r="D506" s="40"/>
      <c r="E506" s="17"/>
      <c r="F506" s="21"/>
      <c r="G506" s="16"/>
      <c r="H506" s="16"/>
      <c r="I506" s="22"/>
      <c r="J506" s="22"/>
      <c r="K506" s="16"/>
      <c r="L506" s="16"/>
      <c r="M506" s="16"/>
      <c r="N506" s="19"/>
      <c r="O506" s="19"/>
      <c r="P506" s="19"/>
      <c r="Q506" s="19"/>
      <c r="R506" s="19"/>
      <c r="S506" s="19"/>
      <c r="T506" s="19"/>
      <c r="U506" s="19"/>
      <c r="V506" s="59"/>
      <c r="W506" s="20"/>
      <c r="X506" s="43"/>
    </row>
    <row r="507" spans="1:24" ht="15.75" hidden="1" customHeight="1" x14ac:dyDescent="0.25">
      <c r="A507" s="16"/>
      <c r="B507" s="16"/>
      <c r="C507" s="16"/>
      <c r="D507" s="40"/>
      <c r="E507" s="17"/>
      <c r="F507" s="21"/>
      <c r="G507" s="16"/>
      <c r="H507" s="16"/>
      <c r="I507" s="22"/>
      <c r="J507" s="22"/>
      <c r="K507" s="16"/>
      <c r="L507" s="16"/>
      <c r="M507" s="16"/>
      <c r="N507" s="19"/>
      <c r="O507" s="19"/>
      <c r="P507" s="19"/>
      <c r="Q507" s="19"/>
      <c r="R507" s="19"/>
      <c r="S507" s="19"/>
      <c r="T507" s="19"/>
      <c r="U507" s="19"/>
      <c r="V507" s="59"/>
      <c r="W507" s="20"/>
      <c r="X507" s="43"/>
    </row>
    <row r="508" spans="1:24" ht="15.75" hidden="1" customHeight="1" x14ac:dyDescent="0.25">
      <c r="A508" s="16"/>
      <c r="B508" s="16"/>
      <c r="C508" s="16"/>
      <c r="D508" s="40"/>
      <c r="E508" s="17"/>
      <c r="F508" s="21"/>
      <c r="G508" s="16"/>
      <c r="H508" s="16"/>
      <c r="I508" s="22"/>
      <c r="J508" s="22"/>
      <c r="K508" s="16"/>
      <c r="L508" s="16"/>
      <c r="M508" s="16"/>
      <c r="N508" s="19"/>
      <c r="O508" s="19"/>
      <c r="P508" s="19"/>
      <c r="Q508" s="19"/>
      <c r="R508" s="19"/>
      <c r="S508" s="19"/>
      <c r="T508" s="19"/>
      <c r="U508" s="19"/>
      <c r="V508" s="59"/>
      <c r="W508" s="20"/>
      <c r="X508" s="43"/>
    </row>
    <row r="509" spans="1:24" ht="15.75" hidden="1" customHeight="1" x14ac:dyDescent="0.25">
      <c r="A509" s="16"/>
      <c r="B509" s="16"/>
      <c r="C509" s="16"/>
      <c r="D509" s="40"/>
      <c r="E509" s="17"/>
      <c r="F509" s="21"/>
      <c r="G509" s="16"/>
      <c r="H509" s="16"/>
      <c r="I509" s="22"/>
      <c r="J509" s="22"/>
      <c r="K509" s="16"/>
      <c r="L509" s="16"/>
      <c r="M509" s="16"/>
      <c r="N509" s="19"/>
      <c r="O509" s="19"/>
      <c r="P509" s="19"/>
      <c r="Q509" s="19"/>
      <c r="R509" s="19"/>
      <c r="S509" s="19"/>
      <c r="T509" s="19"/>
      <c r="U509" s="19"/>
      <c r="V509" s="59"/>
      <c r="W509" s="20"/>
      <c r="X509" s="43"/>
    </row>
    <row r="510" spans="1:24" ht="15.75" hidden="1" customHeight="1" x14ac:dyDescent="0.25">
      <c r="A510" s="16"/>
      <c r="B510" s="16"/>
      <c r="C510" s="16"/>
      <c r="D510" s="40"/>
      <c r="E510" s="17"/>
      <c r="F510" s="21"/>
      <c r="G510" s="16"/>
      <c r="H510" s="16"/>
      <c r="I510" s="22"/>
      <c r="J510" s="22"/>
      <c r="K510" s="16"/>
      <c r="L510" s="16"/>
      <c r="M510" s="16"/>
      <c r="N510" s="19"/>
      <c r="O510" s="19"/>
      <c r="P510" s="19"/>
      <c r="Q510" s="19"/>
      <c r="R510" s="19"/>
      <c r="S510" s="19"/>
      <c r="T510" s="19"/>
      <c r="U510" s="19"/>
      <c r="V510" s="59"/>
      <c r="W510" s="20"/>
      <c r="X510" s="43"/>
    </row>
    <row r="511" spans="1:24" ht="15.75" hidden="1" customHeight="1" x14ac:dyDescent="0.25">
      <c r="A511" s="16"/>
      <c r="B511" s="16"/>
      <c r="C511" s="16"/>
      <c r="D511" s="40"/>
      <c r="E511" s="17"/>
      <c r="F511" s="21"/>
      <c r="G511" s="16"/>
      <c r="H511" s="16"/>
      <c r="I511" s="22"/>
      <c r="J511" s="22"/>
      <c r="K511" s="16"/>
      <c r="L511" s="16"/>
      <c r="M511" s="16"/>
      <c r="N511" s="19"/>
      <c r="O511" s="19"/>
      <c r="P511" s="19"/>
      <c r="Q511" s="19"/>
      <c r="R511" s="19"/>
      <c r="S511" s="19"/>
      <c r="T511" s="19"/>
      <c r="U511" s="19"/>
      <c r="V511" s="59"/>
      <c r="W511" s="20"/>
      <c r="X511" s="43"/>
    </row>
    <row r="512" spans="1:24" ht="15.75" hidden="1" customHeight="1" x14ac:dyDescent="0.25">
      <c r="A512" s="16"/>
      <c r="B512" s="16"/>
      <c r="C512" s="16"/>
      <c r="D512" s="40"/>
      <c r="E512" s="17"/>
      <c r="F512" s="21"/>
      <c r="G512" s="16"/>
      <c r="H512" s="16"/>
      <c r="I512" s="22"/>
      <c r="J512" s="22"/>
      <c r="K512" s="16"/>
      <c r="L512" s="16"/>
      <c r="M512" s="16"/>
      <c r="N512" s="19"/>
      <c r="O512" s="19"/>
      <c r="P512" s="19"/>
      <c r="Q512" s="19"/>
      <c r="R512" s="19"/>
      <c r="S512" s="19"/>
      <c r="T512" s="19"/>
      <c r="U512" s="19"/>
      <c r="V512" s="59"/>
      <c r="W512" s="20"/>
      <c r="X512" s="43"/>
    </row>
    <row r="513" spans="1:24" ht="15.75" hidden="1" customHeight="1" x14ac:dyDescent="0.25">
      <c r="A513" s="16"/>
      <c r="B513" s="16"/>
      <c r="C513" s="16"/>
      <c r="D513" s="40"/>
      <c r="E513" s="17"/>
      <c r="F513" s="21"/>
      <c r="G513" s="16"/>
      <c r="H513" s="16"/>
      <c r="I513" s="22"/>
      <c r="J513" s="22"/>
      <c r="K513" s="16"/>
      <c r="L513" s="16"/>
      <c r="M513" s="16"/>
      <c r="N513" s="19"/>
      <c r="O513" s="19"/>
      <c r="P513" s="19"/>
      <c r="Q513" s="19"/>
      <c r="R513" s="19"/>
      <c r="S513" s="19"/>
      <c r="T513" s="19"/>
      <c r="U513" s="19"/>
      <c r="V513" s="59"/>
      <c r="W513" s="20"/>
      <c r="X513" s="43"/>
    </row>
    <row r="514" spans="1:24" ht="15.75" hidden="1" customHeight="1" x14ac:dyDescent="0.25">
      <c r="A514" s="16"/>
      <c r="B514" s="16"/>
      <c r="C514" s="16"/>
      <c r="D514" s="40"/>
      <c r="E514" s="17"/>
      <c r="F514" s="21"/>
      <c r="G514" s="16"/>
      <c r="H514" s="16"/>
      <c r="I514" s="22"/>
      <c r="J514" s="22"/>
      <c r="K514" s="16"/>
      <c r="L514" s="16"/>
      <c r="M514" s="16"/>
      <c r="N514" s="19"/>
      <c r="O514" s="19"/>
      <c r="P514" s="19"/>
      <c r="Q514" s="19"/>
      <c r="R514" s="19"/>
      <c r="S514" s="19"/>
      <c r="T514" s="19"/>
      <c r="U514" s="19"/>
      <c r="V514" s="59"/>
      <c r="W514" s="20"/>
      <c r="X514" s="43"/>
    </row>
    <row r="515" spans="1:24" ht="15.75" hidden="1" customHeight="1" x14ac:dyDescent="0.25">
      <c r="A515" s="16"/>
      <c r="B515" s="16"/>
      <c r="C515" s="16"/>
      <c r="D515" s="40"/>
      <c r="E515" s="17"/>
      <c r="F515" s="21"/>
      <c r="G515" s="16"/>
      <c r="H515" s="16"/>
      <c r="I515" s="22"/>
      <c r="J515" s="22"/>
      <c r="K515" s="16"/>
      <c r="L515" s="16"/>
      <c r="M515" s="16"/>
      <c r="N515" s="19"/>
      <c r="O515" s="19"/>
      <c r="P515" s="19"/>
      <c r="Q515" s="19"/>
      <c r="R515" s="19"/>
      <c r="S515" s="19"/>
      <c r="T515" s="19"/>
      <c r="U515" s="19"/>
      <c r="V515" s="59"/>
      <c r="W515" s="20"/>
      <c r="X515" s="43"/>
    </row>
    <row r="516" spans="1:24" ht="15.75" hidden="1" customHeight="1" x14ac:dyDescent="0.25">
      <c r="A516" s="16"/>
      <c r="B516" s="16"/>
      <c r="C516" s="16"/>
      <c r="D516" s="40"/>
      <c r="E516" s="17"/>
      <c r="F516" s="21"/>
      <c r="G516" s="16"/>
      <c r="H516" s="16"/>
      <c r="I516" s="22"/>
      <c r="J516" s="22"/>
      <c r="K516" s="16"/>
      <c r="L516" s="16"/>
      <c r="M516" s="16"/>
      <c r="N516" s="19"/>
      <c r="O516" s="19"/>
      <c r="P516" s="19"/>
      <c r="Q516" s="19"/>
      <c r="R516" s="19"/>
      <c r="S516" s="19"/>
      <c r="T516" s="19"/>
      <c r="U516" s="19"/>
      <c r="V516" s="59"/>
      <c r="W516" s="20"/>
      <c r="X516" s="43"/>
    </row>
    <row r="517" spans="1:24" ht="15.75" hidden="1" customHeight="1" x14ac:dyDescent="0.25">
      <c r="A517" s="16"/>
      <c r="B517" s="16"/>
      <c r="C517" s="16"/>
      <c r="D517" s="40"/>
      <c r="E517" s="17"/>
      <c r="F517" s="21"/>
      <c r="G517" s="16"/>
      <c r="H517" s="16"/>
      <c r="I517" s="22"/>
      <c r="J517" s="22"/>
      <c r="K517" s="16"/>
      <c r="L517" s="16"/>
      <c r="M517" s="16"/>
      <c r="N517" s="19"/>
      <c r="O517" s="19"/>
      <c r="P517" s="19"/>
      <c r="Q517" s="19"/>
      <c r="R517" s="19"/>
      <c r="S517" s="19"/>
      <c r="T517" s="19"/>
      <c r="U517" s="19"/>
      <c r="V517" s="59"/>
      <c r="W517" s="20"/>
      <c r="X517" s="43"/>
    </row>
    <row r="518" spans="1:24" ht="15.75" hidden="1" customHeight="1" x14ac:dyDescent="0.25">
      <c r="A518" s="16"/>
      <c r="B518" s="16"/>
      <c r="C518" s="16"/>
      <c r="D518" s="40"/>
      <c r="E518" s="17"/>
      <c r="F518" s="21"/>
      <c r="G518" s="16"/>
      <c r="H518" s="16"/>
      <c r="I518" s="22"/>
      <c r="J518" s="22"/>
      <c r="K518" s="16"/>
      <c r="L518" s="16"/>
      <c r="M518" s="16"/>
      <c r="N518" s="19"/>
      <c r="O518" s="19"/>
      <c r="P518" s="19"/>
      <c r="Q518" s="19"/>
      <c r="R518" s="19"/>
      <c r="S518" s="19"/>
      <c r="T518" s="19"/>
      <c r="U518" s="19"/>
      <c r="V518" s="59"/>
      <c r="W518" s="20"/>
      <c r="X518" s="43"/>
    </row>
    <row r="519" spans="1:24" ht="15.75" hidden="1" customHeight="1" x14ac:dyDescent="0.25">
      <c r="A519" s="16"/>
      <c r="B519" s="16"/>
      <c r="C519" s="16"/>
      <c r="D519" s="40"/>
      <c r="E519" s="17"/>
      <c r="F519" s="21"/>
      <c r="G519" s="16"/>
      <c r="H519" s="16"/>
      <c r="I519" s="22"/>
      <c r="J519" s="22"/>
      <c r="K519" s="16"/>
      <c r="L519" s="16"/>
      <c r="M519" s="16"/>
      <c r="N519" s="19"/>
      <c r="O519" s="19"/>
      <c r="P519" s="19"/>
      <c r="Q519" s="19"/>
      <c r="R519" s="19"/>
      <c r="S519" s="19"/>
      <c r="T519" s="19"/>
      <c r="U519" s="19"/>
      <c r="V519" s="59"/>
      <c r="W519" s="20"/>
      <c r="X519" s="43"/>
    </row>
    <row r="520" spans="1:24" ht="15.75" hidden="1" customHeight="1" x14ac:dyDescent="0.25">
      <c r="A520" s="16"/>
      <c r="B520" s="16"/>
      <c r="C520" s="16"/>
      <c r="D520" s="40"/>
      <c r="E520" s="17"/>
      <c r="F520" s="21"/>
      <c r="G520" s="16"/>
      <c r="H520" s="16"/>
      <c r="I520" s="22"/>
      <c r="J520" s="22"/>
      <c r="K520" s="16"/>
      <c r="L520" s="16"/>
      <c r="M520" s="16"/>
      <c r="N520" s="19"/>
      <c r="O520" s="19"/>
      <c r="P520" s="19"/>
      <c r="Q520" s="19"/>
      <c r="R520" s="19"/>
      <c r="S520" s="19"/>
      <c r="T520" s="19"/>
      <c r="U520" s="19"/>
      <c r="V520" s="59"/>
      <c r="W520" s="20"/>
      <c r="X520" s="43"/>
    </row>
    <row r="521" spans="1:24" ht="15.75" hidden="1" customHeight="1" x14ac:dyDescent="0.25">
      <c r="A521" s="16"/>
      <c r="B521" s="16"/>
      <c r="C521" s="16"/>
      <c r="D521" s="40"/>
      <c r="E521" s="17"/>
      <c r="F521" s="21"/>
      <c r="G521" s="16"/>
      <c r="H521" s="16"/>
      <c r="I521" s="22"/>
      <c r="J521" s="22"/>
      <c r="K521" s="16"/>
      <c r="L521" s="16"/>
      <c r="M521" s="16"/>
      <c r="N521" s="19"/>
      <c r="O521" s="19"/>
      <c r="P521" s="19"/>
      <c r="Q521" s="19"/>
      <c r="R521" s="19"/>
      <c r="S521" s="19"/>
      <c r="T521" s="19"/>
      <c r="U521" s="19"/>
      <c r="V521" s="59"/>
      <c r="W521" s="20"/>
      <c r="X521" s="43"/>
    </row>
    <row r="522" spans="1:24" ht="15.75" hidden="1" customHeight="1" x14ac:dyDescent="0.25">
      <c r="A522" s="16"/>
      <c r="B522" s="16"/>
      <c r="C522" s="16"/>
      <c r="D522" s="40"/>
      <c r="E522" s="17"/>
      <c r="F522" s="21"/>
      <c r="G522" s="16"/>
      <c r="H522" s="16"/>
      <c r="I522" s="22"/>
      <c r="J522" s="22"/>
      <c r="K522" s="16"/>
      <c r="L522" s="16"/>
      <c r="M522" s="16"/>
      <c r="N522" s="19"/>
      <c r="O522" s="19"/>
      <c r="P522" s="19"/>
      <c r="Q522" s="19"/>
      <c r="R522" s="19"/>
      <c r="S522" s="19"/>
      <c r="T522" s="19"/>
      <c r="U522" s="19"/>
      <c r="V522" s="59"/>
      <c r="W522" s="20"/>
      <c r="X522" s="43"/>
    </row>
    <row r="523" spans="1:24" ht="15.75" hidden="1" customHeight="1" x14ac:dyDescent="0.25">
      <c r="A523" s="16"/>
      <c r="B523" s="16"/>
      <c r="C523" s="16"/>
      <c r="D523" s="40"/>
      <c r="E523" s="17"/>
      <c r="F523" s="21"/>
      <c r="G523" s="16"/>
      <c r="H523" s="16"/>
      <c r="I523" s="22"/>
      <c r="J523" s="22"/>
      <c r="K523" s="16"/>
      <c r="L523" s="16"/>
      <c r="M523" s="16"/>
      <c r="N523" s="19"/>
      <c r="O523" s="19"/>
      <c r="P523" s="19"/>
      <c r="Q523" s="19"/>
      <c r="R523" s="19"/>
      <c r="S523" s="19"/>
      <c r="T523" s="19"/>
      <c r="U523" s="19"/>
      <c r="V523" s="59"/>
      <c r="W523" s="20"/>
      <c r="X523" s="43"/>
    </row>
    <row r="524" spans="1:24" ht="15.75" hidden="1" customHeight="1" x14ac:dyDescent="0.25">
      <c r="A524" s="16"/>
      <c r="B524" s="16"/>
      <c r="C524" s="16"/>
      <c r="D524" s="40"/>
      <c r="E524" s="17"/>
      <c r="F524" s="21"/>
      <c r="G524" s="16"/>
      <c r="H524" s="16"/>
      <c r="I524" s="22"/>
      <c r="J524" s="22"/>
      <c r="K524" s="16"/>
      <c r="L524" s="16"/>
      <c r="M524" s="16"/>
      <c r="N524" s="19"/>
      <c r="O524" s="19"/>
      <c r="P524" s="19"/>
      <c r="Q524" s="19"/>
      <c r="R524" s="19"/>
      <c r="S524" s="19"/>
      <c r="T524" s="19"/>
      <c r="U524" s="19"/>
      <c r="V524" s="59"/>
      <c r="W524" s="20"/>
      <c r="X524" s="43"/>
    </row>
    <row r="525" spans="1:24" ht="15.75" hidden="1" customHeight="1" x14ac:dyDescent="0.25">
      <c r="A525" s="16"/>
      <c r="B525" s="16"/>
      <c r="C525" s="16"/>
      <c r="D525" s="40"/>
      <c r="E525" s="17"/>
      <c r="F525" s="21"/>
      <c r="G525" s="16"/>
      <c r="H525" s="16"/>
      <c r="I525" s="22"/>
      <c r="J525" s="22"/>
      <c r="K525" s="16"/>
      <c r="L525" s="16"/>
      <c r="M525" s="16"/>
      <c r="N525" s="19"/>
      <c r="O525" s="19"/>
      <c r="P525" s="19"/>
      <c r="Q525" s="19"/>
      <c r="R525" s="19"/>
      <c r="S525" s="19"/>
      <c r="T525" s="19"/>
      <c r="U525" s="19"/>
      <c r="V525" s="59"/>
      <c r="W525" s="20"/>
      <c r="X525" s="43"/>
    </row>
    <row r="526" spans="1:24" ht="15.75" hidden="1" customHeight="1" x14ac:dyDescent="0.25">
      <c r="A526" s="16"/>
      <c r="B526" s="16"/>
      <c r="C526" s="16"/>
      <c r="D526" s="40"/>
      <c r="E526" s="17"/>
      <c r="F526" s="21"/>
      <c r="G526" s="16"/>
      <c r="H526" s="16"/>
      <c r="I526" s="22"/>
      <c r="J526" s="22"/>
      <c r="K526" s="16"/>
      <c r="L526" s="16"/>
      <c r="M526" s="16"/>
      <c r="N526" s="19"/>
      <c r="O526" s="19"/>
      <c r="P526" s="19"/>
      <c r="Q526" s="19"/>
      <c r="R526" s="19"/>
      <c r="S526" s="19"/>
      <c r="T526" s="19"/>
      <c r="U526" s="19"/>
      <c r="V526" s="59"/>
      <c r="W526" s="20"/>
      <c r="X526" s="43"/>
    </row>
    <row r="527" spans="1:24" ht="15.75" hidden="1" customHeight="1" x14ac:dyDescent="0.25">
      <c r="A527" s="16"/>
      <c r="B527" s="16"/>
      <c r="C527" s="16"/>
      <c r="D527" s="40"/>
      <c r="E527" s="17"/>
      <c r="F527" s="21"/>
      <c r="G527" s="16"/>
      <c r="H527" s="16"/>
      <c r="I527" s="22"/>
      <c r="J527" s="22"/>
      <c r="K527" s="16"/>
      <c r="L527" s="16"/>
      <c r="M527" s="16"/>
      <c r="N527" s="19"/>
      <c r="O527" s="19"/>
      <c r="P527" s="19"/>
      <c r="Q527" s="19"/>
      <c r="R527" s="19"/>
      <c r="S527" s="19"/>
      <c r="T527" s="19"/>
      <c r="U527" s="19"/>
      <c r="V527" s="59"/>
      <c r="W527" s="20"/>
      <c r="X527" s="43"/>
    </row>
    <row r="528" spans="1:24" ht="15.75" hidden="1" customHeight="1" x14ac:dyDescent="0.25">
      <c r="A528" s="16"/>
      <c r="B528" s="16"/>
      <c r="C528" s="16"/>
      <c r="D528" s="40"/>
      <c r="E528" s="17"/>
      <c r="F528" s="21"/>
      <c r="G528" s="16"/>
      <c r="H528" s="16"/>
      <c r="I528" s="22"/>
      <c r="J528" s="22"/>
      <c r="K528" s="16"/>
      <c r="L528" s="16"/>
      <c r="M528" s="16"/>
      <c r="N528" s="19"/>
      <c r="O528" s="19"/>
      <c r="P528" s="19"/>
      <c r="Q528" s="19"/>
      <c r="R528" s="19"/>
      <c r="S528" s="19"/>
      <c r="T528" s="19"/>
      <c r="U528" s="19"/>
      <c r="V528" s="59"/>
      <c r="W528" s="20"/>
      <c r="X528" s="43"/>
    </row>
    <row r="529" spans="1:24" ht="15.75" hidden="1" customHeight="1" x14ac:dyDescent="0.25">
      <c r="A529" s="16"/>
      <c r="B529" s="16"/>
      <c r="C529" s="16"/>
      <c r="D529" s="40"/>
      <c r="E529" s="17"/>
      <c r="F529" s="21"/>
      <c r="G529" s="16"/>
      <c r="H529" s="16"/>
      <c r="I529" s="22"/>
      <c r="J529" s="22"/>
      <c r="K529" s="16"/>
      <c r="L529" s="16"/>
      <c r="M529" s="16"/>
      <c r="N529" s="19"/>
      <c r="O529" s="19"/>
      <c r="P529" s="19"/>
      <c r="Q529" s="19"/>
      <c r="R529" s="19"/>
      <c r="S529" s="19"/>
      <c r="T529" s="19"/>
      <c r="U529" s="19"/>
      <c r="V529" s="59"/>
      <c r="W529" s="20"/>
      <c r="X529" s="43"/>
    </row>
    <row r="530" spans="1:24" ht="15.75" hidden="1" customHeight="1" x14ac:dyDescent="0.25">
      <c r="A530" s="16"/>
      <c r="B530" s="16"/>
      <c r="C530" s="16"/>
      <c r="D530" s="40"/>
      <c r="E530" s="17"/>
      <c r="F530" s="21"/>
      <c r="G530" s="16"/>
      <c r="H530" s="16"/>
      <c r="I530" s="22"/>
      <c r="J530" s="22"/>
      <c r="K530" s="16"/>
      <c r="L530" s="16"/>
      <c r="M530" s="16"/>
      <c r="N530" s="19"/>
      <c r="O530" s="19"/>
      <c r="P530" s="19"/>
      <c r="Q530" s="19"/>
      <c r="R530" s="19"/>
      <c r="S530" s="19"/>
      <c r="T530" s="19"/>
      <c r="U530" s="19"/>
      <c r="V530" s="59"/>
      <c r="W530" s="20"/>
      <c r="X530" s="43"/>
    </row>
    <row r="531" spans="1:24" ht="15.75" hidden="1" customHeight="1" x14ac:dyDescent="0.25">
      <c r="A531" s="16"/>
      <c r="B531" s="16"/>
      <c r="C531" s="16"/>
      <c r="D531" s="40"/>
      <c r="E531" s="17"/>
      <c r="F531" s="21"/>
      <c r="G531" s="16"/>
      <c r="H531" s="16"/>
      <c r="I531" s="22"/>
      <c r="J531" s="22"/>
      <c r="K531" s="16"/>
      <c r="L531" s="16"/>
      <c r="M531" s="16"/>
      <c r="N531" s="19"/>
      <c r="O531" s="19"/>
      <c r="P531" s="19"/>
      <c r="Q531" s="19"/>
      <c r="R531" s="19"/>
      <c r="S531" s="19"/>
      <c r="T531" s="19"/>
      <c r="U531" s="19"/>
      <c r="V531" s="59"/>
      <c r="W531" s="20"/>
      <c r="X531" s="43"/>
    </row>
    <row r="532" spans="1:24" ht="15.75" hidden="1" customHeight="1" x14ac:dyDescent="0.25">
      <c r="A532" s="16"/>
      <c r="B532" s="16"/>
      <c r="C532" s="16"/>
      <c r="D532" s="40"/>
      <c r="E532" s="17"/>
      <c r="F532" s="21"/>
      <c r="G532" s="16"/>
      <c r="H532" s="16"/>
      <c r="I532" s="22"/>
      <c r="J532" s="22"/>
      <c r="K532" s="16"/>
      <c r="L532" s="16"/>
      <c r="M532" s="16"/>
      <c r="N532" s="19"/>
      <c r="O532" s="19"/>
      <c r="P532" s="19"/>
      <c r="Q532" s="19"/>
      <c r="R532" s="19"/>
      <c r="S532" s="19"/>
      <c r="T532" s="19"/>
      <c r="U532" s="19"/>
      <c r="V532" s="59"/>
      <c r="W532" s="20"/>
      <c r="X532" s="43"/>
    </row>
    <row r="533" spans="1:24" ht="15.75" hidden="1" customHeight="1" x14ac:dyDescent="0.25">
      <c r="A533" s="16"/>
      <c r="B533" s="16"/>
      <c r="C533" s="16"/>
      <c r="D533" s="40"/>
      <c r="E533" s="17"/>
      <c r="F533" s="21"/>
      <c r="G533" s="16"/>
      <c r="H533" s="16"/>
      <c r="I533" s="22"/>
      <c r="J533" s="22"/>
      <c r="K533" s="16"/>
      <c r="L533" s="16"/>
      <c r="M533" s="16"/>
      <c r="N533" s="19"/>
      <c r="O533" s="19"/>
      <c r="P533" s="19"/>
      <c r="Q533" s="19"/>
      <c r="R533" s="19"/>
      <c r="S533" s="19"/>
      <c r="T533" s="19"/>
      <c r="U533" s="19"/>
      <c r="V533" s="59"/>
      <c r="W533" s="20"/>
      <c r="X533" s="43"/>
    </row>
    <row r="534" spans="1:24" ht="15.75" hidden="1" customHeight="1" x14ac:dyDescent="0.25">
      <c r="A534" s="16"/>
      <c r="B534" s="16"/>
      <c r="C534" s="16"/>
      <c r="D534" s="40"/>
      <c r="E534" s="17"/>
      <c r="F534" s="21"/>
      <c r="G534" s="16"/>
      <c r="H534" s="16"/>
      <c r="I534" s="22"/>
      <c r="J534" s="22"/>
      <c r="K534" s="16"/>
      <c r="L534" s="16"/>
      <c r="M534" s="16"/>
      <c r="N534" s="19"/>
      <c r="O534" s="19"/>
      <c r="P534" s="19"/>
      <c r="Q534" s="19"/>
      <c r="R534" s="19"/>
      <c r="S534" s="19"/>
      <c r="T534" s="19"/>
      <c r="U534" s="19"/>
      <c r="V534" s="59"/>
      <c r="W534" s="20"/>
      <c r="X534" s="43"/>
    </row>
    <row r="535" spans="1:24" ht="15.75" hidden="1" customHeight="1" x14ac:dyDescent="0.25">
      <c r="A535" s="16"/>
      <c r="B535" s="16"/>
      <c r="C535" s="16"/>
      <c r="D535" s="40"/>
      <c r="E535" s="17"/>
      <c r="F535" s="21"/>
      <c r="G535" s="16"/>
      <c r="H535" s="16"/>
      <c r="I535" s="22"/>
      <c r="J535" s="22"/>
      <c r="K535" s="16"/>
      <c r="L535" s="16"/>
      <c r="M535" s="16"/>
      <c r="N535" s="19"/>
      <c r="O535" s="19"/>
      <c r="P535" s="19"/>
      <c r="Q535" s="19"/>
      <c r="R535" s="19"/>
      <c r="S535" s="19"/>
      <c r="T535" s="19"/>
      <c r="U535" s="19"/>
      <c r="V535" s="59"/>
      <c r="W535" s="20"/>
      <c r="X535" s="43"/>
    </row>
    <row r="536" spans="1:24" ht="15.75" hidden="1" customHeight="1" x14ac:dyDescent="0.25">
      <c r="A536" s="16"/>
      <c r="B536" s="16"/>
      <c r="C536" s="16"/>
      <c r="D536" s="40"/>
      <c r="E536" s="17"/>
      <c r="F536" s="21"/>
      <c r="G536" s="16"/>
      <c r="H536" s="16"/>
      <c r="I536" s="22"/>
      <c r="J536" s="22"/>
      <c r="K536" s="16"/>
      <c r="L536" s="16"/>
      <c r="M536" s="16"/>
      <c r="N536" s="19"/>
      <c r="O536" s="19"/>
      <c r="P536" s="19"/>
      <c r="Q536" s="19"/>
      <c r="R536" s="19"/>
      <c r="S536" s="19"/>
      <c r="T536" s="19"/>
      <c r="U536" s="19"/>
      <c r="V536" s="59"/>
      <c r="W536" s="20"/>
      <c r="X536" s="43"/>
    </row>
    <row r="537" spans="1:24" ht="15.75" hidden="1" customHeight="1" x14ac:dyDescent="0.25">
      <c r="A537" s="16"/>
      <c r="B537" s="16"/>
      <c r="C537" s="16"/>
      <c r="D537" s="40"/>
      <c r="E537" s="17"/>
      <c r="F537" s="21"/>
      <c r="G537" s="16"/>
      <c r="H537" s="16"/>
      <c r="I537" s="22"/>
      <c r="J537" s="22"/>
      <c r="K537" s="16"/>
      <c r="L537" s="16"/>
      <c r="M537" s="16"/>
      <c r="N537" s="19"/>
      <c r="O537" s="19"/>
      <c r="P537" s="19"/>
      <c r="Q537" s="19"/>
      <c r="R537" s="19"/>
      <c r="S537" s="19"/>
      <c r="T537" s="19"/>
      <c r="U537" s="19"/>
      <c r="V537" s="59"/>
      <c r="W537" s="20"/>
      <c r="X537" s="43"/>
    </row>
    <row r="538" spans="1:24" ht="15.75" hidden="1" customHeight="1" x14ac:dyDescent="0.25">
      <c r="A538" s="16"/>
      <c r="B538" s="16"/>
      <c r="C538" s="16"/>
      <c r="D538" s="40"/>
      <c r="E538" s="17"/>
      <c r="F538" s="21"/>
      <c r="G538" s="16"/>
      <c r="H538" s="16"/>
      <c r="I538" s="22"/>
      <c r="J538" s="22"/>
      <c r="K538" s="16"/>
      <c r="L538" s="16"/>
      <c r="M538" s="16"/>
      <c r="N538" s="19"/>
      <c r="O538" s="19"/>
      <c r="P538" s="19"/>
      <c r="Q538" s="19"/>
      <c r="R538" s="19"/>
      <c r="S538" s="19"/>
      <c r="T538" s="19"/>
      <c r="U538" s="19"/>
      <c r="V538" s="59"/>
      <c r="W538" s="20"/>
      <c r="X538" s="43"/>
    </row>
    <row r="539" spans="1:24" ht="15.75" hidden="1" customHeight="1" x14ac:dyDescent="0.25">
      <c r="A539" s="16"/>
      <c r="B539" s="16"/>
      <c r="C539" s="16"/>
      <c r="D539" s="40"/>
      <c r="E539" s="17"/>
      <c r="F539" s="21"/>
      <c r="G539" s="16"/>
      <c r="H539" s="16"/>
      <c r="I539" s="22"/>
      <c r="J539" s="22"/>
      <c r="K539" s="16"/>
      <c r="L539" s="16"/>
      <c r="M539" s="16"/>
      <c r="N539" s="19"/>
      <c r="O539" s="19"/>
      <c r="P539" s="19"/>
      <c r="Q539" s="19"/>
      <c r="R539" s="19"/>
      <c r="S539" s="19"/>
      <c r="T539" s="19"/>
      <c r="U539" s="19"/>
      <c r="V539" s="59"/>
      <c r="W539" s="20"/>
      <c r="X539" s="43"/>
    </row>
    <row r="540" spans="1:24" ht="15.75" hidden="1" customHeight="1" x14ac:dyDescent="0.25">
      <c r="A540" s="16"/>
      <c r="B540" s="16"/>
      <c r="C540" s="16"/>
      <c r="D540" s="40"/>
      <c r="E540" s="17"/>
      <c r="F540" s="21"/>
      <c r="G540" s="16"/>
      <c r="H540" s="16"/>
      <c r="I540" s="22"/>
      <c r="J540" s="22"/>
      <c r="K540" s="16"/>
      <c r="L540" s="16"/>
      <c r="M540" s="16"/>
      <c r="N540" s="19"/>
      <c r="O540" s="19"/>
      <c r="P540" s="19"/>
      <c r="Q540" s="19"/>
      <c r="R540" s="19"/>
      <c r="S540" s="19"/>
      <c r="T540" s="19"/>
      <c r="U540" s="19"/>
      <c r="V540" s="59"/>
      <c r="W540" s="20"/>
      <c r="X540" s="43"/>
    </row>
    <row r="541" spans="1:24" ht="15.75" hidden="1" customHeight="1" x14ac:dyDescent="0.25">
      <c r="A541" s="16"/>
      <c r="B541" s="16"/>
      <c r="C541" s="16"/>
      <c r="D541" s="40"/>
      <c r="E541" s="17"/>
      <c r="F541" s="21"/>
      <c r="G541" s="16"/>
      <c r="H541" s="16"/>
      <c r="I541" s="22"/>
      <c r="J541" s="22"/>
      <c r="K541" s="16"/>
      <c r="L541" s="16"/>
      <c r="M541" s="16"/>
      <c r="N541" s="19"/>
      <c r="O541" s="19"/>
      <c r="P541" s="19"/>
      <c r="Q541" s="19"/>
      <c r="R541" s="19"/>
      <c r="S541" s="19"/>
      <c r="T541" s="19"/>
      <c r="U541" s="19"/>
      <c r="V541" s="59"/>
      <c r="W541" s="20"/>
      <c r="X541" s="43"/>
    </row>
    <row r="542" spans="1:24" ht="15.75" hidden="1" customHeight="1" x14ac:dyDescent="0.25">
      <c r="A542" s="16"/>
      <c r="B542" s="16"/>
      <c r="C542" s="16"/>
      <c r="D542" s="40"/>
      <c r="E542" s="17"/>
      <c r="F542" s="21"/>
      <c r="G542" s="16"/>
      <c r="H542" s="16"/>
      <c r="I542" s="22"/>
      <c r="J542" s="22"/>
      <c r="K542" s="16"/>
      <c r="L542" s="16"/>
      <c r="M542" s="16"/>
      <c r="N542" s="19"/>
      <c r="O542" s="19"/>
      <c r="P542" s="19"/>
      <c r="Q542" s="19"/>
      <c r="R542" s="19"/>
      <c r="S542" s="19"/>
      <c r="T542" s="19"/>
      <c r="U542" s="19"/>
      <c r="V542" s="59"/>
      <c r="W542" s="20"/>
      <c r="X542" s="43"/>
    </row>
    <row r="543" spans="1:24" ht="15.75" hidden="1" customHeight="1" x14ac:dyDescent="0.25">
      <c r="A543" s="16"/>
      <c r="B543" s="16"/>
      <c r="C543" s="16"/>
      <c r="D543" s="40"/>
      <c r="E543" s="17"/>
      <c r="F543" s="21"/>
      <c r="G543" s="16"/>
      <c r="H543" s="16"/>
      <c r="I543" s="22"/>
      <c r="J543" s="22"/>
      <c r="K543" s="16"/>
      <c r="L543" s="16"/>
      <c r="M543" s="16"/>
      <c r="N543" s="19"/>
      <c r="O543" s="19"/>
      <c r="P543" s="19"/>
      <c r="Q543" s="19"/>
      <c r="R543" s="19"/>
      <c r="S543" s="19"/>
      <c r="T543" s="19"/>
      <c r="U543" s="19"/>
      <c r="V543" s="59"/>
      <c r="W543" s="20"/>
      <c r="X543" s="43"/>
    </row>
    <row r="544" spans="1:24" ht="15.75" hidden="1" customHeight="1" x14ac:dyDescent="0.25">
      <c r="A544" s="16"/>
      <c r="B544" s="16"/>
      <c r="C544" s="16"/>
      <c r="D544" s="40"/>
      <c r="E544" s="17"/>
      <c r="F544" s="21"/>
      <c r="G544" s="16"/>
      <c r="H544" s="16"/>
      <c r="I544" s="22"/>
      <c r="J544" s="22"/>
      <c r="K544" s="16"/>
      <c r="L544" s="16"/>
      <c r="M544" s="16"/>
      <c r="N544" s="19"/>
      <c r="O544" s="19"/>
      <c r="P544" s="19"/>
      <c r="Q544" s="19"/>
      <c r="R544" s="19"/>
      <c r="S544" s="19"/>
      <c r="T544" s="19"/>
      <c r="U544" s="19"/>
      <c r="V544" s="59"/>
      <c r="W544" s="20"/>
      <c r="X544" s="43"/>
    </row>
    <row r="545" spans="1:24" ht="15.75" hidden="1" customHeight="1" x14ac:dyDescent="0.25">
      <c r="A545" s="16"/>
      <c r="B545" s="16"/>
      <c r="C545" s="16"/>
      <c r="D545" s="40"/>
      <c r="E545" s="17"/>
      <c r="F545" s="21"/>
      <c r="G545" s="16"/>
      <c r="H545" s="16"/>
      <c r="I545" s="22"/>
      <c r="J545" s="22"/>
      <c r="K545" s="16"/>
      <c r="L545" s="16"/>
      <c r="M545" s="16"/>
      <c r="N545" s="19"/>
      <c r="O545" s="19"/>
      <c r="P545" s="19"/>
      <c r="Q545" s="19"/>
      <c r="R545" s="19"/>
      <c r="S545" s="19"/>
      <c r="T545" s="19"/>
      <c r="U545" s="19"/>
      <c r="V545" s="59"/>
      <c r="W545" s="20"/>
      <c r="X545" s="43"/>
    </row>
    <row r="546" spans="1:24" ht="15.75" hidden="1" customHeight="1" x14ac:dyDescent="0.25">
      <c r="A546" s="16"/>
      <c r="B546" s="16"/>
      <c r="C546" s="16"/>
      <c r="D546" s="40"/>
      <c r="E546" s="17"/>
      <c r="F546" s="21"/>
      <c r="G546" s="16"/>
      <c r="H546" s="16"/>
      <c r="I546" s="22"/>
      <c r="J546" s="22"/>
      <c r="K546" s="16"/>
      <c r="L546" s="16"/>
      <c r="M546" s="16"/>
      <c r="N546" s="19"/>
      <c r="O546" s="19"/>
      <c r="P546" s="19"/>
      <c r="Q546" s="19"/>
      <c r="R546" s="19"/>
      <c r="S546" s="19"/>
      <c r="T546" s="19"/>
      <c r="U546" s="19"/>
      <c r="V546" s="59"/>
      <c r="W546" s="20"/>
      <c r="X546" s="43"/>
    </row>
    <row r="547" spans="1:24" ht="15.75" hidden="1" customHeight="1" x14ac:dyDescent="0.25">
      <c r="A547" s="16"/>
      <c r="B547" s="16"/>
      <c r="C547" s="16"/>
      <c r="D547" s="40"/>
      <c r="E547" s="17"/>
      <c r="F547" s="21"/>
      <c r="G547" s="16"/>
      <c r="H547" s="16"/>
      <c r="I547" s="22"/>
      <c r="J547" s="22"/>
      <c r="K547" s="16"/>
      <c r="L547" s="16"/>
      <c r="M547" s="16"/>
      <c r="N547" s="19"/>
      <c r="O547" s="19"/>
      <c r="P547" s="19"/>
      <c r="Q547" s="19"/>
      <c r="R547" s="19"/>
      <c r="S547" s="19"/>
      <c r="T547" s="19"/>
      <c r="U547" s="19"/>
      <c r="V547" s="59"/>
      <c r="W547" s="20"/>
      <c r="X547" s="43"/>
    </row>
    <row r="548" spans="1:24" ht="15.75" hidden="1" customHeight="1" x14ac:dyDescent="0.25">
      <c r="A548" s="16"/>
      <c r="B548" s="16"/>
      <c r="C548" s="16"/>
      <c r="D548" s="40"/>
      <c r="E548" s="17"/>
      <c r="F548" s="21"/>
      <c r="G548" s="16"/>
      <c r="H548" s="16"/>
      <c r="I548" s="22"/>
      <c r="J548" s="22"/>
      <c r="K548" s="16"/>
      <c r="L548" s="16"/>
      <c r="M548" s="16"/>
      <c r="N548" s="19"/>
      <c r="O548" s="19"/>
      <c r="P548" s="19"/>
      <c r="Q548" s="19"/>
      <c r="R548" s="19"/>
      <c r="S548" s="19"/>
      <c r="T548" s="19"/>
      <c r="U548" s="19"/>
      <c r="V548" s="59"/>
      <c r="W548" s="20"/>
      <c r="X548" s="43"/>
    </row>
    <row r="549" spans="1:24" ht="15.75" hidden="1" customHeight="1" x14ac:dyDescent="0.25">
      <c r="A549" s="16"/>
      <c r="B549" s="16"/>
      <c r="C549" s="16"/>
      <c r="D549" s="40"/>
      <c r="E549" s="17"/>
      <c r="F549" s="21"/>
      <c r="G549" s="16"/>
      <c r="H549" s="16"/>
      <c r="I549" s="22"/>
      <c r="J549" s="22"/>
      <c r="K549" s="16"/>
      <c r="L549" s="16"/>
      <c r="M549" s="16"/>
      <c r="N549" s="19"/>
      <c r="O549" s="19"/>
      <c r="P549" s="19"/>
      <c r="Q549" s="19"/>
      <c r="R549" s="19"/>
      <c r="S549" s="19"/>
      <c r="T549" s="19"/>
      <c r="U549" s="19"/>
      <c r="V549" s="59"/>
      <c r="W549" s="20"/>
      <c r="X549" s="43"/>
    </row>
    <row r="550" spans="1:24" ht="15.75" hidden="1" customHeight="1" x14ac:dyDescent="0.25">
      <c r="A550" s="16"/>
      <c r="B550" s="16"/>
      <c r="C550" s="16"/>
      <c r="D550" s="40"/>
      <c r="E550" s="17"/>
      <c r="F550" s="21"/>
      <c r="G550" s="16"/>
      <c r="H550" s="16"/>
      <c r="I550" s="22"/>
      <c r="J550" s="22"/>
      <c r="K550" s="16"/>
      <c r="L550" s="16"/>
      <c r="M550" s="16"/>
      <c r="N550" s="19"/>
      <c r="O550" s="19"/>
      <c r="P550" s="19"/>
      <c r="Q550" s="19"/>
      <c r="R550" s="19"/>
      <c r="S550" s="19"/>
      <c r="T550" s="19"/>
      <c r="U550" s="19"/>
      <c r="V550" s="59"/>
      <c r="W550" s="20"/>
      <c r="X550" s="43"/>
    </row>
    <row r="551" spans="1:24" ht="15.75" hidden="1" customHeight="1" x14ac:dyDescent="0.25">
      <c r="A551" s="16"/>
      <c r="B551" s="16"/>
      <c r="C551" s="16"/>
      <c r="D551" s="40"/>
      <c r="E551" s="17"/>
      <c r="F551" s="21"/>
      <c r="G551" s="16"/>
      <c r="H551" s="16"/>
      <c r="I551" s="22"/>
      <c r="J551" s="22"/>
      <c r="K551" s="16"/>
      <c r="L551" s="16"/>
      <c r="M551" s="16"/>
      <c r="N551" s="19"/>
      <c r="O551" s="19"/>
      <c r="P551" s="19"/>
      <c r="Q551" s="19"/>
      <c r="R551" s="19"/>
      <c r="S551" s="19"/>
      <c r="T551" s="19"/>
      <c r="U551" s="19"/>
      <c r="V551" s="59"/>
      <c r="W551" s="20"/>
      <c r="X551" s="43"/>
    </row>
    <row r="552" spans="1:24" ht="15.75" hidden="1" customHeight="1" x14ac:dyDescent="0.25">
      <c r="A552" s="16"/>
      <c r="B552" s="16"/>
      <c r="C552" s="16"/>
      <c r="D552" s="40"/>
      <c r="E552" s="17"/>
      <c r="F552" s="21"/>
      <c r="G552" s="16"/>
      <c r="H552" s="16"/>
      <c r="I552" s="22"/>
      <c r="J552" s="22"/>
      <c r="K552" s="16"/>
      <c r="L552" s="16"/>
      <c r="M552" s="16"/>
      <c r="N552" s="19"/>
      <c r="O552" s="19"/>
      <c r="P552" s="19"/>
      <c r="Q552" s="19"/>
      <c r="R552" s="19"/>
      <c r="S552" s="19"/>
      <c r="T552" s="19"/>
      <c r="U552" s="19"/>
      <c r="V552" s="59"/>
      <c r="W552" s="20"/>
      <c r="X552" s="43"/>
    </row>
    <row r="553" spans="1:24" ht="15.75" hidden="1" customHeight="1" x14ac:dyDescent="0.25">
      <c r="A553" s="16"/>
      <c r="B553" s="16"/>
      <c r="C553" s="16"/>
      <c r="D553" s="40"/>
      <c r="E553" s="17"/>
      <c r="F553" s="21"/>
      <c r="G553" s="16"/>
      <c r="H553" s="16"/>
      <c r="I553" s="22"/>
      <c r="J553" s="22"/>
      <c r="K553" s="16"/>
      <c r="L553" s="16"/>
      <c r="M553" s="16"/>
      <c r="N553" s="19"/>
      <c r="O553" s="19"/>
      <c r="P553" s="19"/>
      <c r="Q553" s="19"/>
      <c r="R553" s="19"/>
      <c r="S553" s="19"/>
      <c r="T553" s="19"/>
      <c r="U553" s="19"/>
      <c r="V553" s="59"/>
      <c r="W553" s="20"/>
      <c r="X553" s="43"/>
    </row>
    <row r="554" spans="1:24" ht="15.75" hidden="1" customHeight="1" x14ac:dyDescent="0.25">
      <c r="A554" s="16"/>
      <c r="B554" s="16"/>
      <c r="C554" s="16"/>
      <c r="D554" s="40"/>
      <c r="E554" s="17"/>
      <c r="F554" s="21"/>
      <c r="G554" s="16"/>
      <c r="H554" s="16"/>
      <c r="I554" s="22"/>
      <c r="J554" s="22"/>
      <c r="K554" s="16"/>
      <c r="L554" s="16"/>
      <c r="M554" s="16"/>
      <c r="N554" s="19"/>
      <c r="O554" s="19"/>
      <c r="P554" s="19"/>
      <c r="Q554" s="19"/>
      <c r="R554" s="19"/>
      <c r="S554" s="19"/>
      <c r="T554" s="19"/>
      <c r="U554" s="19"/>
      <c r="V554" s="59"/>
      <c r="W554" s="20"/>
      <c r="X554" s="43"/>
    </row>
    <row r="555" spans="1:24" ht="15.75" hidden="1" customHeight="1" x14ac:dyDescent="0.25">
      <c r="A555" s="16"/>
      <c r="B555" s="16"/>
      <c r="C555" s="16"/>
      <c r="D555" s="40"/>
      <c r="E555" s="17"/>
      <c r="F555" s="21"/>
      <c r="G555" s="16"/>
      <c r="H555" s="16"/>
      <c r="I555" s="22"/>
      <c r="J555" s="22"/>
      <c r="K555" s="16"/>
      <c r="L555" s="16"/>
      <c r="M555" s="16"/>
      <c r="N555" s="19"/>
      <c r="O555" s="19"/>
      <c r="P555" s="19"/>
      <c r="Q555" s="19"/>
      <c r="R555" s="19"/>
      <c r="S555" s="19"/>
      <c r="T555" s="19"/>
      <c r="U555" s="19"/>
      <c r="V555" s="59"/>
      <c r="W555" s="20"/>
      <c r="X555" s="43"/>
    </row>
    <row r="556" spans="1:24" ht="15.75" hidden="1" customHeight="1" x14ac:dyDescent="0.25">
      <c r="A556" s="16"/>
      <c r="B556" s="16"/>
      <c r="C556" s="16"/>
      <c r="D556" s="40"/>
      <c r="E556" s="17"/>
      <c r="F556" s="21"/>
      <c r="G556" s="16"/>
      <c r="H556" s="16"/>
      <c r="I556" s="22"/>
      <c r="J556" s="22"/>
      <c r="K556" s="16"/>
      <c r="L556" s="16"/>
      <c r="M556" s="16"/>
      <c r="N556" s="19"/>
      <c r="O556" s="19"/>
      <c r="P556" s="19"/>
      <c r="Q556" s="19"/>
      <c r="R556" s="19"/>
      <c r="S556" s="19"/>
      <c r="T556" s="19"/>
      <c r="U556" s="19"/>
      <c r="V556" s="59"/>
      <c r="W556" s="20"/>
      <c r="X556" s="43"/>
    </row>
    <row r="557" spans="1:24" ht="15.75" hidden="1" customHeight="1" x14ac:dyDescent="0.25">
      <c r="A557" s="16"/>
      <c r="B557" s="16"/>
      <c r="C557" s="16"/>
      <c r="D557" s="40"/>
      <c r="E557" s="17"/>
      <c r="F557" s="21"/>
      <c r="G557" s="16"/>
      <c r="H557" s="16"/>
      <c r="I557" s="22"/>
      <c r="J557" s="22"/>
      <c r="K557" s="16"/>
      <c r="L557" s="16"/>
      <c r="M557" s="16"/>
      <c r="N557" s="19"/>
      <c r="O557" s="19"/>
      <c r="P557" s="19"/>
      <c r="Q557" s="19"/>
      <c r="R557" s="19"/>
      <c r="S557" s="19"/>
      <c r="T557" s="19"/>
      <c r="U557" s="19"/>
      <c r="V557" s="59"/>
      <c r="W557" s="20"/>
      <c r="X557" s="43"/>
    </row>
    <row r="558" spans="1:24" ht="15.75" hidden="1" customHeight="1" x14ac:dyDescent="0.25">
      <c r="A558" s="16"/>
      <c r="B558" s="16"/>
      <c r="C558" s="16"/>
      <c r="D558" s="40"/>
      <c r="E558" s="17"/>
      <c r="F558" s="21"/>
      <c r="G558" s="16"/>
      <c r="H558" s="16"/>
      <c r="I558" s="22"/>
      <c r="J558" s="22"/>
      <c r="K558" s="16"/>
      <c r="L558" s="16"/>
      <c r="M558" s="16"/>
      <c r="N558" s="19"/>
      <c r="O558" s="19"/>
      <c r="P558" s="19"/>
      <c r="Q558" s="19"/>
      <c r="R558" s="19"/>
      <c r="S558" s="19"/>
      <c r="T558" s="19"/>
      <c r="U558" s="19"/>
      <c r="V558" s="59"/>
      <c r="W558" s="20"/>
      <c r="X558" s="43"/>
    </row>
    <row r="559" spans="1:24" ht="15.75" hidden="1" customHeight="1" x14ac:dyDescent="0.25">
      <c r="A559" s="16"/>
      <c r="B559" s="16"/>
      <c r="C559" s="16"/>
      <c r="D559" s="40"/>
      <c r="E559" s="17"/>
      <c r="F559" s="21"/>
      <c r="G559" s="16"/>
      <c r="H559" s="16"/>
      <c r="I559" s="22"/>
      <c r="J559" s="22"/>
      <c r="K559" s="16"/>
      <c r="L559" s="16"/>
      <c r="M559" s="16"/>
      <c r="N559" s="19"/>
      <c r="O559" s="19"/>
      <c r="P559" s="19"/>
      <c r="Q559" s="19"/>
      <c r="R559" s="19"/>
      <c r="S559" s="19"/>
      <c r="T559" s="19"/>
      <c r="U559" s="19"/>
      <c r="V559" s="59"/>
      <c r="W559" s="20"/>
      <c r="X559" s="43"/>
    </row>
    <row r="560" spans="1:24" ht="15.75" hidden="1" customHeight="1" x14ac:dyDescent="0.25">
      <c r="A560" s="16"/>
      <c r="B560" s="16"/>
      <c r="C560" s="16"/>
      <c r="D560" s="40"/>
      <c r="E560" s="17"/>
      <c r="F560" s="21"/>
      <c r="G560" s="16"/>
      <c r="H560" s="16"/>
      <c r="I560" s="22"/>
      <c r="J560" s="22"/>
      <c r="K560" s="16"/>
      <c r="L560" s="16"/>
      <c r="M560" s="16"/>
      <c r="N560" s="19"/>
      <c r="O560" s="19"/>
      <c r="P560" s="19"/>
      <c r="Q560" s="19"/>
      <c r="R560" s="19"/>
      <c r="S560" s="19"/>
      <c r="T560" s="19"/>
      <c r="U560" s="19"/>
      <c r="V560" s="59"/>
      <c r="W560" s="20"/>
      <c r="X560" s="43"/>
    </row>
    <row r="561" spans="1:24" ht="15.75" hidden="1" customHeight="1" x14ac:dyDescent="0.25">
      <c r="A561" s="16"/>
      <c r="B561" s="16"/>
      <c r="C561" s="16"/>
      <c r="D561" s="40"/>
      <c r="E561" s="17"/>
      <c r="F561" s="21"/>
      <c r="G561" s="16"/>
      <c r="H561" s="16"/>
      <c r="I561" s="22"/>
      <c r="J561" s="22"/>
      <c r="K561" s="16"/>
      <c r="L561" s="16"/>
      <c r="M561" s="16"/>
      <c r="N561" s="19"/>
      <c r="O561" s="19"/>
      <c r="P561" s="19"/>
      <c r="Q561" s="19"/>
      <c r="R561" s="19"/>
      <c r="S561" s="19"/>
      <c r="T561" s="19"/>
      <c r="U561" s="19"/>
      <c r="V561" s="59"/>
      <c r="W561" s="20"/>
      <c r="X561" s="43"/>
    </row>
    <row r="562" spans="1:24" ht="15.75" hidden="1" customHeight="1" x14ac:dyDescent="0.25">
      <c r="A562" s="16"/>
      <c r="B562" s="16"/>
      <c r="C562" s="16"/>
      <c r="D562" s="40"/>
      <c r="E562" s="17"/>
      <c r="F562" s="21"/>
      <c r="G562" s="16"/>
      <c r="H562" s="16"/>
      <c r="I562" s="22"/>
      <c r="J562" s="22"/>
      <c r="K562" s="16"/>
      <c r="L562" s="16"/>
      <c r="M562" s="16"/>
      <c r="N562" s="19"/>
      <c r="O562" s="19"/>
      <c r="P562" s="19"/>
      <c r="Q562" s="19"/>
      <c r="R562" s="19"/>
      <c r="S562" s="19"/>
      <c r="T562" s="19"/>
      <c r="U562" s="19"/>
      <c r="V562" s="59"/>
      <c r="W562" s="20"/>
      <c r="X562" s="43"/>
    </row>
    <row r="563" spans="1:24" ht="15.75" hidden="1" customHeight="1" x14ac:dyDescent="0.25">
      <c r="A563" s="16"/>
      <c r="B563" s="16"/>
      <c r="C563" s="16"/>
      <c r="D563" s="40"/>
      <c r="E563" s="17"/>
      <c r="F563" s="21"/>
      <c r="G563" s="16"/>
      <c r="H563" s="16"/>
      <c r="I563" s="22"/>
      <c r="J563" s="22"/>
      <c r="K563" s="16"/>
      <c r="L563" s="16"/>
      <c r="M563" s="16"/>
      <c r="N563" s="19"/>
      <c r="O563" s="19"/>
      <c r="P563" s="19"/>
      <c r="Q563" s="19"/>
      <c r="R563" s="19"/>
      <c r="S563" s="19"/>
      <c r="T563" s="19"/>
      <c r="U563" s="19"/>
      <c r="V563" s="59"/>
      <c r="W563" s="20"/>
      <c r="X563" s="43"/>
    </row>
    <row r="564" spans="1:24" ht="15.75" hidden="1" customHeight="1" x14ac:dyDescent="0.25">
      <c r="A564" s="16"/>
      <c r="B564" s="16"/>
      <c r="C564" s="16"/>
      <c r="D564" s="40"/>
      <c r="E564" s="17"/>
      <c r="F564" s="21"/>
      <c r="G564" s="16"/>
      <c r="H564" s="16"/>
      <c r="I564" s="22"/>
      <c r="J564" s="22"/>
      <c r="K564" s="16"/>
      <c r="L564" s="16"/>
      <c r="M564" s="16"/>
      <c r="N564" s="19"/>
      <c r="O564" s="19"/>
      <c r="P564" s="19"/>
      <c r="Q564" s="19"/>
      <c r="R564" s="19"/>
      <c r="S564" s="19"/>
      <c r="T564" s="19"/>
      <c r="U564" s="19"/>
      <c r="V564" s="59"/>
      <c r="W564" s="20"/>
      <c r="X564" s="43"/>
    </row>
    <row r="565" spans="1:24" ht="15.75" hidden="1" customHeight="1" x14ac:dyDescent="0.25">
      <c r="A565" s="16"/>
      <c r="B565" s="16"/>
      <c r="C565" s="16"/>
      <c r="D565" s="40"/>
      <c r="E565" s="17"/>
      <c r="F565" s="21"/>
      <c r="G565" s="16"/>
      <c r="H565" s="16"/>
      <c r="I565" s="22"/>
      <c r="J565" s="22"/>
      <c r="K565" s="16"/>
      <c r="L565" s="16"/>
      <c r="M565" s="16"/>
      <c r="N565" s="19"/>
      <c r="O565" s="19"/>
      <c r="P565" s="19"/>
      <c r="Q565" s="19"/>
      <c r="R565" s="19"/>
      <c r="S565" s="19"/>
      <c r="T565" s="19"/>
      <c r="U565" s="19"/>
      <c r="V565" s="59"/>
      <c r="W565" s="20"/>
      <c r="X565" s="43"/>
    </row>
    <row r="566" spans="1:24" ht="15.75" hidden="1" customHeight="1" x14ac:dyDescent="0.25">
      <c r="A566" s="16"/>
      <c r="B566" s="16"/>
      <c r="C566" s="16"/>
      <c r="D566" s="40"/>
      <c r="E566" s="17"/>
      <c r="F566" s="21"/>
      <c r="G566" s="16"/>
      <c r="H566" s="16"/>
      <c r="I566" s="22"/>
      <c r="J566" s="22"/>
      <c r="K566" s="16"/>
      <c r="L566" s="16"/>
      <c r="M566" s="16"/>
      <c r="N566" s="19"/>
      <c r="O566" s="19"/>
      <c r="P566" s="19"/>
      <c r="Q566" s="19"/>
      <c r="R566" s="19"/>
      <c r="S566" s="19"/>
      <c r="T566" s="19"/>
      <c r="U566" s="19"/>
      <c r="V566" s="59"/>
      <c r="W566" s="20"/>
      <c r="X566" s="43"/>
    </row>
    <row r="567" spans="1:24" ht="15.75" hidden="1" customHeight="1" x14ac:dyDescent="0.25">
      <c r="A567" s="16"/>
      <c r="B567" s="16"/>
      <c r="C567" s="16"/>
      <c r="D567" s="40"/>
      <c r="E567" s="17"/>
      <c r="F567" s="21"/>
      <c r="G567" s="16"/>
      <c r="H567" s="16"/>
      <c r="I567" s="22"/>
      <c r="J567" s="22"/>
      <c r="K567" s="16"/>
      <c r="L567" s="16"/>
      <c r="M567" s="16"/>
      <c r="N567" s="19"/>
      <c r="O567" s="19"/>
      <c r="P567" s="19"/>
      <c r="Q567" s="19"/>
      <c r="R567" s="19"/>
      <c r="S567" s="19"/>
      <c r="T567" s="19"/>
      <c r="U567" s="19"/>
      <c r="V567" s="59"/>
      <c r="W567" s="20"/>
      <c r="X567" s="43"/>
    </row>
    <row r="568" spans="1:24" ht="15.75" hidden="1" customHeight="1" x14ac:dyDescent="0.25">
      <c r="A568" s="16"/>
      <c r="B568" s="16"/>
      <c r="C568" s="16"/>
      <c r="D568" s="40"/>
      <c r="E568" s="17"/>
      <c r="F568" s="21"/>
      <c r="G568" s="16"/>
      <c r="H568" s="16"/>
      <c r="I568" s="22"/>
      <c r="J568" s="22"/>
      <c r="K568" s="16"/>
      <c r="L568" s="16"/>
      <c r="M568" s="16"/>
      <c r="N568" s="19"/>
      <c r="O568" s="19"/>
      <c r="P568" s="19"/>
      <c r="Q568" s="19"/>
      <c r="R568" s="19"/>
      <c r="S568" s="19"/>
      <c r="T568" s="19"/>
      <c r="U568" s="19"/>
      <c r="V568" s="59"/>
      <c r="W568" s="20"/>
      <c r="X568" s="43"/>
    </row>
    <row r="569" spans="1:24" ht="15.75" hidden="1" customHeight="1" x14ac:dyDescent="0.25">
      <c r="A569" s="16"/>
      <c r="B569" s="16"/>
      <c r="C569" s="16"/>
      <c r="D569" s="40"/>
      <c r="E569" s="17"/>
      <c r="F569" s="21"/>
      <c r="G569" s="16"/>
      <c r="H569" s="16"/>
      <c r="I569" s="22"/>
      <c r="J569" s="22"/>
      <c r="K569" s="16"/>
      <c r="L569" s="16"/>
      <c r="M569" s="16"/>
      <c r="N569" s="19"/>
      <c r="O569" s="19"/>
      <c r="P569" s="19"/>
      <c r="Q569" s="19"/>
      <c r="R569" s="19"/>
      <c r="S569" s="19"/>
      <c r="T569" s="19"/>
      <c r="U569" s="19"/>
      <c r="V569" s="59"/>
      <c r="W569" s="20"/>
      <c r="X569" s="43"/>
    </row>
    <row r="570" spans="1:24" ht="15.75" hidden="1" customHeight="1" x14ac:dyDescent="0.25">
      <c r="A570" s="16"/>
      <c r="B570" s="16"/>
      <c r="C570" s="16"/>
      <c r="D570" s="40"/>
      <c r="E570" s="17"/>
      <c r="F570" s="21"/>
      <c r="G570" s="16"/>
      <c r="H570" s="16"/>
      <c r="I570" s="22"/>
      <c r="J570" s="22"/>
      <c r="K570" s="16"/>
      <c r="L570" s="16"/>
      <c r="M570" s="16"/>
      <c r="N570" s="19"/>
      <c r="O570" s="19"/>
      <c r="P570" s="19"/>
      <c r="Q570" s="19"/>
      <c r="R570" s="19"/>
      <c r="S570" s="19"/>
      <c r="T570" s="19"/>
      <c r="U570" s="19"/>
      <c r="V570" s="59"/>
      <c r="W570" s="20"/>
      <c r="X570" s="43"/>
    </row>
    <row r="571" spans="1:24" ht="15.75" hidden="1" customHeight="1" x14ac:dyDescent="0.25">
      <c r="A571" s="16"/>
      <c r="B571" s="16"/>
      <c r="C571" s="16"/>
      <c r="D571" s="40"/>
      <c r="E571" s="17"/>
      <c r="F571" s="21"/>
      <c r="G571" s="16"/>
      <c r="H571" s="16"/>
      <c r="I571" s="22"/>
      <c r="J571" s="22"/>
      <c r="K571" s="16"/>
      <c r="L571" s="16"/>
      <c r="M571" s="16"/>
      <c r="N571" s="19"/>
      <c r="O571" s="19"/>
      <c r="P571" s="19"/>
      <c r="Q571" s="19"/>
      <c r="R571" s="19"/>
      <c r="S571" s="19"/>
      <c r="T571" s="19"/>
      <c r="U571" s="19"/>
      <c r="V571" s="59"/>
      <c r="W571" s="20"/>
      <c r="X571" s="43"/>
    </row>
    <row r="572" spans="1:24" ht="15.75" hidden="1" customHeight="1" x14ac:dyDescent="0.25">
      <c r="A572" s="16"/>
      <c r="B572" s="16"/>
      <c r="C572" s="16"/>
      <c r="D572" s="40"/>
      <c r="E572" s="17"/>
      <c r="F572" s="21"/>
      <c r="G572" s="16"/>
      <c r="H572" s="16"/>
      <c r="I572" s="22"/>
      <c r="J572" s="22"/>
      <c r="K572" s="16"/>
      <c r="L572" s="16"/>
      <c r="M572" s="16"/>
      <c r="N572" s="19"/>
      <c r="O572" s="19"/>
      <c r="P572" s="19"/>
      <c r="Q572" s="19"/>
      <c r="R572" s="19"/>
      <c r="S572" s="19"/>
      <c r="T572" s="19"/>
      <c r="U572" s="19"/>
      <c r="V572" s="59"/>
      <c r="W572" s="20"/>
      <c r="X572" s="43"/>
    </row>
    <row r="573" spans="1:24" ht="15.75" hidden="1" customHeight="1" x14ac:dyDescent="0.25">
      <c r="A573" s="16"/>
      <c r="B573" s="16"/>
      <c r="C573" s="16"/>
      <c r="D573" s="40"/>
      <c r="E573" s="17"/>
      <c r="F573" s="21"/>
      <c r="G573" s="16"/>
      <c r="H573" s="16"/>
      <c r="I573" s="22"/>
      <c r="J573" s="22"/>
      <c r="K573" s="16"/>
      <c r="L573" s="16"/>
      <c r="M573" s="16"/>
      <c r="N573" s="19"/>
      <c r="O573" s="19"/>
      <c r="P573" s="19"/>
      <c r="Q573" s="19"/>
      <c r="R573" s="19"/>
      <c r="S573" s="19"/>
      <c r="T573" s="19"/>
      <c r="U573" s="19"/>
      <c r="V573" s="59"/>
      <c r="W573" s="20"/>
      <c r="X573" s="43"/>
    </row>
    <row r="574" spans="1:24" ht="15.75" hidden="1" customHeight="1" x14ac:dyDescent="0.25">
      <c r="A574" s="16"/>
      <c r="B574" s="16"/>
      <c r="C574" s="16"/>
      <c r="D574" s="40"/>
      <c r="E574" s="17"/>
      <c r="F574" s="21"/>
      <c r="G574" s="16"/>
      <c r="H574" s="16"/>
      <c r="I574" s="22"/>
      <c r="J574" s="22"/>
      <c r="K574" s="16"/>
      <c r="L574" s="16"/>
      <c r="M574" s="16"/>
      <c r="N574" s="19"/>
      <c r="O574" s="19"/>
      <c r="P574" s="19"/>
      <c r="Q574" s="19"/>
      <c r="R574" s="19"/>
      <c r="S574" s="19"/>
      <c r="T574" s="19"/>
      <c r="U574" s="19"/>
      <c r="V574" s="59"/>
      <c r="W574" s="20"/>
      <c r="X574" s="43"/>
    </row>
    <row r="575" spans="1:24" ht="15.75" hidden="1" customHeight="1" x14ac:dyDescent="0.25">
      <c r="A575" s="16"/>
      <c r="B575" s="16"/>
      <c r="C575" s="16"/>
      <c r="D575" s="40"/>
      <c r="E575" s="17"/>
      <c r="F575" s="21"/>
      <c r="G575" s="16"/>
      <c r="H575" s="16"/>
      <c r="I575" s="22"/>
      <c r="J575" s="22"/>
      <c r="K575" s="16"/>
      <c r="L575" s="16"/>
      <c r="M575" s="16"/>
      <c r="N575" s="19"/>
      <c r="O575" s="19"/>
      <c r="P575" s="19"/>
      <c r="Q575" s="19"/>
      <c r="R575" s="19"/>
      <c r="S575" s="19"/>
      <c r="T575" s="19"/>
      <c r="U575" s="19"/>
      <c r="V575" s="59"/>
      <c r="W575" s="20"/>
      <c r="X575" s="43"/>
    </row>
    <row r="576" spans="1:24" ht="15.75" hidden="1" customHeight="1" x14ac:dyDescent="0.25">
      <c r="A576" s="16"/>
      <c r="B576" s="16"/>
      <c r="C576" s="16"/>
      <c r="D576" s="40"/>
      <c r="E576" s="17"/>
      <c r="F576" s="21"/>
      <c r="G576" s="16"/>
      <c r="H576" s="16"/>
      <c r="I576" s="22"/>
      <c r="J576" s="22"/>
      <c r="K576" s="16"/>
      <c r="L576" s="16"/>
      <c r="M576" s="16"/>
      <c r="N576" s="19"/>
      <c r="O576" s="19"/>
      <c r="P576" s="19"/>
      <c r="Q576" s="19"/>
      <c r="R576" s="19"/>
      <c r="S576" s="19"/>
      <c r="T576" s="19"/>
      <c r="U576" s="19"/>
      <c r="V576" s="59"/>
      <c r="W576" s="20"/>
      <c r="X576" s="43"/>
    </row>
    <row r="577" spans="1:24" ht="15.75" hidden="1" customHeight="1" x14ac:dyDescent="0.25">
      <c r="A577" s="16"/>
      <c r="B577" s="16"/>
      <c r="C577" s="16"/>
      <c r="D577" s="40"/>
      <c r="E577" s="17"/>
      <c r="F577" s="21"/>
      <c r="G577" s="16"/>
      <c r="H577" s="16"/>
      <c r="I577" s="22"/>
      <c r="J577" s="22"/>
      <c r="K577" s="16"/>
      <c r="L577" s="16"/>
      <c r="M577" s="16"/>
      <c r="N577" s="19"/>
      <c r="O577" s="19"/>
      <c r="P577" s="19"/>
      <c r="Q577" s="19"/>
      <c r="R577" s="19"/>
      <c r="S577" s="19"/>
      <c r="T577" s="19"/>
      <c r="U577" s="19"/>
      <c r="V577" s="59"/>
      <c r="W577" s="20"/>
      <c r="X577" s="43"/>
    </row>
    <row r="578" spans="1:24" ht="15.75" hidden="1" customHeight="1" x14ac:dyDescent="0.25">
      <c r="A578" s="16"/>
      <c r="B578" s="16"/>
      <c r="C578" s="16"/>
      <c r="D578" s="40"/>
      <c r="E578" s="17"/>
      <c r="F578" s="21"/>
      <c r="G578" s="16"/>
      <c r="H578" s="16"/>
      <c r="I578" s="22"/>
      <c r="J578" s="22"/>
      <c r="K578" s="16"/>
      <c r="L578" s="16"/>
      <c r="M578" s="16"/>
      <c r="N578" s="19"/>
      <c r="O578" s="19"/>
      <c r="P578" s="19"/>
      <c r="Q578" s="19"/>
      <c r="R578" s="19"/>
      <c r="S578" s="19"/>
      <c r="T578" s="19"/>
      <c r="U578" s="19"/>
      <c r="V578" s="59"/>
      <c r="W578" s="20"/>
      <c r="X578" s="43"/>
    </row>
    <row r="579" spans="1:24" ht="15.75" hidden="1" customHeight="1" x14ac:dyDescent="0.25">
      <c r="A579" s="16"/>
      <c r="B579" s="16"/>
      <c r="C579" s="16"/>
      <c r="D579" s="40"/>
      <c r="E579" s="17"/>
      <c r="F579" s="21"/>
      <c r="G579" s="16"/>
      <c r="H579" s="16"/>
      <c r="I579" s="22"/>
      <c r="J579" s="22"/>
      <c r="K579" s="16"/>
      <c r="L579" s="16"/>
      <c r="M579" s="16"/>
      <c r="N579" s="19"/>
      <c r="O579" s="19"/>
      <c r="P579" s="19"/>
      <c r="Q579" s="19"/>
      <c r="R579" s="19"/>
      <c r="S579" s="19"/>
      <c r="T579" s="19"/>
      <c r="U579" s="19"/>
      <c r="V579" s="59"/>
      <c r="W579" s="20"/>
      <c r="X579" s="43"/>
    </row>
    <row r="580" spans="1:24" ht="15.75" hidden="1" customHeight="1" x14ac:dyDescent="0.25">
      <c r="A580" s="16"/>
      <c r="B580" s="16"/>
      <c r="C580" s="16"/>
      <c r="D580" s="40"/>
      <c r="E580" s="17"/>
      <c r="F580" s="21"/>
      <c r="G580" s="16"/>
      <c r="H580" s="16"/>
      <c r="I580" s="22"/>
      <c r="J580" s="22"/>
      <c r="K580" s="16"/>
      <c r="L580" s="16"/>
      <c r="M580" s="16"/>
      <c r="N580" s="19"/>
      <c r="O580" s="19"/>
      <c r="P580" s="19"/>
      <c r="Q580" s="19"/>
      <c r="R580" s="19"/>
      <c r="S580" s="19"/>
      <c r="T580" s="19"/>
      <c r="U580" s="19"/>
      <c r="V580" s="59"/>
      <c r="W580" s="20"/>
      <c r="X580" s="43"/>
    </row>
    <row r="581" spans="1:24" ht="15.75" hidden="1" customHeight="1" x14ac:dyDescent="0.25">
      <c r="A581" s="16"/>
      <c r="B581" s="16"/>
      <c r="C581" s="16"/>
      <c r="D581" s="40"/>
      <c r="E581" s="17"/>
      <c r="F581" s="21"/>
      <c r="G581" s="16"/>
      <c r="H581" s="16"/>
      <c r="I581" s="22"/>
      <c r="J581" s="22"/>
      <c r="K581" s="16"/>
      <c r="L581" s="16"/>
      <c r="M581" s="16"/>
      <c r="N581" s="19"/>
      <c r="O581" s="19"/>
      <c r="P581" s="19"/>
      <c r="Q581" s="19"/>
      <c r="R581" s="19"/>
      <c r="S581" s="19"/>
      <c r="T581" s="19"/>
      <c r="U581" s="19"/>
      <c r="V581" s="59"/>
      <c r="W581" s="20"/>
      <c r="X581" s="43"/>
    </row>
    <row r="582" spans="1:24" ht="15.75" hidden="1" customHeight="1" x14ac:dyDescent="0.25">
      <c r="A582" s="16"/>
      <c r="B582" s="16"/>
      <c r="C582" s="16"/>
      <c r="D582" s="40"/>
      <c r="E582" s="17"/>
      <c r="F582" s="21"/>
      <c r="G582" s="16"/>
      <c r="H582" s="16"/>
      <c r="I582" s="22"/>
      <c r="J582" s="22"/>
      <c r="K582" s="16"/>
      <c r="L582" s="16"/>
      <c r="M582" s="16"/>
      <c r="N582" s="19"/>
      <c r="O582" s="19"/>
      <c r="P582" s="19"/>
      <c r="Q582" s="19"/>
      <c r="R582" s="19"/>
      <c r="S582" s="19"/>
      <c r="T582" s="19"/>
      <c r="U582" s="19"/>
      <c r="V582" s="59"/>
      <c r="W582" s="20"/>
      <c r="X582" s="43"/>
    </row>
    <row r="583" spans="1:24" ht="15.75" hidden="1" customHeight="1" x14ac:dyDescent="0.25">
      <c r="A583" s="16"/>
      <c r="B583" s="16"/>
      <c r="C583" s="16"/>
      <c r="D583" s="40"/>
      <c r="E583" s="17"/>
      <c r="F583" s="21"/>
      <c r="G583" s="16"/>
      <c r="H583" s="16"/>
      <c r="I583" s="22"/>
      <c r="J583" s="22"/>
      <c r="K583" s="16"/>
      <c r="L583" s="16"/>
      <c r="M583" s="16"/>
      <c r="N583" s="19"/>
      <c r="O583" s="19"/>
      <c r="P583" s="19"/>
      <c r="Q583" s="19"/>
      <c r="R583" s="19"/>
      <c r="S583" s="19"/>
      <c r="T583" s="19"/>
      <c r="U583" s="19"/>
      <c r="V583" s="59"/>
      <c r="W583" s="20"/>
      <c r="X583" s="43"/>
    </row>
    <row r="584" spans="1:24" ht="15.75" hidden="1" customHeight="1" x14ac:dyDescent="0.25">
      <c r="A584" s="16"/>
      <c r="B584" s="16"/>
      <c r="C584" s="16"/>
      <c r="D584" s="40"/>
      <c r="E584" s="17"/>
      <c r="F584" s="21"/>
      <c r="G584" s="16"/>
      <c r="H584" s="16"/>
      <c r="I584" s="22"/>
      <c r="J584" s="22"/>
      <c r="K584" s="16"/>
      <c r="L584" s="16"/>
      <c r="M584" s="16"/>
      <c r="N584" s="19"/>
      <c r="O584" s="19"/>
      <c r="P584" s="19"/>
      <c r="Q584" s="19"/>
      <c r="R584" s="19"/>
      <c r="S584" s="19"/>
      <c r="T584" s="19"/>
      <c r="U584" s="19"/>
      <c r="V584" s="59"/>
      <c r="W584" s="20"/>
      <c r="X584" s="43"/>
    </row>
    <row r="585" spans="1:24" ht="15.75" hidden="1" customHeight="1" x14ac:dyDescent="0.25">
      <c r="A585" s="16"/>
      <c r="B585" s="16"/>
      <c r="C585" s="16"/>
      <c r="D585" s="40"/>
      <c r="E585" s="17"/>
      <c r="F585" s="21"/>
      <c r="G585" s="16"/>
      <c r="H585" s="16"/>
      <c r="I585" s="22"/>
      <c r="J585" s="22"/>
      <c r="K585" s="16"/>
      <c r="L585" s="16"/>
      <c r="M585" s="16"/>
      <c r="N585" s="19"/>
      <c r="O585" s="19"/>
      <c r="P585" s="19"/>
      <c r="Q585" s="19"/>
      <c r="R585" s="19"/>
      <c r="S585" s="19"/>
      <c r="T585" s="19"/>
      <c r="U585" s="19"/>
      <c r="V585" s="59"/>
      <c r="W585" s="20"/>
      <c r="X585" s="43"/>
    </row>
    <row r="586" spans="1:24" ht="15.75" hidden="1" customHeight="1" x14ac:dyDescent="0.25">
      <c r="A586" s="16"/>
      <c r="B586" s="16"/>
      <c r="C586" s="16"/>
      <c r="D586" s="40"/>
      <c r="E586" s="17"/>
      <c r="F586" s="21"/>
      <c r="G586" s="16"/>
      <c r="H586" s="16"/>
      <c r="I586" s="22"/>
      <c r="J586" s="22"/>
      <c r="K586" s="16"/>
      <c r="L586" s="16"/>
      <c r="M586" s="16"/>
      <c r="N586" s="19"/>
      <c r="O586" s="19"/>
      <c r="P586" s="19"/>
      <c r="Q586" s="19"/>
      <c r="R586" s="19"/>
      <c r="S586" s="19"/>
      <c r="T586" s="19"/>
      <c r="U586" s="19"/>
      <c r="V586" s="59"/>
      <c r="W586" s="20"/>
      <c r="X586" s="43"/>
    </row>
    <row r="587" spans="1:24" ht="15.75" hidden="1" customHeight="1" x14ac:dyDescent="0.25">
      <c r="A587" s="16"/>
      <c r="B587" s="16"/>
      <c r="C587" s="16"/>
      <c r="D587" s="40"/>
      <c r="E587" s="17"/>
      <c r="F587" s="21"/>
      <c r="G587" s="16"/>
      <c r="H587" s="16"/>
      <c r="I587" s="22"/>
      <c r="J587" s="22"/>
      <c r="K587" s="16"/>
      <c r="L587" s="16"/>
      <c r="M587" s="16"/>
      <c r="N587" s="19"/>
      <c r="O587" s="19"/>
      <c r="P587" s="19"/>
      <c r="Q587" s="19"/>
      <c r="R587" s="19"/>
      <c r="S587" s="19"/>
      <c r="T587" s="19"/>
      <c r="U587" s="19"/>
      <c r="V587" s="59"/>
      <c r="W587" s="20"/>
      <c r="X587" s="43"/>
    </row>
    <row r="588" spans="1:24" ht="15.75" hidden="1" customHeight="1" x14ac:dyDescent="0.25">
      <c r="A588" s="16"/>
      <c r="B588" s="16"/>
      <c r="C588" s="16"/>
      <c r="D588" s="40"/>
      <c r="E588" s="17"/>
      <c r="F588" s="21"/>
      <c r="G588" s="16"/>
      <c r="H588" s="16"/>
      <c r="I588" s="22"/>
      <c r="J588" s="22"/>
      <c r="K588" s="16"/>
      <c r="L588" s="16"/>
      <c r="M588" s="16"/>
      <c r="N588" s="19"/>
      <c r="O588" s="19"/>
      <c r="P588" s="19"/>
      <c r="Q588" s="19"/>
      <c r="R588" s="19"/>
      <c r="S588" s="19"/>
      <c r="T588" s="19"/>
      <c r="U588" s="19"/>
      <c r="V588" s="59"/>
      <c r="W588" s="20"/>
      <c r="X588" s="43"/>
    </row>
    <row r="589" spans="1:24" ht="15.75" hidden="1" customHeight="1" x14ac:dyDescent="0.25">
      <c r="A589" s="16"/>
      <c r="B589" s="16"/>
      <c r="C589" s="16"/>
      <c r="D589" s="40"/>
      <c r="E589" s="17"/>
      <c r="F589" s="21"/>
      <c r="G589" s="16"/>
      <c r="H589" s="16"/>
      <c r="I589" s="22"/>
      <c r="J589" s="22"/>
      <c r="K589" s="16"/>
      <c r="L589" s="16"/>
      <c r="M589" s="16"/>
      <c r="N589" s="19"/>
      <c r="O589" s="19"/>
      <c r="P589" s="19"/>
      <c r="Q589" s="19"/>
      <c r="R589" s="19"/>
      <c r="S589" s="19"/>
      <c r="T589" s="19"/>
      <c r="U589" s="19"/>
      <c r="V589" s="59"/>
      <c r="W589" s="20"/>
      <c r="X589" s="43"/>
    </row>
    <row r="590" spans="1:24" ht="15.75" hidden="1" customHeight="1" x14ac:dyDescent="0.25">
      <c r="A590" s="16"/>
      <c r="B590" s="16"/>
      <c r="C590" s="16"/>
      <c r="D590" s="40"/>
      <c r="E590" s="17"/>
      <c r="F590" s="21"/>
      <c r="G590" s="16"/>
      <c r="H590" s="16"/>
      <c r="I590" s="22"/>
      <c r="J590" s="22"/>
      <c r="K590" s="16"/>
      <c r="L590" s="16"/>
      <c r="M590" s="16"/>
      <c r="N590" s="19"/>
      <c r="O590" s="19"/>
      <c r="P590" s="19"/>
      <c r="Q590" s="19"/>
      <c r="R590" s="19"/>
      <c r="S590" s="19"/>
      <c r="T590" s="19"/>
      <c r="U590" s="19"/>
      <c r="V590" s="59"/>
      <c r="W590" s="20"/>
      <c r="X590" s="43"/>
    </row>
    <row r="591" spans="1:24" ht="15.75" hidden="1" customHeight="1" x14ac:dyDescent="0.25">
      <c r="A591" s="16"/>
      <c r="B591" s="16"/>
      <c r="C591" s="16"/>
      <c r="D591" s="40"/>
      <c r="E591" s="17"/>
      <c r="F591" s="21"/>
      <c r="G591" s="16"/>
      <c r="H591" s="16"/>
      <c r="I591" s="22"/>
      <c r="J591" s="22"/>
      <c r="K591" s="16"/>
      <c r="L591" s="16"/>
      <c r="M591" s="16"/>
      <c r="N591" s="19"/>
      <c r="O591" s="19"/>
      <c r="P591" s="19"/>
      <c r="Q591" s="19"/>
      <c r="R591" s="19"/>
      <c r="S591" s="19"/>
      <c r="T591" s="19"/>
      <c r="U591" s="19"/>
      <c r="V591" s="59"/>
      <c r="W591" s="20"/>
      <c r="X591" s="43"/>
    </row>
    <row r="592" spans="1:24" ht="15.75" hidden="1" customHeight="1" x14ac:dyDescent="0.25">
      <c r="A592" s="16"/>
      <c r="B592" s="16"/>
      <c r="C592" s="16"/>
      <c r="D592" s="40"/>
      <c r="E592" s="17"/>
      <c r="F592" s="21"/>
      <c r="G592" s="16"/>
      <c r="H592" s="16"/>
      <c r="I592" s="22"/>
      <c r="J592" s="22"/>
      <c r="K592" s="16"/>
      <c r="L592" s="16"/>
      <c r="M592" s="16"/>
      <c r="N592" s="19"/>
      <c r="O592" s="19"/>
      <c r="P592" s="19"/>
      <c r="Q592" s="19"/>
      <c r="R592" s="19"/>
      <c r="S592" s="19"/>
      <c r="T592" s="19"/>
      <c r="U592" s="19"/>
      <c r="V592" s="59"/>
      <c r="W592" s="20"/>
      <c r="X592" s="43"/>
    </row>
    <row r="593" spans="1:24" ht="15.75" hidden="1" customHeight="1" x14ac:dyDescent="0.25">
      <c r="A593" s="16"/>
      <c r="B593" s="16"/>
      <c r="C593" s="16"/>
      <c r="D593" s="40"/>
      <c r="E593" s="17"/>
      <c r="F593" s="21"/>
      <c r="G593" s="16"/>
      <c r="H593" s="16"/>
      <c r="I593" s="22"/>
      <c r="J593" s="22"/>
      <c r="K593" s="16"/>
      <c r="L593" s="16"/>
      <c r="M593" s="16"/>
      <c r="N593" s="19"/>
      <c r="O593" s="19"/>
      <c r="P593" s="19"/>
      <c r="Q593" s="19"/>
      <c r="R593" s="19"/>
      <c r="S593" s="19"/>
      <c r="T593" s="19"/>
      <c r="U593" s="19"/>
      <c r="V593" s="59"/>
      <c r="W593" s="20"/>
      <c r="X593" s="43"/>
    </row>
    <row r="594" spans="1:24" ht="15.75" hidden="1" customHeight="1" x14ac:dyDescent="0.25">
      <c r="A594" s="16"/>
      <c r="B594" s="16"/>
      <c r="C594" s="16"/>
      <c r="D594" s="40"/>
      <c r="E594" s="17"/>
      <c r="F594" s="21"/>
      <c r="G594" s="16"/>
      <c r="H594" s="16"/>
      <c r="I594" s="22"/>
      <c r="J594" s="22"/>
      <c r="K594" s="16"/>
      <c r="L594" s="16"/>
      <c r="M594" s="16"/>
      <c r="N594" s="19"/>
      <c r="O594" s="19"/>
      <c r="P594" s="19"/>
      <c r="Q594" s="19"/>
      <c r="R594" s="19"/>
      <c r="S594" s="19"/>
      <c r="T594" s="19"/>
      <c r="U594" s="19"/>
      <c r="V594" s="59"/>
      <c r="W594" s="20"/>
      <c r="X594" s="43"/>
    </row>
    <row r="595" spans="1:24" ht="15.75" hidden="1" customHeight="1" x14ac:dyDescent="0.25">
      <c r="A595" s="16"/>
      <c r="B595" s="16"/>
      <c r="C595" s="16"/>
      <c r="D595" s="40"/>
      <c r="E595" s="17"/>
      <c r="F595" s="21"/>
      <c r="G595" s="16"/>
      <c r="H595" s="16"/>
      <c r="I595" s="22"/>
      <c r="J595" s="22"/>
      <c r="K595" s="16"/>
      <c r="L595" s="16"/>
      <c r="M595" s="16"/>
      <c r="N595" s="19"/>
      <c r="O595" s="19"/>
      <c r="P595" s="19"/>
      <c r="Q595" s="19"/>
      <c r="R595" s="19"/>
      <c r="S595" s="19"/>
      <c r="T595" s="19"/>
      <c r="U595" s="19"/>
      <c r="V595" s="59"/>
      <c r="W595" s="20"/>
      <c r="X595" s="43"/>
    </row>
    <row r="596" spans="1:24" ht="15.75" hidden="1" customHeight="1" x14ac:dyDescent="0.25">
      <c r="A596" s="16"/>
      <c r="B596" s="16"/>
      <c r="C596" s="16"/>
      <c r="D596" s="40"/>
      <c r="E596" s="17"/>
      <c r="F596" s="21"/>
      <c r="G596" s="16"/>
      <c r="H596" s="16"/>
      <c r="I596" s="22"/>
      <c r="J596" s="22"/>
      <c r="K596" s="16"/>
      <c r="L596" s="16"/>
      <c r="M596" s="16"/>
      <c r="N596" s="19"/>
      <c r="O596" s="19"/>
      <c r="P596" s="19"/>
      <c r="Q596" s="19"/>
      <c r="R596" s="19"/>
      <c r="S596" s="19"/>
      <c r="T596" s="19"/>
      <c r="U596" s="19"/>
      <c r="V596" s="59"/>
      <c r="W596" s="20"/>
      <c r="X596" s="43"/>
    </row>
    <row r="597" spans="1:24" ht="15.75" hidden="1" customHeight="1" x14ac:dyDescent="0.25">
      <c r="A597" s="16"/>
      <c r="B597" s="16"/>
      <c r="C597" s="16"/>
      <c r="D597" s="40"/>
      <c r="E597" s="17"/>
      <c r="F597" s="21"/>
      <c r="G597" s="16"/>
      <c r="H597" s="16"/>
      <c r="I597" s="22"/>
      <c r="J597" s="22"/>
      <c r="K597" s="16"/>
      <c r="L597" s="16"/>
      <c r="M597" s="16"/>
      <c r="N597" s="19"/>
      <c r="O597" s="19"/>
      <c r="P597" s="19"/>
      <c r="Q597" s="19"/>
      <c r="R597" s="19"/>
      <c r="S597" s="19"/>
      <c r="T597" s="19"/>
      <c r="U597" s="19"/>
      <c r="V597" s="59"/>
      <c r="W597" s="20"/>
      <c r="X597" s="43"/>
    </row>
    <row r="598" spans="1:24" ht="15.75" hidden="1" customHeight="1" x14ac:dyDescent="0.25">
      <c r="A598" s="16"/>
      <c r="B598" s="16"/>
      <c r="C598" s="16"/>
      <c r="D598" s="40"/>
      <c r="E598" s="17"/>
      <c r="F598" s="21"/>
      <c r="G598" s="16"/>
      <c r="H598" s="16"/>
      <c r="I598" s="22"/>
      <c r="J598" s="22"/>
      <c r="K598" s="16"/>
      <c r="L598" s="16"/>
      <c r="M598" s="16"/>
      <c r="N598" s="19"/>
      <c r="O598" s="19"/>
      <c r="P598" s="19"/>
      <c r="Q598" s="19"/>
      <c r="R598" s="19"/>
      <c r="S598" s="19"/>
      <c r="T598" s="19"/>
      <c r="U598" s="19"/>
      <c r="V598" s="59"/>
      <c r="W598" s="20"/>
      <c r="X598" s="43"/>
    </row>
    <row r="599" spans="1:24" ht="15.75" hidden="1" customHeight="1" x14ac:dyDescent="0.25">
      <c r="A599" s="16"/>
      <c r="B599" s="16"/>
      <c r="C599" s="16"/>
      <c r="D599" s="40"/>
      <c r="E599" s="17"/>
      <c r="F599" s="21"/>
      <c r="G599" s="16"/>
      <c r="H599" s="16"/>
      <c r="I599" s="22"/>
      <c r="J599" s="22"/>
      <c r="K599" s="16"/>
      <c r="L599" s="16"/>
      <c r="M599" s="16"/>
      <c r="N599" s="19"/>
      <c r="O599" s="19"/>
      <c r="P599" s="19"/>
      <c r="Q599" s="19"/>
      <c r="R599" s="19"/>
      <c r="S599" s="19"/>
      <c r="T599" s="19"/>
      <c r="U599" s="19"/>
      <c r="V599" s="59"/>
      <c r="W599" s="20"/>
      <c r="X599" s="43"/>
    </row>
    <row r="600" spans="1:24" ht="15.75" hidden="1" customHeight="1" x14ac:dyDescent="0.25">
      <c r="A600" s="16"/>
      <c r="B600" s="16"/>
      <c r="C600" s="16"/>
      <c r="D600" s="40"/>
      <c r="E600" s="17"/>
      <c r="F600" s="21"/>
      <c r="G600" s="16"/>
      <c r="H600" s="16"/>
      <c r="I600" s="22"/>
      <c r="J600" s="22"/>
      <c r="K600" s="16"/>
      <c r="L600" s="16"/>
      <c r="M600" s="16"/>
      <c r="N600" s="19"/>
      <c r="O600" s="19"/>
      <c r="P600" s="19"/>
      <c r="Q600" s="19"/>
      <c r="R600" s="19"/>
      <c r="S600" s="19"/>
      <c r="T600" s="19"/>
      <c r="U600" s="19"/>
      <c r="V600" s="59"/>
      <c r="W600" s="20"/>
      <c r="X600" s="43"/>
    </row>
    <row r="601" spans="1:24" ht="15.75" hidden="1" customHeight="1" x14ac:dyDescent="0.25">
      <c r="A601" s="16"/>
      <c r="B601" s="16"/>
      <c r="C601" s="16"/>
      <c r="D601" s="40"/>
      <c r="E601" s="17"/>
      <c r="F601" s="21"/>
      <c r="G601" s="16"/>
      <c r="H601" s="16"/>
      <c r="I601" s="22"/>
      <c r="J601" s="22"/>
      <c r="K601" s="16"/>
      <c r="L601" s="16"/>
      <c r="M601" s="16"/>
      <c r="N601" s="19"/>
      <c r="O601" s="19"/>
      <c r="P601" s="19"/>
      <c r="Q601" s="19"/>
      <c r="R601" s="19"/>
      <c r="S601" s="19"/>
      <c r="T601" s="19"/>
      <c r="U601" s="19"/>
      <c r="V601" s="59"/>
      <c r="W601" s="20"/>
      <c r="X601" s="43"/>
    </row>
    <row r="602" spans="1:24" ht="15.75" hidden="1" customHeight="1" x14ac:dyDescent="0.25">
      <c r="A602" s="16"/>
      <c r="B602" s="16"/>
      <c r="C602" s="16"/>
      <c r="D602" s="40"/>
      <c r="E602" s="17"/>
      <c r="F602" s="21"/>
      <c r="G602" s="16"/>
      <c r="H602" s="16"/>
      <c r="I602" s="22"/>
      <c r="J602" s="22"/>
      <c r="K602" s="16"/>
      <c r="L602" s="16"/>
      <c r="M602" s="16"/>
      <c r="N602" s="19"/>
      <c r="O602" s="19"/>
      <c r="P602" s="19"/>
      <c r="Q602" s="19"/>
      <c r="R602" s="19"/>
      <c r="S602" s="19"/>
      <c r="T602" s="19"/>
      <c r="U602" s="19"/>
      <c r="V602" s="59"/>
      <c r="W602" s="20"/>
      <c r="X602" s="43"/>
    </row>
    <row r="603" spans="1:24" ht="15.75" hidden="1" customHeight="1" x14ac:dyDescent="0.25">
      <c r="A603" s="16"/>
      <c r="B603" s="16"/>
      <c r="C603" s="16"/>
      <c r="D603" s="40"/>
      <c r="E603" s="17"/>
      <c r="F603" s="21"/>
      <c r="G603" s="16"/>
      <c r="H603" s="16"/>
      <c r="I603" s="22"/>
      <c r="J603" s="22"/>
      <c r="K603" s="16"/>
      <c r="L603" s="16"/>
      <c r="M603" s="16"/>
      <c r="N603" s="19"/>
      <c r="O603" s="19"/>
      <c r="P603" s="19"/>
      <c r="Q603" s="19"/>
      <c r="R603" s="19"/>
      <c r="S603" s="19"/>
      <c r="T603" s="19"/>
      <c r="U603" s="19"/>
      <c r="V603" s="59"/>
      <c r="W603" s="20"/>
      <c r="X603" s="43"/>
    </row>
    <row r="604" spans="1:24" ht="15.75" hidden="1" customHeight="1" x14ac:dyDescent="0.25">
      <c r="A604" s="16"/>
      <c r="B604" s="16"/>
      <c r="C604" s="16"/>
      <c r="D604" s="40"/>
      <c r="E604" s="17"/>
      <c r="F604" s="21"/>
      <c r="G604" s="16"/>
      <c r="H604" s="16"/>
      <c r="I604" s="22"/>
      <c r="J604" s="22"/>
      <c r="K604" s="16"/>
      <c r="L604" s="16"/>
      <c r="M604" s="16"/>
      <c r="N604" s="19"/>
      <c r="O604" s="19"/>
      <c r="P604" s="19"/>
      <c r="Q604" s="19"/>
      <c r="R604" s="19"/>
      <c r="S604" s="19"/>
      <c r="T604" s="19"/>
      <c r="U604" s="19"/>
      <c r="V604" s="59"/>
      <c r="W604" s="20"/>
      <c r="X604" s="43"/>
    </row>
    <row r="605" spans="1:24" ht="15.75" hidden="1" customHeight="1" x14ac:dyDescent="0.25">
      <c r="A605" s="16"/>
      <c r="B605" s="16"/>
      <c r="C605" s="16"/>
      <c r="D605" s="40"/>
      <c r="E605" s="17"/>
      <c r="F605" s="21"/>
      <c r="G605" s="16"/>
      <c r="H605" s="16"/>
      <c r="I605" s="22"/>
      <c r="J605" s="22"/>
      <c r="K605" s="16"/>
      <c r="L605" s="16"/>
      <c r="M605" s="16"/>
      <c r="N605" s="19"/>
      <c r="O605" s="19"/>
      <c r="P605" s="19"/>
      <c r="Q605" s="19"/>
      <c r="R605" s="19"/>
      <c r="S605" s="19"/>
      <c r="T605" s="19"/>
      <c r="U605" s="19"/>
      <c r="V605" s="59"/>
      <c r="W605" s="20"/>
      <c r="X605" s="43"/>
    </row>
    <row r="606" spans="1:24" ht="15.75" hidden="1" customHeight="1" x14ac:dyDescent="0.25">
      <c r="A606" s="16"/>
      <c r="B606" s="16"/>
      <c r="C606" s="16"/>
      <c r="D606" s="40"/>
      <c r="E606" s="17"/>
      <c r="F606" s="21"/>
      <c r="G606" s="16"/>
      <c r="H606" s="16"/>
      <c r="I606" s="22"/>
      <c r="J606" s="22"/>
      <c r="K606" s="16"/>
      <c r="L606" s="16"/>
      <c r="M606" s="16"/>
      <c r="N606" s="19"/>
      <c r="O606" s="19"/>
      <c r="P606" s="19"/>
      <c r="Q606" s="19"/>
      <c r="R606" s="19"/>
      <c r="S606" s="19"/>
      <c r="T606" s="19"/>
      <c r="U606" s="19"/>
      <c r="V606" s="59"/>
      <c r="W606" s="20"/>
      <c r="X606" s="43"/>
    </row>
    <row r="607" spans="1:24" ht="15.75" hidden="1" customHeight="1" x14ac:dyDescent="0.25">
      <c r="A607" s="16"/>
      <c r="B607" s="16"/>
      <c r="C607" s="16"/>
      <c r="D607" s="40"/>
      <c r="E607" s="17"/>
      <c r="F607" s="21"/>
      <c r="G607" s="16"/>
      <c r="H607" s="16"/>
      <c r="I607" s="22"/>
      <c r="J607" s="22"/>
      <c r="K607" s="16"/>
      <c r="L607" s="16"/>
      <c r="M607" s="16"/>
      <c r="N607" s="19"/>
      <c r="O607" s="19"/>
      <c r="P607" s="19"/>
      <c r="Q607" s="19"/>
      <c r="R607" s="19"/>
      <c r="S607" s="19"/>
      <c r="T607" s="19"/>
      <c r="U607" s="19"/>
      <c r="V607" s="59"/>
      <c r="W607" s="20"/>
      <c r="X607" s="43"/>
    </row>
    <row r="608" spans="1:24" ht="15.75" hidden="1" customHeight="1" x14ac:dyDescent="0.25">
      <c r="A608" s="16"/>
      <c r="B608" s="16"/>
      <c r="C608" s="16"/>
      <c r="D608" s="40"/>
      <c r="E608" s="17"/>
      <c r="F608" s="21"/>
      <c r="G608" s="16"/>
      <c r="H608" s="16"/>
      <c r="I608" s="22"/>
      <c r="J608" s="22"/>
      <c r="K608" s="16"/>
      <c r="L608" s="16"/>
      <c r="M608" s="16"/>
      <c r="N608" s="19"/>
      <c r="O608" s="19"/>
      <c r="P608" s="19"/>
      <c r="Q608" s="19"/>
      <c r="R608" s="19"/>
      <c r="S608" s="19"/>
      <c r="T608" s="19"/>
      <c r="U608" s="19"/>
      <c r="V608" s="59"/>
      <c r="W608" s="20"/>
      <c r="X608" s="43"/>
    </row>
    <row r="609" spans="1:24" ht="15.75" hidden="1" customHeight="1" x14ac:dyDescent="0.25">
      <c r="A609" s="16"/>
      <c r="B609" s="16"/>
      <c r="C609" s="16"/>
      <c r="D609" s="40"/>
      <c r="E609" s="17"/>
      <c r="F609" s="21"/>
      <c r="G609" s="16"/>
      <c r="H609" s="16"/>
      <c r="I609" s="22"/>
      <c r="J609" s="22"/>
      <c r="K609" s="16"/>
      <c r="L609" s="16"/>
      <c r="M609" s="16"/>
      <c r="N609" s="19"/>
      <c r="O609" s="19"/>
      <c r="P609" s="19"/>
      <c r="Q609" s="19"/>
      <c r="R609" s="19"/>
      <c r="S609" s="19"/>
      <c r="T609" s="19"/>
      <c r="U609" s="19"/>
      <c r="V609" s="59"/>
      <c r="W609" s="20"/>
      <c r="X609" s="43"/>
    </row>
    <row r="610" spans="1:24" ht="15.75" hidden="1" customHeight="1" x14ac:dyDescent="0.25">
      <c r="A610" s="16"/>
      <c r="B610" s="16"/>
      <c r="C610" s="16"/>
      <c r="D610" s="40"/>
      <c r="E610" s="17"/>
      <c r="F610" s="21"/>
      <c r="G610" s="16"/>
      <c r="H610" s="16"/>
      <c r="I610" s="22"/>
      <c r="J610" s="22"/>
      <c r="K610" s="16"/>
      <c r="L610" s="16"/>
      <c r="M610" s="16"/>
      <c r="N610" s="19"/>
      <c r="O610" s="19"/>
      <c r="P610" s="19"/>
      <c r="Q610" s="19"/>
      <c r="R610" s="19"/>
      <c r="S610" s="19"/>
      <c r="T610" s="19"/>
      <c r="U610" s="19"/>
      <c r="V610" s="59"/>
      <c r="W610" s="20"/>
      <c r="X610" s="43"/>
    </row>
    <row r="611" spans="1:24" ht="15.75" hidden="1" customHeight="1" x14ac:dyDescent="0.25">
      <c r="A611" s="16"/>
      <c r="B611" s="16"/>
      <c r="C611" s="16"/>
      <c r="D611" s="40"/>
      <c r="E611" s="17"/>
      <c r="F611" s="21"/>
      <c r="G611" s="16"/>
      <c r="H611" s="16"/>
      <c r="I611" s="22"/>
      <c r="J611" s="22"/>
      <c r="K611" s="16"/>
      <c r="L611" s="16"/>
      <c r="M611" s="16"/>
      <c r="N611" s="19"/>
      <c r="O611" s="19"/>
      <c r="P611" s="19"/>
      <c r="Q611" s="19"/>
      <c r="R611" s="19"/>
      <c r="S611" s="19"/>
      <c r="T611" s="19"/>
      <c r="U611" s="19"/>
      <c r="V611" s="59"/>
      <c r="W611" s="20"/>
      <c r="X611" s="43"/>
    </row>
    <row r="612" spans="1:24" ht="15.75" hidden="1" customHeight="1" x14ac:dyDescent="0.25">
      <c r="A612" s="16"/>
      <c r="B612" s="16"/>
      <c r="C612" s="16"/>
      <c r="D612" s="40"/>
      <c r="E612" s="17"/>
      <c r="F612" s="21"/>
      <c r="G612" s="16"/>
      <c r="H612" s="16"/>
      <c r="I612" s="22"/>
      <c r="J612" s="22"/>
      <c r="K612" s="16"/>
      <c r="L612" s="16"/>
      <c r="M612" s="16"/>
      <c r="N612" s="19"/>
      <c r="O612" s="19"/>
      <c r="P612" s="19"/>
      <c r="Q612" s="19"/>
      <c r="R612" s="19"/>
      <c r="S612" s="19"/>
      <c r="T612" s="19"/>
      <c r="U612" s="19"/>
      <c r="V612" s="59"/>
      <c r="W612" s="20"/>
      <c r="X612" s="43"/>
    </row>
    <row r="613" spans="1:24" ht="15.75" hidden="1" customHeight="1" x14ac:dyDescent="0.25">
      <c r="A613" s="16"/>
      <c r="B613" s="16"/>
      <c r="C613" s="16"/>
      <c r="D613" s="40"/>
      <c r="E613" s="17"/>
      <c r="F613" s="21"/>
      <c r="G613" s="16"/>
      <c r="H613" s="16"/>
      <c r="I613" s="22"/>
      <c r="J613" s="22"/>
      <c r="K613" s="16"/>
      <c r="L613" s="16"/>
      <c r="M613" s="16"/>
      <c r="N613" s="19"/>
      <c r="O613" s="19"/>
      <c r="P613" s="19"/>
      <c r="Q613" s="19"/>
      <c r="R613" s="19"/>
      <c r="S613" s="19"/>
      <c r="T613" s="19"/>
      <c r="U613" s="19"/>
      <c r="V613" s="59"/>
      <c r="W613" s="20"/>
      <c r="X613" s="43"/>
    </row>
    <row r="614" spans="1:24" ht="15.75" hidden="1" customHeight="1" x14ac:dyDescent="0.25">
      <c r="A614" s="16"/>
      <c r="B614" s="16"/>
      <c r="C614" s="16"/>
      <c r="D614" s="40"/>
      <c r="E614" s="17"/>
      <c r="F614" s="21"/>
      <c r="G614" s="16"/>
      <c r="H614" s="16"/>
      <c r="I614" s="22"/>
      <c r="J614" s="22"/>
      <c r="K614" s="16"/>
      <c r="L614" s="16"/>
      <c r="M614" s="16"/>
      <c r="N614" s="19"/>
      <c r="O614" s="19"/>
      <c r="P614" s="19"/>
      <c r="Q614" s="19"/>
      <c r="R614" s="19"/>
      <c r="S614" s="19"/>
      <c r="T614" s="19"/>
      <c r="U614" s="19"/>
      <c r="V614" s="59"/>
      <c r="W614" s="20"/>
      <c r="X614" s="43"/>
    </row>
    <row r="615" spans="1:24" ht="15.75" hidden="1" customHeight="1" x14ac:dyDescent="0.25">
      <c r="A615" s="16"/>
      <c r="B615" s="16"/>
      <c r="C615" s="16"/>
      <c r="D615" s="40"/>
      <c r="E615" s="17"/>
      <c r="F615" s="21"/>
      <c r="G615" s="16"/>
      <c r="H615" s="16"/>
      <c r="I615" s="22"/>
      <c r="J615" s="22"/>
      <c r="K615" s="16"/>
      <c r="L615" s="16"/>
      <c r="M615" s="16"/>
      <c r="N615" s="19"/>
      <c r="O615" s="19"/>
      <c r="P615" s="19"/>
      <c r="Q615" s="19"/>
      <c r="R615" s="19"/>
      <c r="S615" s="19"/>
      <c r="T615" s="19"/>
      <c r="U615" s="19"/>
      <c r="V615" s="59"/>
      <c r="W615" s="20"/>
      <c r="X615" s="43"/>
    </row>
    <row r="616" spans="1:24" ht="15.75" hidden="1" customHeight="1" x14ac:dyDescent="0.25">
      <c r="A616" s="16"/>
      <c r="B616" s="16"/>
      <c r="C616" s="16"/>
      <c r="D616" s="40"/>
      <c r="E616" s="17"/>
      <c r="F616" s="21"/>
      <c r="G616" s="16"/>
      <c r="H616" s="16"/>
      <c r="I616" s="22"/>
      <c r="J616" s="22"/>
      <c r="K616" s="16"/>
      <c r="L616" s="16"/>
      <c r="M616" s="16"/>
      <c r="N616" s="19"/>
      <c r="O616" s="19"/>
      <c r="P616" s="19"/>
      <c r="Q616" s="19"/>
      <c r="R616" s="19"/>
      <c r="S616" s="19"/>
      <c r="T616" s="19"/>
      <c r="U616" s="19"/>
      <c r="V616" s="59"/>
      <c r="W616" s="20"/>
      <c r="X616" s="43"/>
    </row>
    <row r="617" spans="1:24" ht="15.75" hidden="1" customHeight="1" x14ac:dyDescent="0.25">
      <c r="A617" s="16"/>
      <c r="B617" s="16"/>
      <c r="C617" s="16"/>
      <c r="D617" s="40"/>
      <c r="E617" s="17"/>
      <c r="F617" s="21"/>
      <c r="G617" s="16"/>
      <c r="H617" s="16"/>
      <c r="I617" s="22"/>
      <c r="J617" s="22"/>
      <c r="K617" s="16"/>
      <c r="L617" s="16"/>
      <c r="M617" s="16"/>
      <c r="N617" s="19"/>
      <c r="O617" s="19"/>
      <c r="P617" s="19"/>
      <c r="Q617" s="19"/>
      <c r="R617" s="19"/>
      <c r="S617" s="19"/>
      <c r="T617" s="19"/>
      <c r="U617" s="19"/>
      <c r="V617" s="59"/>
      <c r="W617" s="20"/>
      <c r="X617" s="43"/>
    </row>
    <row r="618" spans="1:24" ht="15.75" hidden="1" customHeight="1" x14ac:dyDescent="0.25">
      <c r="A618" s="16"/>
      <c r="B618" s="16"/>
      <c r="C618" s="16"/>
      <c r="D618" s="40"/>
      <c r="E618" s="17"/>
      <c r="F618" s="21"/>
      <c r="G618" s="16"/>
      <c r="H618" s="16"/>
      <c r="I618" s="22"/>
      <c r="J618" s="22"/>
      <c r="K618" s="16"/>
      <c r="L618" s="16"/>
      <c r="M618" s="16"/>
      <c r="N618" s="19"/>
      <c r="O618" s="19"/>
      <c r="P618" s="19"/>
      <c r="Q618" s="19"/>
      <c r="R618" s="19"/>
      <c r="S618" s="19"/>
      <c r="T618" s="19"/>
      <c r="U618" s="19"/>
      <c r="V618" s="59"/>
      <c r="W618" s="20"/>
      <c r="X618" s="43"/>
    </row>
    <row r="619" spans="1:24" ht="15.75" hidden="1" customHeight="1" x14ac:dyDescent="0.25">
      <c r="A619" s="16"/>
      <c r="B619" s="16"/>
      <c r="C619" s="16"/>
      <c r="D619" s="40"/>
      <c r="E619" s="17"/>
      <c r="F619" s="21"/>
      <c r="G619" s="16"/>
      <c r="H619" s="16"/>
      <c r="I619" s="22"/>
      <c r="J619" s="22"/>
      <c r="K619" s="16"/>
      <c r="L619" s="16"/>
      <c r="M619" s="16"/>
      <c r="N619" s="19"/>
      <c r="O619" s="19"/>
      <c r="P619" s="19"/>
      <c r="Q619" s="19"/>
      <c r="R619" s="19"/>
      <c r="S619" s="19"/>
      <c r="T619" s="19"/>
      <c r="U619" s="19"/>
      <c r="V619" s="59"/>
      <c r="W619" s="20"/>
      <c r="X619" s="43"/>
    </row>
    <row r="620" spans="1:24" ht="15.75" hidden="1" customHeight="1" x14ac:dyDescent="0.25">
      <c r="A620" s="16"/>
      <c r="B620" s="16"/>
      <c r="C620" s="16"/>
      <c r="D620" s="40"/>
      <c r="E620" s="17"/>
      <c r="F620" s="21"/>
      <c r="G620" s="16"/>
      <c r="H620" s="16"/>
      <c r="I620" s="22"/>
      <c r="J620" s="22"/>
      <c r="K620" s="16"/>
      <c r="L620" s="16"/>
      <c r="M620" s="16"/>
      <c r="N620" s="19"/>
      <c r="O620" s="19"/>
      <c r="P620" s="19"/>
      <c r="Q620" s="19"/>
      <c r="R620" s="19"/>
      <c r="S620" s="19"/>
      <c r="T620" s="19"/>
      <c r="U620" s="19"/>
      <c r="V620" s="59"/>
      <c r="W620" s="20"/>
      <c r="X620" s="43"/>
    </row>
    <row r="621" spans="1:24" ht="15.75" hidden="1" customHeight="1" x14ac:dyDescent="0.25">
      <c r="A621" s="16"/>
      <c r="B621" s="16"/>
      <c r="C621" s="16"/>
      <c r="D621" s="40"/>
      <c r="E621" s="17"/>
      <c r="F621" s="21"/>
      <c r="G621" s="16"/>
      <c r="H621" s="16"/>
      <c r="I621" s="22"/>
      <c r="J621" s="22"/>
      <c r="K621" s="16"/>
      <c r="L621" s="16"/>
      <c r="M621" s="16"/>
      <c r="N621" s="19"/>
      <c r="O621" s="19"/>
      <c r="P621" s="19"/>
      <c r="Q621" s="19"/>
      <c r="R621" s="19"/>
      <c r="S621" s="19"/>
      <c r="T621" s="19"/>
      <c r="U621" s="19"/>
      <c r="V621" s="59"/>
      <c r="W621" s="20"/>
      <c r="X621" s="43"/>
    </row>
    <row r="622" spans="1:24" ht="15.75" hidden="1" customHeight="1" x14ac:dyDescent="0.25">
      <c r="A622" s="16"/>
      <c r="B622" s="16"/>
      <c r="C622" s="16"/>
      <c r="D622" s="40"/>
      <c r="E622" s="17"/>
      <c r="F622" s="21"/>
      <c r="G622" s="16"/>
      <c r="H622" s="16"/>
      <c r="I622" s="22"/>
      <c r="J622" s="22"/>
      <c r="K622" s="16"/>
      <c r="L622" s="16"/>
      <c r="M622" s="16"/>
      <c r="N622" s="19"/>
      <c r="O622" s="19"/>
      <c r="P622" s="19"/>
      <c r="Q622" s="19"/>
      <c r="R622" s="19"/>
      <c r="S622" s="19"/>
      <c r="T622" s="19"/>
      <c r="U622" s="19"/>
      <c r="V622" s="59"/>
      <c r="W622" s="20"/>
      <c r="X622" s="43"/>
    </row>
    <row r="623" spans="1:24" ht="15.75" hidden="1" customHeight="1" x14ac:dyDescent="0.25">
      <c r="A623" s="16"/>
      <c r="B623" s="16"/>
      <c r="C623" s="16"/>
      <c r="D623" s="40"/>
      <c r="E623" s="17"/>
      <c r="F623" s="21"/>
      <c r="G623" s="16"/>
      <c r="H623" s="16"/>
      <c r="I623" s="22"/>
      <c r="J623" s="22"/>
      <c r="K623" s="16"/>
      <c r="L623" s="16"/>
      <c r="M623" s="16"/>
      <c r="N623" s="19"/>
      <c r="O623" s="19"/>
      <c r="P623" s="19"/>
      <c r="Q623" s="19"/>
      <c r="R623" s="19"/>
      <c r="S623" s="19"/>
      <c r="T623" s="19"/>
      <c r="U623" s="19"/>
      <c r="V623" s="59"/>
      <c r="W623" s="20"/>
      <c r="X623" s="43"/>
    </row>
    <row r="624" spans="1:24" ht="15.75" hidden="1" customHeight="1" x14ac:dyDescent="0.25">
      <c r="A624" s="16"/>
      <c r="B624" s="16"/>
      <c r="C624" s="16"/>
      <c r="D624" s="40"/>
      <c r="E624" s="17"/>
      <c r="F624" s="21"/>
      <c r="G624" s="16"/>
      <c r="H624" s="16"/>
      <c r="I624" s="22"/>
      <c r="J624" s="22"/>
      <c r="K624" s="16"/>
      <c r="L624" s="16"/>
      <c r="M624" s="16"/>
      <c r="N624" s="19"/>
      <c r="O624" s="19"/>
      <c r="P624" s="19"/>
      <c r="Q624" s="19"/>
      <c r="R624" s="19"/>
      <c r="S624" s="19"/>
      <c r="T624" s="19"/>
      <c r="U624" s="19"/>
      <c r="V624" s="59"/>
      <c r="W624" s="20"/>
      <c r="X624" s="43"/>
    </row>
    <row r="625" spans="1:24" ht="15.75" hidden="1" customHeight="1" x14ac:dyDescent="0.25">
      <c r="A625" s="16"/>
      <c r="B625" s="16"/>
      <c r="C625" s="16"/>
      <c r="D625" s="40"/>
      <c r="E625" s="17"/>
      <c r="F625" s="21"/>
      <c r="G625" s="16"/>
      <c r="H625" s="16"/>
      <c r="I625" s="22"/>
      <c r="J625" s="22"/>
      <c r="K625" s="16"/>
      <c r="L625" s="16"/>
      <c r="M625" s="16"/>
      <c r="N625" s="19"/>
      <c r="O625" s="19"/>
      <c r="P625" s="19"/>
      <c r="Q625" s="19"/>
      <c r="R625" s="19"/>
      <c r="S625" s="19"/>
      <c r="T625" s="19"/>
      <c r="U625" s="19"/>
      <c r="V625" s="59"/>
      <c r="W625" s="20"/>
      <c r="X625" s="43"/>
    </row>
    <row r="626" spans="1:24" ht="15.75" hidden="1" customHeight="1" x14ac:dyDescent="0.25">
      <c r="A626" s="16"/>
      <c r="B626" s="16"/>
      <c r="C626" s="16"/>
      <c r="D626" s="40"/>
      <c r="E626" s="17"/>
      <c r="F626" s="21"/>
      <c r="G626" s="16"/>
      <c r="H626" s="16"/>
      <c r="I626" s="22"/>
      <c r="J626" s="22"/>
      <c r="K626" s="16"/>
      <c r="L626" s="16"/>
      <c r="M626" s="16"/>
      <c r="N626" s="19"/>
      <c r="O626" s="19"/>
      <c r="P626" s="19"/>
      <c r="Q626" s="19"/>
      <c r="R626" s="19"/>
      <c r="S626" s="19"/>
      <c r="T626" s="19"/>
      <c r="U626" s="19"/>
      <c r="V626" s="59"/>
      <c r="W626" s="20"/>
      <c r="X626" s="43"/>
    </row>
    <row r="627" spans="1:24" ht="15.75" hidden="1" customHeight="1" x14ac:dyDescent="0.25">
      <c r="A627" s="16"/>
      <c r="B627" s="16"/>
      <c r="C627" s="16"/>
      <c r="D627" s="40"/>
      <c r="E627" s="17"/>
      <c r="F627" s="21"/>
      <c r="G627" s="16"/>
      <c r="H627" s="16"/>
      <c r="I627" s="22"/>
      <c r="J627" s="22"/>
      <c r="K627" s="16"/>
      <c r="L627" s="16"/>
      <c r="M627" s="16"/>
      <c r="N627" s="19"/>
      <c r="O627" s="19"/>
      <c r="P627" s="19"/>
      <c r="Q627" s="19"/>
      <c r="R627" s="19"/>
      <c r="S627" s="19"/>
      <c r="T627" s="19"/>
      <c r="U627" s="19"/>
      <c r="V627" s="59"/>
      <c r="W627" s="20"/>
      <c r="X627" s="43"/>
    </row>
    <row r="628" spans="1:24" ht="15.75" hidden="1" customHeight="1" x14ac:dyDescent="0.25">
      <c r="A628" s="16"/>
      <c r="B628" s="16"/>
      <c r="C628" s="16"/>
      <c r="D628" s="40"/>
      <c r="E628" s="17"/>
      <c r="F628" s="21"/>
      <c r="G628" s="16"/>
      <c r="H628" s="16"/>
      <c r="I628" s="22"/>
      <c r="J628" s="22"/>
      <c r="K628" s="16"/>
      <c r="L628" s="16"/>
      <c r="M628" s="16"/>
      <c r="N628" s="19"/>
      <c r="O628" s="19"/>
      <c r="P628" s="19"/>
      <c r="Q628" s="19"/>
      <c r="R628" s="19"/>
      <c r="S628" s="19"/>
      <c r="T628" s="19"/>
      <c r="U628" s="19"/>
      <c r="V628" s="59"/>
      <c r="W628" s="20"/>
      <c r="X628" s="43"/>
    </row>
    <row r="629" spans="1:24" ht="15.75" hidden="1" customHeight="1" x14ac:dyDescent="0.25">
      <c r="A629" s="16"/>
      <c r="B629" s="16"/>
      <c r="C629" s="16"/>
      <c r="D629" s="40"/>
      <c r="E629" s="17"/>
      <c r="F629" s="21"/>
      <c r="G629" s="16"/>
      <c r="H629" s="16"/>
      <c r="I629" s="22"/>
      <c r="J629" s="22"/>
      <c r="K629" s="16"/>
      <c r="L629" s="16"/>
      <c r="M629" s="16"/>
      <c r="N629" s="19"/>
      <c r="O629" s="19"/>
      <c r="P629" s="19"/>
      <c r="Q629" s="19"/>
      <c r="R629" s="19"/>
      <c r="S629" s="19"/>
      <c r="T629" s="19"/>
      <c r="U629" s="19"/>
      <c r="V629" s="59"/>
      <c r="W629" s="20"/>
      <c r="X629" s="43"/>
    </row>
    <row r="630" spans="1:24" ht="15.75" hidden="1" customHeight="1" x14ac:dyDescent="0.25">
      <c r="A630" s="16"/>
      <c r="B630" s="16"/>
      <c r="C630" s="16"/>
      <c r="D630" s="40"/>
      <c r="E630" s="17"/>
      <c r="F630" s="21"/>
      <c r="G630" s="16"/>
      <c r="H630" s="16"/>
      <c r="I630" s="22"/>
      <c r="J630" s="22"/>
      <c r="K630" s="16"/>
      <c r="L630" s="16"/>
      <c r="M630" s="16"/>
      <c r="N630" s="19"/>
      <c r="O630" s="19"/>
      <c r="P630" s="19"/>
      <c r="Q630" s="19"/>
      <c r="R630" s="19"/>
      <c r="S630" s="19"/>
      <c r="T630" s="19"/>
      <c r="U630" s="19"/>
      <c r="V630" s="59"/>
      <c r="W630" s="20"/>
      <c r="X630" s="43"/>
    </row>
    <row r="631" spans="1:24" ht="15.75" hidden="1" customHeight="1" x14ac:dyDescent="0.25">
      <c r="A631" s="16"/>
      <c r="B631" s="16"/>
      <c r="C631" s="16"/>
      <c r="D631" s="40"/>
      <c r="E631" s="17"/>
      <c r="F631" s="21"/>
      <c r="G631" s="16"/>
      <c r="H631" s="16"/>
      <c r="I631" s="22"/>
      <c r="J631" s="22"/>
      <c r="K631" s="16"/>
      <c r="L631" s="16"/>
      <c r="M631" s="16"/>
      <c r="N631" s="19"/>
      <c r="O631" s="19"/>
      <c r="P631" s="19"/>
      <c r="Q631" s="19"/>
      <c r="R631" s="19"/>
      <c r="S631" s="19"/>
      <c r="T631" s="19"/>
      <c r="U631" s="19"/>
      <c r="V631" s="59"/>
      <c r="W631" s="20"/>
      <c r="X631" s="43"/>
    </row>
    <row r="632" spans="1:24" ht="15.75" hidden="1" customHeight="1" x14ac:dyDescent="0.25">
      <c r="A632" s="16"/>
      <c r="B632" s="16"/>
      <c r="C632" s="16"/>
      <c r="D632" s="40"/>
      <c r="E632" s="17"/>
      <c r="F632" s="21"/>
      <c r="G632" s="16"/>
      <c r="H632" s="16"/>
      <c r="I632" s="22"/>
      <c r="J632" s="22"/>
      <c r="K632" s="16"/>
      <c r="L632" s="16"/>
      <c r="M632" s="16"/>
      <c r="N632" s="19"/>
      <c r="O632" s="19"/>
      <c r="P632" s="19"/>
      <c r="Q632" s="19"/>
      <c r="R632" s="19"/>
      <c r="S632" s="19"/>
      <c r="T632" s="19"/>
      <c r="U632" s="19"/>
      <c r="V632" s="59"/>
      <c r="W632" s="20"/>
      <c r="X632" s="43"/>
    </row>
    <row r="633" spans="1:24" ht="15.75" hidden="1" customHeight="1" x14ac:dyDescent="0.25">
      <c r="A633" s="16"/>
      <c r="B633" s="16"/>
      <c r="C633" s="16"/>
      <c r="D633" s="40"/>
      <c r="E633" s="17"/>
      <c r="F633" s="21"/>
      <c r="G633" s="16"/>
      <c r="H633" s="16"/>
      <c r="I633" s="22"/>
      <c r="J633" s="22"/>
      <c r="K633" s="16"/>
      <c r="L633" s="16"/>
      <c r="M633" s="16"/>
      <c r="N633" s="19"/>
      <c r="O633" s="19"/>
      <c r="P633" s="19"/>
      <c r="Q633" s="19"/>
      <c r="R633" s="19"/>
      <c r="S633" s="19"/>
      <c r="T633" s="19"/>
      <c r="U633" s="19"/>
      <c r="V633" s="59"/>
      <c r="W633" s="20"/>
      <c r="X633" s="43"/>
    </row>
    <row r="634" spans="1:24" ht="15.75" hidden="1" customHeight="1" x14ac:dyDescent="0.25">
      <c r="A634" s="16"/>
      <c r="B634" s="16"/>
      <c r="C634" s="16"/>
      <c r="D634" s="40"/>
      <c r="E634" s="17"/>
      <c r="F634" s="21"/>
      <c r="G634" s="16"/>
      <c r="H634" s="16"/>
      <c r="I634" s="22"/>
      <c r="J634" s="22"/>
      <c r="K634" s="16"/>
      <c r="L634" s="16"/>
      <c r="M634" s="16"/>
      <c r="N634" s="19"/>
      <c r="O634" s="19"/>
      <c r="P634" s="19"/>
      <c r="Q634" s="19"/>
      <c r="R634" s="19"/>
      <c r="S634" s="19"/>
      <c r="T634" s="19"/>
      <c r="U634" s="19"/>
      <c r="V634" s="59"/>
      <c r="W634" s="20"/>
      <c r="X634" s="43"/>
    </row>
    <row r="635" spans="1:24" ht="15.75" hidden="1" customHeight="1" x14ac:dyDescent="0.25">
      <c r="A635" s="16"/>
      <c r="B635" s="16"/>
      <c r="C635" s="16"/>
      <c r="D635" s="40"/>
      <c r="E635" s="17"/>
      <c r="F635" s="21"/>
      <c r="G635" s="16"/>
      <c r="H635" s="16"/>
      <c r="I635" s="22"/>
      <c r="J635" s="22"/>
      <c r="K635" s="16"/>
      <c r="L635" s="16"/>
      <c r="M635" s="16"/>
      <c r="N635" s="19"/>
      <c r="O635" s="19"/>
      <c r="P635" s="19"/>
      <c r="Q635" s="19"/>
      <c r="R635" s="19"/>
      <c r="S635" s="19"/>
      <c r="T635" s="19"/>
      <c r="U635" s="19"/>
      <c r="V635" s="59"/>
      <c r="W635" s="20"/>
      <c r="X635" s="43"/>
    </row>
    <row r="636" spans="1:24" ht="15.75" hidden="1" customHeight="1" x14ac:dyDescent="0.25">
      <c r="A636" s="16"/>
      <c r="B636" s="16"/>
      <c r="C636" s="16"/>
      <c r="D636" s="40"/>
      <c r="E636" s="17"/>
      <c r="F636" s="21"/>
      <c r="G636" s="16"/>
      <c r="H636" s="16"/>
      <c r="I636" s="22"/>
      <c r="J636" s="22"/>
      <c r="K636" s="16"/>
      <c r="L636" s="16"/>
      <c r="M636" s="16"/>
      <c r="N636" s="19"/>
      <c r="O636" s="19"/>
      <c r="P636" s="19"/>
      <c r="Q636" s="19"/>
      <c r="R636" s="19"/>
      <c r="S636" s="19"/>
      <c r="T636" s="19"/>
      <c r="U636" s="19"/>
      <c r="V636" s="59"/>
      <c r="W636" s="20"/>
      <c r="X636" s="43"/>
    </row>
    <row r="637" spans="1:24" ht="15.75" hidden="1" customHeight="1" x14ac:dyDescent="0.25">
      <c r="A637" s="16"/>
      <c r="B637" s="16"/>
      <c r="C637" s="16"/>
      <c r="D637" s="40"/>
      <c r="E637" s="17"/>
      <c r="F637" s="21"/>
      <c r="G637" s="16"/>
      <c r="H637" s="16"/>
      <c r="I637" s="22"/>
      <c r="J637" s="22"/>
      <c r="K637" s="16"/>
      <c r="L637" s="16"/>
      <c r="M637" s="16"/>
      <c r="N637" s="19"/>
      <c r="O637" s="19"/>
      <c r="P637" s="19"/>
      <c r="Q637" s="19"/>
      <c r="R637" s="19"/>
      <c r="S637" s="19"/>
      <c r="T637" s="19"/>
      <c r="U637" s="19"/>
      <c r="V637" s="59"/>
      <c r="W637" s="20"/>
      <c r="X637" s="43"/>
    </row>
    <row r="638" spans="1:24" ht="15.75" hidden="1" customHeight="1" x14ac:dyDescent="0.25">
      <c r="A638" s="16"/>
      <c r="B638" s="16"/>
      <c r="C638" s="16"/>
      <c r="D638" s="40"/>
      <c r="E638" s="17"/>
      <c r="F638" s="21"/>
      <c r="G638" s="16"/>
      <c r="H638" s="16"/>
      <c r="I638" s="22"/>
      <c r="J638" s="22"/>
      <c r="K638" s="16"/>
      <c r="L638" s="16"/>
      <c r="M638" s="16"/>
      <c r="N638" s="19"/>
      <c r="O638" s="19"/>
      <c r="P638" s="19"/>
      <c r="Q638" s="19"/>
      <c r="R638" s="19"/>
      <c r="S638" s="19"/>
      <c r="T638" s="19"/>
      <c r="U638" s="19"/>
      <c r="V638" s="59"/>
      <c r="W638" s="20"/>
      <c r="X638" s="43"/>
    </row>
    <row r="639" spans="1:24" ht="15.75" hidden="1" customHeight="1" x14ac:dyDescent="0.25">
      <c r="A639" s="16"/>
      <c r="B639" s="16"/>
      <c r="C639" s="16"/>
      <c r="D639" s="40"/>
      <c r="E639" s="17"/>
      <c r="F639" s="21"/>
      <c r="G639" s="16"/>
      <c r="H639" s="16"/>
      <c r="I639" s="22"/>
      <c r="J639" s="22"/>
      <c r="K639" s="16"/>
      <c r="L639" s="16"/>
      <c r="M639" s="16"/>
      <c r="N639" s="19"/>
      <c r="O639" s="19"/>
      <c r="P639" s="19"/>
      <c r="Q639" s="19"/>
      <c r="R639" s="19"/>
      <c r="S639" s="19"/>
      <c r="T639" s="19"/>
      <c r="U639" s="19"/>
      <c r="V639" s="59"/>
      <c r="W639" s="20"/>
      <c r="X639" s="43"/>
    </row>
    <row r="640" spans="1:24" ht="15.75" hidden="1" customHeight="1" x14ac:dyDescent="0.25">
      <c r="A640" s="16"/>
      <c r="B640" s="16"/>
      <c r="C640" s="16"/>
      <c r="D640" s="40"/>
      <c r="E640" s="17"/>
      <c r="F640" s="21"/>
      <c r="G640" s="16"/>
      <c r="H640" s="16"/>
      <c r="I640" s="22"/>
      <c r="J640" s="22"/>
      <c r="K640" s="16"/>
      <c r="L640" s="16"/>
      <c r="M640" s="16"/>
      <c r="N640" s="19"/>
      <c r="O640" s="19"/>
      <c r="P640" s="19"/>
      <c r="Q640" s="19"/>
      <c r="R640" s="19"/>
      <c r="S640" s="19"/>
      <c r="T640" s="19"/>
      <c r="U640" s="19"/>
      <c r="V640" s="59"/>
      <c r="W640" s="20"/>
      <c r="X640" s="43"/>
    </row>
    <row r="641" spans="1:24" ht="15.75" hidden="1" customHeight="1" x14ac:dyDescent="0.25">
      <c r="A641" s="16"/>
      <c r="B641" s="16"/>
      <c r="C641" s="16"/>
      <c r="D641" s="40"/>
      <c r="E641" s="17"/>
      <c r="F641" s="21"/>
      <c r="G641" s="16"/>
      <c r="H641" s="16"/>
      <c r="I641" s="22"/>
      <c r="J641" s="22"/>
      <c r="K641" s="16"/>
      <c r="L641" s="16"/>
      <c r="M641" s="16"/>
      <c r="N641" s="19"/>
      <c r="O641" s="19"/>
      <c r="P641" s="19"/>
      <c r="Q641" s="19"/>
      <c r="R641" s="19"/>
      <c r="S641" s="19"/>
      <c r="T641" s="19"/>
      <c r="U641" s="19"/>
      <c r="V641" s="59"/>
      <c r="W641" s="20"/>
      <c r="X641" s="43"/>
    </row>
    <row r="642" spans="1:24" ht="15.75" hidden="1" customHeight="1" x14ac:dyDescent="0.25">
      <c r="A642" s="16"/>
      <c r="B642" s="16"/>
      <c r="C642" s="16"/>
      <c r="D642" s="40"/>
      <c r="E642" s="17"/>
      <c r="F642" s="21"/>
      <c r="G642" s="16"/>
      <c r="H642" s="16"/>
      <c r="I642" s="22"/>
      <c r="J642" s="22"/>
      <c r="K642" s="16"/>
      <c r="L642" s="16"/>
      <c r="M642" s="16"/>
      <c r="N642" s="19"/>
      <c r="O642" s="19"/>
      <c r="P642" s="19"/>
      <c r="Q642" s="19"/>
      <c r="R642" s="19"/>
      <c r="S642" s="19"/>
      <c r="T642" s="19"/>
      <c r="U642" s="19"/>
      <c r="V642" s="59"/>
      <c r="W642" s="20"/>
      <c r="X642" s="43"/>
    </row>
    <row r="643" spans="1:24" ht="15.75" hidden="1" customHeight="1" x14ac:dyDescent="0.25">
      <c r="A643" s="16"/>
      <c r="B643" s="16"/>
      <c r="C643" s="16"/>
      <c r="D643" s="40"/>
      <c r="E643" s="17"/>
      <c r="F643" s="21"/>
      <c r="G643" s="16"/>
      <c r="H643" s="16"/>
      <c r="I643" s="22"/>
      <c r="J643" s="22"/>
      <c r="K643" s="16"/>
      <c r="L643" s="16"/>
      <c r="M643" s="16"/>
      <c r="N643" s="19"/>
      <c r="O643" s="19"/>
      <c r="P643" s="19"/>
      <c r="Q643" s="19"/>
      <c r="R643" s="19"/>
      <c r="S643" s="19"/>
      <c r="T643" s="19"/>
      <c r="U643" s="19"/>
      <c r="V643" s="59"/>
      <c r="W643" s="20"/>
      <c r="X643" s="43"/>
    </row>
    <row r="644" spans="1:24" ht="15.75" hidden="1" customHeight="1" x14ac:dyDescent="0.25">
      <c r="A644" s="16"/>
      <c r="B644" s="16"/>
      <c r="C644" s="16"/>
      <c r="D644" s="40"/>
      <c r="E644" s="17"/>
      <c r="F644" s="21"/>
      <c r="G644" s="16"/>
      <c r="H644" s="16"/>
      <c r="I644" s="22"/>
      <c r="J644" s="22"/>
      <c r="K644" s="16"/>
      <c r="L644" s="16"/>
      <c r="M644" s="16"/>
      <c r="N644" s="19"/>
      <c r="O644" s="19"/>
      <c r="P644" s="19"/>
      <c r="Q644" s="19"/>
      <c r="R644" s="19"/>
      <c r="S644" s="19"/>
      <c r="T644" s="19"/>
      <c r="U644" s="19"/>
      <c r="V644" s="59"/>
      <c r="W644" s="20"/>
      <c r="X644" s="43"/>
    </row>
    <row r="645" spans="1:24" ht="15.75" hidden="1" customHeight="1" x14ac:dyDescent="0.25">
      <c r="A645" s="16"/>
      <c r="B645" s="16"/>
      <c r="C645" s="16"/>
      <c r="D645" s="40"/>
      <c r="E645" s="17"/>
      <c r="F645" s="21"/>
      <c r="G645" s="16"/>
      <c r="H645" s="16"/>
      <c r="I645" s="22"/>
      <c r="J645" s="22"/>
      <c r="K645" s="16"/>
      <c r="L645" s="16"/>
      <c r="M645" s="16"/>
      <c r="N645" s="19"/>
      <c r="O645" s="19"/>
      <c r="P645" s="19"/>
      <c r="Q645" s="19"/>
      <c r="R645" s="19"/>
      <c r="S645" s="19"/>
      <c r="T645" s="19"/>
      <c r="U645" s="19"/>
      <c r="V645" s="59"/>
      <c r="W645" s="20"/>
      <c r="X645" s="43"/>
    </row>
    <row r="646" spans="1:24" ht="15.75" hidden="1" customHeight="1" x14ac:dyDescent="0.25">
      <c r="A646" s="16"/>
      <c r="B646" s="16"/>
      <c r="C646" s="16"/>
      <c r="D646" s="40"/>
      <c r="E646" s="17"/>
      <c r="F646" s="21"/>
      <c r="G646" s="16"/>
      <c r="H646" s="16"/>
      <c r="I646" s="22"/>
      <c r="J646" s="22"/>
      <c r="K646" s="16"/>
      <c r="L646" s="16"/>
      <c r="M646" s="16"/>
      <c r="N646" s="19"/>
      <c r="O646" s="19"/>
      <c r="P646" s="19"/>
      <c r="Q646" s="19"/>
      <c r="R646" s="19"/>
      <c r="S646" s="19"/>
      <c r="T646" s="19"/>
      <c r="U646" s="19"/>
      <c r="V646" s="59"/>
      <c r="W646" s="20"/>
      <c r="X646" s="43"/>
    </row>
    <row r="647" spans="1:24" ht="15.75" hidden="1" customHeight="1" x14ac:dyDescent="0.25">
      <c r="A647" s="16"/>
      <c r="B647" s="16"/>
      <c r="C647" s="16"/>
      <c r="D647" s="40"/>
      <c r="E647" s="17"/>
      <c r="F647" s="21"/>
      <c r="G647" s="16"/>
      <c r="H647" s="16"/>
      <c r="I647" s="22"/>
      <c r="J647" s="22"/>
      <c r="K647" s="16"/>
      <c r="L647" s="16"/>
      <c r="M647" s="16"/>
      <c r="N647" s="19"/>
      <c r="O647" s="19"/>
      <c r="P647" s="19"/>
      <c r="Q647" s="19"/>
      <c r="R647" s="19"/>
      <c r="S647" s="19"/>
      <c r="T647" s="19"/>
      <c r="U647" s="19"/>
      <c r="V647" s="59"/>
      <c r="W647" s="20"/>
      <c r="X647" s="43"/>
    </row>
    <row r="648" spans="1:24" ht="15.75" hidden="1" customHeight="1" x14ac:dyDescent="0.25">
      <c r="A648" s="16"/>
      <c r="B648" s="16"/>
      <c r="C648" s="16"/>
      <c r="D648" s="40"/>
      <c r="E648" s="17"/>
      <c r="F648" s="21"/>
      <c r="G648" s="16"/>
      <c r="H648" s="16"/>
      <c r="I648" s="22"/>
      <c r="J648" s="22"/>
      <c r="K648" s="16"/>
      <c r="L648" s="16"/>
      <c r="M648" s="16"/>
      <c r="N648" s="19"/>
      <c r="O648" s="19"/>
      <c r="P648" s="19"/>
      <c r="Q648" s="19"/>
      <c r="R648" s="19"/>
      <c r="S648" s="19"/>
      <c r="T648" s="19"/>
      <c r="U648" s="19"/>
      <c r="V648" s="59"/>
      <c r="W648" s="20"/>
      <c r="X648" s="43"/>
    </row>
    <row r="649" spans="1:24" ht="15.75" hidden="1" customHeight="1" x14ac:dyDescent="0.25">
      <c r="A649" s="16"/>
      <c r="B649" s="16"/>
      <c r="C649" s="16"/>
      <c r="D649" s="40"/>
      <c r="E649" s="17"/>
      <c r="F649" s="21"/>
      <c r="G649" s="16"/>
      <c r="H649" s="16"/>
      <c r="I649" s="22"/>
      <c r="J649" s="22"/>
      <c r="K649" s="16"/>
      <c r="L649" s="16"/>
      <c r="M649" s="16"/>
      <c r="N649" s="19"/>
      <c r="O649" s="19"/>
      <c r="P649" s="19"/>
      <c r="Q649" s="19"/>
      <c r="R649" s="19"/>
      <c r="S649" s="19"/>
      <c r="T649" s="19"/>
      <c r="U649" s="19"/>
      <c r="V649" s="59"/>
      <c r="W649" s="20"/>
      <c r="X649" s="43"/>
    </row>
    <row r="650" spans="1:24" ht="15.75" hidden="1" customHeight="1" x14ac:dyDescent="0.25">
      <c r="A650" s="16"/>
      <c r="B650" s="16"/>
      <c r="C650" s="16"/>
      <c r="D650" s="40"/>
      <c r="E650" s="17"/>
      <c r="F650" s="21"/>
      <c r="G650" s="16"/>
      <c r="H650" s="16"/>
      <c r="I650" s="22"/>
      <c r="J650" s="22"/>
      <c r="K650" s="16"/>
      <c r="L650" s="16"/>
      <c r="M650" s="16"/>
      <c r="N650" s="19"/>
      <c r="O650" s="19"/>
      <c r="P650" s="19"/>
      <c r="Q650" s="19"/>
      <c r="R650" s="19"/>
      <c r="S650" s="19"/>
      <c r="T650" s="19"/>
      <c r="U650" s="19"/>
      <c r="V650" s="59"/>
      <c r="W650" s="20"/>
      <c r="X650" s="43"/>
    </row>
    <row r="651" spans="1:24" ht="15.75" hidden="1" customHeight="1" x14ac:dyDescent="0.25">
      <c r="A651" s="16"/>
      <c r="B651" s="16"/>
      <c r="C651" s="16"/>
      <c r="D651" s="40"/>
      <c r="E651" s="17"/>
      <c r="F651" s="21"/>
      <c r="G651" s="16"/>
      <c r="H651" s="16"/>
      <c r="I651" s="22"/>
      <c r="J651" s="22"/>
      <c r="K651" s="16"/>
      <c r="L651" s="16"/>
      <c r="M651" s="16"/>
      <c r="N651" s="19"/>
      <c r="O651" s="19"/>
      <c r="P651" s="19"/>
      <c r="Q651" s="19"/>
      <c r="R651" s="19"/>
      <c r="S651" s="19"/>
      <c r="T651" s="19"/>
      <c r="U651" s="19"/>
      <c r="V651" s="59"/>
      <c r="W651" s="20"/>
      <c r="X651" s="43"/>
    </row>
    <row r="652" spans="1:24" ht="15.75" hidden="1" customHeight="1" x14ac:dyDescent="0.25">
      <c r="A652" s="16"/>
      <c r="B652" s="16"/>
      <c r="C652" s="16"/>
      <c r="D652" s="40"/>
      <c r="E652" s="17"/>
      <c r="F652" s="21"/>
      <c r="G652" s="16"/>
      <c r="H652" s="16"/>
      <c r="I652" s="22"/>
      <c r="J652" s="22"/>
      <c r="K652" s="16"/>
      <c r="L652" s="16"/>
      <c r="M652" s="16"/>
      <c r="N652" s="19"/>
      <c r="O652" s="19"/>
      <c r="P652" s="19"/>
      <c r="Q652" s="19"/>
      <c r="R652" s="19"/>
      <c r="S652" s="19"/>
      <c r="T652" s="19"/>
      <c r="U652" s="19"/>
      <c r="V652" s="59"/>
      <c r="W652" s="20"/>
      <c r="X652" s="43"/>
    </row>
    <row r="653" spans="1:24" ht="15.75" hidden="1" customHeight="1" x14ac:dyDescent="0.25">
      <c r="A653" s="16"/>
      <c r="B653" s="16"/>
      <c r="C653" s="16"/>
      <c r="D653" s="40"/>
      <c r="E653" s="17"/>
      <c r="F653" s="21"/>
      <c r="G653" s="16"/>
      <c r="H653" s="16"/>
      <c r="I653" s="22"/>
      <c r="J653" s="22"/>
      <c r="K653" s="16"/>
      <c r="L653" s="16"/>
      <c r="M653" s="16"/>
      <c r="N653" s="19"/>
      <c r="O653" s="19"/>
      <c r="P653" s="19"/>
      <c r="Q653" s="19"/>
      <c r="R653" s="19"/>
      <c r="S653" s="19"/>
      <c r="T653" s="19"/>
      <c r="U653" s="19"/>
      <c r="V653" s="59"/>
      <c r="W653" s="20"/>
      <c r="X653" s="43"/>
    </row>
    <row r="654" spans="1:24" ht="15.75" hidden="1" customHeight="1" x14ac:dyDescent="0.25">
      <c r="A654" s="16"/>
      <c r="B654" s="16"/>
      <c r="C654" s="16"/>
      <c r="D654" s="40"/>
      <c r="E654" s="17"/>
      <c r="F654" s="21"/>
      <c r="G654" s="16"/>
      <c r="H654" s="16"/>
      <c r="I654" s="22"/>
      <c r="J654" s="22"/>
      <c r="K654" s="16"/>
      <c r="L654" s="16"/>
      <c r="M654" s="16"/>
      <c r="N654" s="19"/>
      <c r="O654" s="19"/>
      <c r="P654" s="19"/>
      <c r="Q654" s="19"/>
      <c r="R654" s="19"/>
      <c r="S654" s="19"/>
      <c r="T654" s="19"/>
      <c r="U654" s="19"/>
      <c r="V654" s="59"/>
      <c r="W654" s="20"/>
      <c r="X654" s="43"/>
    </row>
    <row r="655" spans="1:24" ht="15.75" hidden="1" customHeight="1" x14ac:dyDescent="0.25">
      <c r="A655" s="16"/>
      <c r="B655" s="16"/>
      <c r="C655" s="16"/>
      <c r="D655" s="40"/>
      <c r="E655" s="17"/>
      <c r="F655" s="21"/>
      <c r="G655" s="16"/>
      <c r="H655" s="16"/>
      <c r="I655" s="22"/>
      <c r="J655" s="22"/>
      <c r="K655" s="16"/>
      <c r="L655" s="16"/>
      <c r="M655" s="16"/>
      <c r="N655" s="19"/>
      <c r="O655" s="19"/>
      <c r="P655" s="19"/>
      <c r="Q655" s="19"/>
      <c r="R655" s="19"/>
      <c r="S655" s="19"/>
      <c r="T655" s="19"/>
      <c r="U655" s="19"/>
      <c r="V655" s="59"/>
      <c r="W655" s="20"/>
      <c r="X655" s="43"/>
    </row>
    <row r="656" spans="1:24" ht="15.75" hidden="1" customHeight="1" x14ac:dyDescent="0.25">
      <c r="A656" s="16"/>
      <c r="B656" s="16"/>
      <c r="C656" s="16"/>
      <c r="D656" s="40"/>
      <c r="E656" s="17"/>
      <c r="F656" s="21"/>
      <c r="G656" s="16"/>
      <c r="H656" s="16"/>
      <c r="I656" s="22"/>
      <c r="J656" s="22"/>
      <c r="K656" s="16"/>
      <c r="L656" s="16"/>
      <c r="M656" s="16"/>
      <c r="N656" s="19"/>
      <c r="O656" s="19"/>
      <c r="P656" s="19"/>
      <c r="Q656" s="19"/>
      <c r="R656" s="19"/>
      <c r="S656" s="19"/>
      <c r="T656" s="19"/>
      <c r="U656" s="19"/>
      <c r="V656" s="59"/>
      <c r="W656" s="20"/>
      <c r="X656" s="43"/>
    </row>
    <row r="657" spans="1:24" ht="15.75" hidden="1" customHeight="1" x14ac:dyDescent="0.25">
      <c r="A657" s="16"/>
      <c r="B657" s="16"/>
      <c r="C657" s="16"/>
      <c r="D657" s="40"/>
      <c r="E657" s="17"/>
      <c r="F657" s="21"/>
      <c r="G657" s="16"/>
      <c r="H657" s="16"/>
      <c r="I657" s="22"/>
      <c r="J657" s="22"/>
      <c r="K657" s="16"/>
      <c r="L657" s="16"/>
      <c r="M657" s="16"/>
      <c r="N657" s="19"/>
      <c r="O657" s="19"/>
      <c r="P657" s="19"/>
      <c r="Q657" s="19"/>
      <c r="R657" s="19"/>
      <c r="S657" s="19"/>
      <c r="T657" s="19"/>
      <c r="U657" s="19"/>
      <c r="V657" s="59"/>
      <c r="W657" s="20"/>
      <c r="X657" s="43"/>
    </row>
    <row r="658" spans="1:24" ht="15.75" hidden="1" customHeight="1" x14ac:dyDescent="0.25">
      <c r="A658" s="16"/>
      <c r="B658" s="16"/>
      <c r="C658" s="16"/>
      <c r="D658" s="40"/>
      <c r="E658" s="17"/>
      <c r="F658" s="21"/>
      <c r="G658" s="16"/>
      <c r="H658" s="16"/>
      <c r="I658" s="22"/>
      <c r="J658" s="22"/>
      <c r="K658" s="16"/>
      <c r="L658" s="16"/>
      <c r="M658" s="16"/>
      <c r="N658" s="19"/>
      <c r="O658" s="19"/>
      <c r="P658" s="19"/>
      <c r="Q658" s="19"/>
      <c r="R658" s="19"/>
      <c r="S658" s="19"/>
      <c r="T658" s="19"/>
      <c r="U658" s="19"/>
      <c r="V658" s="59"/>
      <c r="W658" s="20"/>
      <c r="X658" s="43"/>
    </row>
    <row r="659" spans="1:24" ht="15.75" hidden="1" customHeight="1" x14ac:dyDescent="0.25">
      <c r="A659" s="16"/>
      <c r="B659" s="16"/>
      <c r="C659" s="16"/>
      <c r="D659" s="40"/>
      <c r="E659" s="17"/>
      <c r="F659" s="21"/>
      <c r="G659" s="16"/>
      <c r="H659" s="16"/>
      <c r="I659" s="22"/>
      <c r="J659" s="22"/>
      <c r="K659" s="16"/>
      <c r="L659" s="16"/>
      <c r="M659" s="16"/>
      <c r="N659" s="19"/>
      <c r="O659" s="19"/>
      <c r="P659" s="19"/>
      <c r="Q659" s="19"/>
      <c r="R659" s="19"/>
      <c r="S659" s="19"/>
      <c r="T659" s="19"/>
      <c r="U659" s="19"/>
      <c r="V659" s="59"/>
      <c r="W659" s="20"/>
      <c r="X659" s="43"/>
    </row>
    <row r="660" spans="1:24" ht="15.75" hidden="1" customHeight="1" x14ac:dyDescent="0.25">
      <c r="A660" s="16"/>
      <c r="B660" s="16"/>
      <c r="C660" s="16"/>
      <c r="D660" s="40"/>
      <c r="E660" s="17"/>
      <c r="F660" s="21"/>
      <c r="G660" s="16"/>
      <c r="H660" s="16"/>
      <c r="I660" s="22"/>
      <c r="J660" s="22"/>
      <c r="K660" s="16"/>
      <c r="L660" s="16"/>
      <c r="M660" s="16"/>
      <c r="N660" s="19"/>
      <c r="O660" s="19"/>
      <c r="P660" s="19"/>
      <c r="Q660" s="19"/>
      <c r="R660" s="19"/>
      <c r="S660" s="19"/>
      <c r="T660" s="19"/>
      <c r="U660" s="19"/>
      <c r="V660" s="59"/>
      <c r="W660" s="20"/>
      <c r="X660" s="43"/>
    </row>
    <row r="661" spans="1:24" ht="15.75" hidden="1" customHeight="1" x14ac:dyDescent="0.25">
      <c r="A661" s="16"/>
      <c r="B661" s="16"/>
      <c r="C661" s="16"/>
      <c r="D661" s="40"/>
      <c r="E661" s="17"/>
      <c r="F661" s="21"/>
      <c r="G661" s="16"/>
      <c r="H661" s="16"/>
      <c r="I661" s="22"/>
      <c r="J661" s="22"/>
      <c r="K661" s="16"/>
      <c r="L661" s="16"/>
      <c r="M661" s="16"/>
      <c r="N661" s="19"/>
      <c r="O661" s="19"/>
      <c r="P661" s="19"/>
      <c r="Q661" s="19"/>
      <c r="R661" s="19"/>
      <c r="S661" s="19"/>
      <c r="T661" s="19"/>
      <c r="U661" s="19"/>
      <c r="V661" s="59"/>
      <c r="W661" s="20"/>
      <c r="X661" s="43"/>
    </row>
    <row r="662" spans="1:24" ht="15.75" hidden="1" customHeight="1" x14ac:dyDescent="0.25">
      <c r="A662" s="16"/>
      <c r="B662" s="16"/>
      <c r="C662" s="16"/>
      <c r="D662" s="40"/>
      <c r="E662" s="17"/>
      <c r="F662" s="21"/>
      <c r="G662" s="16"/>
      <c r="H662" s="16"/>
      <c r="I662" s="22"/>
      <c r="J662" s="22"/>
      <c r="K662" s="16"/>
      <c r="L662" s="16"/>
      <c r="M662" s="16"/>
      <c r="N662" s="19"/>
      <c r="O662" s="19"/>
      <c r="P662" s="19"/>
      <c r="Q662" s="19"/>
      <c r="R662" s="19"/>
      <c r="S662" s="19"/>
      <c r="T662" s="19"/>
      <c r="U662" s="19"/>
      <c r="V662" s="59"/>
      <c r="W662" s="20"/>
      <c r="X662" s="43"/>
    </row>
    <row r="663" spans="1:24" ht="15.75" hidden="1" customHeight="1" x14ac:dyDescent="0.25">
      <c r="A663" s="16"/>
      <c r="B663" s="16"/>
      <c r="C663" s="16"/>
      <c r="D663" s="40"/>
      <c r="E663" s="17"/>
      <c r="F663" s="21"/>
      <c r="G663" s="16"/>
      <c r="H663" s="16"/>
      <c r="I663" s="22"/>
      <c r="J663" s="22"/>
      <c r="K663" s="16"/>
      <c r="L663" s="16"/>
      <c r="M663" s="16"/>
      <c r="N663" s="19"/>
      <c r="O663" s="19"/>
      <c r="P663" s="19"/>
      <c r="Q663" s="19"/>
      <c r="R663" s="19"/>
      <c r="S663" s="19"/>
      <c r="T663" s="19"/>
      <c r="U663" s="19"/>
      <c r="V663" s="59"/>
      <c r="W663" s="20"/>
      <c r="X663" s="43"/>
    </row>
    <row r="664" spans="1:24" ht="15.75" hidden="1" customHeight="1" x14ac:dyDescent="0.25">
      <c r="A664" s="16"/>
      <c r="B664" s="16"/>
      <c r="C664" s="16"/>
      <c r="D664" s="40"/>
      <c r="E664" s="17"/>
      <c r="F664" s="21"/>
      <c r="G664" s="16"/>
      <c r="H664" s="16"/>
      <c r="I664" s="22"/>
      <c r="J664" s="22"/>
      <c r="K664" s="16"/>
      <c r="L664" s="16"/>
      <c r="M664" s="16"/>
      <c r="N664" s="19"/>
      <c r="O664" s="19"/>
      <c r="P664" s="19"/>
      <c r="Q664" s="19"/>
      <c r="R664" s="19"/>
      <c r="S664" s="19"/>
      <c r="T664" s="19"/>
      <c r="U664" s="19"/>
      <c r="V664" s="59"/>
      <c r="W664" s="20"/>
      <c r="X664" s="43"/>
    </row>
    <row r="665" spans="1:24" ht="15.75" hidden="1" customHeight="1" x14ac:dyDescent="0.25">
      <c r="A665" s="16"/>
      <c r="B665" s="16"/>
      <c r="C665" s="16"/>
      <c r="D665" s="40"/>
      <c r="E665" s="17"/>
      <c r="F665" s="21"/>
      <c r="G665" s="16"/>
      <c r="H665" s="16"/>
      <c r="I665" s="22"/>
      <c r="J665" s="22"/>
      <c r="K665" s="16"/>
      <c r="L665" s="16"/>
      <c r="M665" s="16"/>
      <c r="N665" s="19"/>
      <c r="O665" s="19"/>
      <c r="P665" s="19"/>
      <c r="Q665" s="19"/>
      <c r="R665" s="19"/>
      <c r="S665" s="19"/>
      <c r="T665" s="19"/>
      <c r="U665" s="19"/>
      <c r="V665" s="59"/>
      <c r="W665" s="20"/>
      <c r="X665" s="43"/>
    </row>
    <row r="666" spans="1:24" ht="15.75" hidden="1" customHeight="1" x14ac:dyDescent="0.25">
      <c r="A666" s="16"/>
      <c r="B666" s="16"/>
      <c r="C666" s="16"/>
      <c r="D666" s="40"/>
      <c r="E666" s="17"/>
      <c r="F666" s="21"/>
      <c r="G666" s="16"/>
      <c r="H666" s="16"/>
      <c r="I666" s="22"/>
      <c r="J666" s="22"/>
      <c r="K666" s="16"/>
      <c r="L666" s="16"/>
      <c r="M666" s="16"/>
      <c r="N666" s="19"/>
      <c r="O666" s="19"/>
      <c r="P666" s="19"/>
      <c r="Q666" s="19"/>
      <c r="R666" s="19"/>
      <c r="S666" s="19"/>
      <c r="T666" s="19"/>
      <c r="U666" s="19"/>
      <c r="V666" s="59"/>
      <c r="W666" s="20"/>
      <c r="X666" s="43"/>
    </row>
    <row r="667" spans="1:24" ht="15.75" hidden="1" customHeight="1" x14ac:dyDescent="0.25">
      <c r="A667" s="16"/>
      <c r="B667" s="16"/>
      <c r="C667" s="16"/>
      <c r="D667" s="40"/>
      <c r="E667" s="17"/>
      <c r="F667" s="21"/>
      <c r="G667" s="16"/>
      <c r="H667" s="16"/>
      <c r="I667" s="22"/>
      <c r="J667" s="22"/>
      <c r="K667" s="16"/>
      <c r="L667" s="16"/>
      <c r="M667" s="16"/>
      <c r="N667" s="19"/>
      <c r="O667" s="19"/>
      <c r="P667" s="19"/>
      <c r="Q667" s="19"/>
      <c r="R667" s="19"/>
      <c r="S667" s="19"/>
      <c r="T667" s="19"/>
      <c r="U667" s="19"/>
      <c r="V667" s="59"/>
      <c r="W667" s="20"/>
      <c r="X667" s="43"/>
    </row>
    <row r="668" spans="1:24" ht="15.75" hidden="1" customHeight="1" x14ac:dyDescent="0.25">
      <c r="A668" s="16"/>
      <c r="B668" s="16"/>
      <c r="C668" s="16"/>
      <c r="D668" s="40"/>
      <c r="E668" s="17"/>
      <c r="F668" s="21"/>
      <c r="G668" s="16"/>
      <c r="H668" s="16"/>
      <c r="I668" s="22"/>
      <c r="J668" s="22"/>
      <c r="K668" s="16"/>
      <c r="L668" s="16"/>
      <c r="M668" s="16"/>
      <c r="N668" s="19"/>
      <c r="O668" s="19"/>
      <c r="P668" s="19"/>
      <c r="Q668" s="19"/>
      <c r="R668" s="19"/>
      <c r="S668" s="19"/>
      <c r="T668" s="19"/>
      <c r="U668" s="19"/>
      <c r="V668" s="59"/>
      <c r="W668" s="20"/>
      <c r="X668" s="43"/>
    </row>
    <row r="669" spans="1:24" ht="15.75" hidden="1" customHeight="1" x14ac:dyDescent="0.25">
      <c r="A669" s="16"/>
      <c r="B669" s="16"/>
      <c r="C669" s="16"/>
      <c r="D669" s="40"/>
      <c r="E669" s="17"/>
      <c r="F669" s="21"/>
      <c r="G669" s="16"/>
      <c r="H669" s="16"/>
      <c r="I669" s="22"/>
      <c r="J669" s="22"/>
      <c r="K669" s="16"/>
      <c r="L669" s="16"/>
      <c r="M669" s="16"/>
      <c r="N669" s="19"/>
      <c r="O669" s="19"/>
      <c r="P669" s="19"/>
      <c r="Q669" s="19"/>
      <c r="R669" s="19"/>
      <c r="S669" s="19"/>
      <c r="T669" s="19"/>
      <c r="U669" s="19"/>
      <c r="V669" s="59"/>
      <c r="W669" s="20"/>
      <c r="X669" s="43"/>
    </row>
    <row r="670" spans="1:24" ht="15.75" hidden="1" customHeight="1" x14ac:dyDescent="0.25">
      <c r="A670" s="16"/>
      <c r="B670" s="16"/>
      <c r="C670" s="16"/>
      <c r="D670" s="40"/>
      <c r="E670" s="17"/>
      <c r="F670" s="21"/>
      <c r="G670" s="16"/>
      <c r="H670" s="16"/>
      <c r="I670" s="22"/>
      <c r="J670" s="22"/>
      <c r="K670" s="16"/>
      <c r="L670" s="16"/>
      <c r="M670" s="16"/>
      <c r="N670" s="19"/>
      <c r="O670" s="19"/>
      <c r="P670" s="19"/>
      <c r="Q670" s="19"/>
      <c r="R670" s="19"/>
      <c r="S670" s="19"/>
      <c r="T670" s="19"/>
      <c r="U670" s="19"/>
      <c r="V670" s="59"/>
      <c r="W670" s="20"/>
      <c r="X670" s="43"/>
    </row>
    <row r="671" spans="1:24" ht="15.75" hidden="1" customHeight="1" x14ac:dyDescent="0.25">
      <c r="A671" s="16"/>
      <c r="B671" s="16"/>
      <c r="C671" s="16"/>
      <c r="D671" s="40"/>
      <c r="E671" s="17"/>
      <c r="F671" s="21"/>
      <c r="G671" s="16"/>
      <c r="H671" s="16"/>
      <c r="I671" s="22"/>
      <c r="J671" s="22"/>
      <c r="K671" s="16"/>
      <c r="L671" s="16"/>
      <c r="M671" s="16"/>
      <c r="N671" s="19"/>
      <c r="O671" s="19"/>
      <c r="P671" s="19"/>
      <c r="Q671" s="19"/>
      <c r="R671" s="19"/>
      <c r="S671" s="19"/>
      <c r="T671" s="19"/>
      <c r="U671" s="19"/>
      <c r="V671" s="59"/>
      <c r="W671" s="20"/>
      <c r="X671" s="43"/>
    </row>
    <row r="672" spans="1:24" ht="15.75" hidden="1" customHeight="1" x14ac:dyDescent="0.25">
      <c r="A672" s="16"/>
      <c r="B672" s="16"/>
      <c r="C672" s="16"/>
      <c r="D672" s="40"/>
      <c r="E672" s="17"/>
      <c r="F672" s="21"/>
      <c r="G672" s="16"/>
      <c r="H672" s="16"/>
      <c r="I672" s="22"/>
      <c r="J672" s="22"/>
      <c r="K672" s="16"/>
      <c r="L672" s="16"/>
      <c r="M672" s="16"/>
      <c r="N672" s="19"/>
      <c r="O672" s="19"/>
      <c r="P672" s="19"/>
      <c r="Q672" s="19"/>
      <c r="R672" s="19"/>
      <c r="S672" s="19"/>
      <c r="T672" s="19"/>
      <c r="U672" s="19"/>
      <c r="V672" s="59"/>
      <c r="W672" s="20"/>
      <c r="X672" s="43"/>
    </row>
    <row r="673" spans="1:24" ht="15.75" hidden="1" customHeight="1" x14ac:dyDescent="0.25">
      <c r="A673" s="16"/>
      <c r="B673" s="16"/>
      <c r="C673" s="16"/>
      <c r="D673" s="40"/>
      <c r="E673" s="17"/>
      <c r="F673" s="21"/>
      <c r="G673" s="16"/>
      <c r="H673" s="16"/>
      <c r="I673" s="22"/>
      <c r="J673" s="22"/>
      <c r="K673" s="16"/>
      <c r="L673" s="16"/>
      <c r="M673" s="16"/>
      <c r="N673" s="19"/>
      <c r="O673" s="19"/>
      <c r="P673" s="19"/>
      <c r="Q673" s="19"/>
      <c r="R673" s="19"/>
      <c r="S673" s="19"/>
      <c r="T673" s="19"/>
      <c r="U673" s="19"/>
      <c r="V673" s="59"/>
      <c r="W673" s="20"/>
      <c r="X673" s="43"/>
    </row>
    <row r="674" spans="1:24" ht="15.75" hidden="1" customHeight="1" x14ac:dyDescent="0.25">
      <c r="A674" s="16"/>
      <c r="B674" s="16"/>
      <c r="C674" s="16"/>
      <c r="D674" s="40"/>
      <c r="E674" s="17"/>
      <c r="F674" s="21"/>
      <c r="G674" s="16"/>
      <c r="H674" s="16"/>
      <c r="I674" s="22"/>
      <c r="J674" s="22"/>
      <c r="K674" s="16"/>
      <c r="L674" s="16"/>
      <c r="M674" s="16"/>
      <c r="N674" s="19"/>
      <c r="O674" s="19"/>
      <c r="P674" s="19"/>
      <c r="Q674" s="19"/>
      <c r="R674" s="19"/>
      <c r="S674" s="19"/>
      <c r="T674" s="19"/>
      <c r="U674" s="19"/>
      <c r="V674" s="59"/>
      <c r="W674" s="20"/>
      <c r="X674" s="43"/>
    </row>
    <row r="675" spans="1:24" ht="15.75" hidden="1" customHeight="1" x14ac:dyDescent="0.25">
      <c r="A675" s="16"/>
      <c r="B675" s="16"/>
      <c r="C675" s="16"/>
      <c r="D675" s="40"/>
      <c r="E675" s="17"/>
      <c r="F675" s="21"/>
      <c r="G675" s="16"/>
      <c r="H675" s="16"/>
      <c r="I675" s="22"/>
      <c r="J675" s="22"/>
      <c r="K675" s="16"/>
      <c r="L675" s="16"/>
      <c r="M675" s="16"/>
      <c r="N675" s="19"/>
      <c r="O675" s="19"/>
      <c r="P675" s="19"/>
      <c r="Q675" s="19"/>
      <c r="R675" s="19"/>
      <c r="S675" s="19"/>
      <c r="T675" s="19"/>
      <c r="U675" s="19"/>
      <c r="V675" s="59"/>
      <c r="W675" s="20"/>
      <c r="X675" s="43"/>
    </row>
    <row r="676" spans="1:24" ht="15.75" hidden="1" customHeight="1" x14ac:dyDescent="0.25">
      <c r="A676" s="16"/>
      <c r="B676" s="16"/>
      <c r="C676" s="16"/>
      <c r="D676" s="40"/>
      <c r="E676" s="17"/>
      <c r="F676" s="21"/>
      <c r="G676" s="16"/>
      <c r="H676" s="16"/>
      <c r="I676" s="22"/>
      <c r="J676" s="22"/>
      <c r="K676" s="16"/>
      <c r="L676" s="16"/>
      <c r="M676" s="16"/>
      <c r="N676" s="19"/>
      <c r="O676" s="19"/>
      <c r="P676" s="19"/>
      <c r="Q676" s="19"/>
      <c r="R676" s="19"/>
      <c r="S676" s="19"/>
      <c r="T676" s="19"/>
      <c r="U676" s="19"/>
      <c r="V676" s="59"/>
      <c r="W676" s="20"/>
      <c r="X676" s="43"/>
    </row>
    <row r="677" spans="1:24" ht="15.75" hidden="1" customHeight="1" x14ac:dyDescent="0.25">
      <c r="A677" s="16"/>
      <c r="B677" s="16"/>
      <c r="C677" s="16"/>
      <c r="D677" s="40"/>
      <c r="E677" s="17"/>
      <c r="F677" s="21"/>
      <c r="G677" s="16"/>
      <c r="H677" s="16"/>
      <c r="I677" s="22"/>
      <c r="J677" s="22"/>
      <c r="K677" s="16"/>
      <c r="L677" s="16"/>
      <c r="M677" s="16"/>
      <c r="N677" s="19"/>
      <c r="O677" s="19"/>
      <c r="P677" s="19"/>
      <c r="Q677" s="19"/>
      <c r="R677" s="19"/>
      <c r="S677" s="19"/>
      <c r="T677" s="19"/>
      <c r="U677" s="19"/>
      <c r="V677" s="59"/>
      <c r="W677" s="20"/>
      <c r="X677" s="43"/>
    </row>
    <row r="678" spans="1:24" ht="15.75" hidden="1" customHeight="1" x14ac:dyDescent="0.25">
      <c r="A678" s="16"/>
      <c r="B678" s="16"/>
      <c r="C678" s="16"/>
      <c r="D678" s="40"/>
      <c r="E678" s="17"/>
      <c r="F678" s="21"/>
      <c r="G678" s="16"/>
      <c r="H678" s="16"/>
      <c r="I678" s="22"/>
      <c r="J678" s="22"/>
      <c r="K678" s="16"/>
      <c r="L678" s="16"/>
      <c r="M678" s="16"/>
      <c r="N678" s="19"/>
      <c r="O678" s="19"/>
      <c r="P678" s="19"/>
      <c r="Q678" s="19"/>
      <c r="R678" s="19"/>
      <c r="S678" s="19"/>
      <c r="T678" s="19"/>
      <c r="U678" s="19"/>
      <c r="V678" s="59"/>
      <c r="W678" s="20"/>
      <c r="X678" s="43"/>
    </row>
    <row r="679" spans="1:24" ht="15.75" hidden="1" customHeight="1" x14ac:dyDescent="0.25">
      <c r="A679" s="16"/>
      <c r="B679" s="16"/>
      <c r="C679" s="16"/>
      <c r="D679" s="40"/>
      <c r="E679" s="17"/>
      <c r="F679" s="21"/>
      <c r="G679" s="16"/>
      <c r="H679" s="16"/>
      <c r="I679" s="22"/>
      <c r="J679" s="22"/>
      <c r="K679" s="16"/>
      <c r="L679" s="16"/>
      <c r="M679" s="16"/>
      <c r="N679" s="19"/>
      <c r="O679" s="19"/>
      <c r="P679" s="19"/>
      <c r="Q679" s="19"/>
      <c r="R679" s="19"/>
      <c r="S679" s="19"/>
      <c r="T679" s="19"/>
      <c r="U679" s="19"/>
      <c r="V679" s="59"/>
      <c r="W679" s="20"/>
      <c r="X679" s="43"/>
    </row>
    <row r="680" spans="1:24" ht="15.75" hidden="1" customHeight="1" x14ac:dyDescent="0.25">
      <c r="A680" s="16"/>
      <c r="B680" s="16"/>
      <c r="C680" s="16"/>
      <c r="D680" s="40"/>
      <c r="E680" s="17"/>
      <c r="F680" s="21"/>
      <c r="G680" s="16"/>
      <c r="H680" s="16"/>
      <c r="I680" s="22"/>
      <c r="J680" s="22"/>
      <c r="K680" s="16"/>
      <c r="L680" s="16"/>
      <c r="M680" s="16"/>
      <c r="N680" s="19"/>
      <c r="O680" s="19"/>
      <c r="P680" s="19"/>
      <c r="Q680" s="19"/>
      <c r="R680" s="19"/>
      <c r="S680" s="19"/>
      <c r="T680" s="19"/>
      <c r="U680" s="19"/>
      <c r="V680" s="59"/>
      <c r="W680" s="20"/>
      <c r="X680" s="43"/>
    </row>
    <row r="681" spans="1:24" ht="15.75" hidden="1" customHeight="1" x14ac:dyDescent="0.25">
      <c r="A681" s="16"/>
      <c r="B681" s="16"/>
      <c r="C681" s="16"/>
      <c r="D681" s="40"/>
      <c r="E681" s="17"/>
      <c r="F681" s="21"/>
      <c r="G681" s="16"/>
      <c r="H681" s="16"/>
      <c r="I681" s="22"/>
      <c r="J681" s="22"/>
      <c r="K681" s="16"/>
      <c r="L681" s="16"/>
      <c r="M681" s="16"/>
      <c r="N681" s="19"/>
      <c r="O681" s="19"/>
      <c r="P681" s="19"/>
      <c r="Q681" s="19"/>
      <c r="R681" s="19"/>
      <c r="S681" s="19"/>
      <c r="T681" s="19"/>
      <c r="U681" s="19"/>
      <c r="V681" s="59"/>
      <c r="W681" s="20"/>
      <c r="X681" s="43"/>
    </row>
    <row r="682" spans="1:24" ht="15.75" hidden="1" customHeight="1" x14ac:dyDescent="0.25">
      <c r="A682" s="16"/>
      <c r="B682" s="16"/>
      <c r="C682" s="16"/>
      <c r="D682" s="40"/>
      <c r="E682" s="17"/>
      <c r="F682" s="21"/>
      <c r="G682" s="16"/>
      <c r="H682" s="16"/>
      <c r="I682" s="22"/>
      <c r="J682" s="22"/>
      <c r="K682" s="16"/>
      <c r="L682" s="16"/>
      <c r="M682" s="16"/>
      <c r="N682" s="19"/>
      <c r="O682" s="19"/>
      <c r="P682" s="19"/>
      <c r="Q682" s="19"/>
      <c r="R682" s="19"/>
      <c r="S682" s="19"/>
      <c r="T682" s="19"/>
      <c r="U682" s="19"/>
      <c r="V682" s="59"/>
      <c r="W682" s="20"/>
      <c r="X682" s="43"/>
    </row>
    <row r="683" spans="1:24" ht="15.75" hidden="1" customHeight="1" x14ac:dyDescent="0.25">
      <c r="A683" s="16"/>
      <c r="B683" s="16"/>
      <c r="C683" s="16"/>
      <c r="D683" s="40"/>
      <c r="E683" s="17"/>
      <c r="F683" s="21"/>
      <c r="G683" s="16"/>
      <c r="H683" s="16"/>
      <c r="I683" s="22"/>
      <c r="J683" s="22"/>
      <c r="K683" s="16"/>
      <c r="L683" s="16"/>
      <c r="M683" s="16"/>
      <c r="N683" s="19"/>
      <c r="O683" s="19"/>
      <c r="P683" s="19"/>
      <c r="Q683" s="19"/>
      <c r="R683" s="19"/>
      <c r="S683" s="19"/>
      <c r="T683" s="19"/>
      <c r="U683" s="19"/>
      <c r="V683" s="59"/>
      <c r="W683" s="20"/>
      <c r="X683" s="43"/>
    </row>
    <row r="684" spans="1:24" ht="15.75" hidden="1" customHeight="1" x14ac:dyDescent="0.25">
      <c r="A684" s="16"/>
      <c r="B684" s="16"/>
      <c r="C684" s="16"/>
      <c r="D684" s="40"/>
      <c r="E684" s="17"/>
      <c r="F684" s="21"/>
      <c r="G684" s="16"/>
      <c r="H684" s="16"/>
      <c r="I684" s="22"/>
      <c r="J684" s="22"/>
      <c r="K684" s="16"/>
      <c r="L684" s="16"/>
      <c r="M684" s="16"/>
      <c r="N684" s="19"/>
      <c r="O684" s="19"/>
      <c r="P684" s="19"/>
      <c r="Q684" s="19"/>
      <c r="R684" s="19"/>
      <c r="S684" s="19"/>
      <c r="T684" s="19"/>
      <c r="U684" s="19"/>
      <c r="V684" s="59"/>
      <c r="W684" s="20"/>
      <c r="X684" s="43"/>
    </row>
    <row r="685" spans="1:24" ht="15.75" hidden="1" customHeight="1" x14ac:dyDescent="0.25">
      <c r="A685" s="16"/>
      <c r="B685" s="16"/>
      <c r="C685" s="16"/>
      <c r="D685" s="40"/>
      <c r="E685" s="17"/>
      <c r="F685" s="21"/>
      <c r="G685" s="16"/>
      <c r="H685" s="16"/>
      <c r="I685" s="22"/>
      <c r="J685" s="22"/>
      <c r="K685" s="16"/>
      <c r="L685" s="16"/>
      <c r="M685" s="16"/>
      <c r="N685" s="19"/>
      <c r="O685" s="19"/>
      <c r="P685" s="19"/>
      <c r="Q685" s="19"/>
      <c r="R685" s="19"/>
      <c r="S685" s="19"/>
      <c r="T685" s="19"/>
      <c r="U685" s="19"/>
      <c r="V685" s="59"/>
      <c r="W685" s="20"/>
      <c r="X685" s="43"/>
    </row>
    <row r="686" spans="1:24" ht="15.75" hidden="1" customHeight="1" x14ac:dyDescent="0.25">
      <c r="A686" s="16"/>
      <c r="B686" s="16"/>
      <c r="C686" s="16"/>
      <c r="D686" s="40"/>
      <c r="E686" s="17"/>
      <c r="F686" s="21"/>
      <c r="G686" s="16"/>
      <c r="H686" s="16"/>
      <c r="I686" s="22"/>
      <c r="J686" s="22"/>
      <c r="K686" s="16"/>
      <c r="L686" s="16"/>
      <c r="M686" s="16"/>
      <c r="N686" s="19"/>
      <c r="O686" s="19"/>
      <c r="P686" s="19"/>
      <c r="Q686" s="19"/>
      <c r="R686" s="19"/>
      <c r="S686" s="19"/>
      <c r="T686" s="19"/>
      <c r="U686" s="19"/>
      <c r="V686" s="59"/>
      <c r="W686" s="20"/>
      <c r="X686" s="43"/>
    </row>
    <row r="687" spans="1:24" ht="15.75" hidden="1" customHeight="1" x14ac:dyDescent="0.25">
      <c r="A687" s="16"/>
      <c r="B687" s="16"/>
      <c r="C687" s="16"/>
      <c r="D687" s="40"/>
      <c r="E687" s="17"/>
      <c r="F687" s="21"/>
      <c r="G687" s="16"/>
      <c r="H687" s="16"/>
      <c r="I687" s="22"/>
      <c r="J687" s="22"/>
      <c r="K687" s="16"/>
      <c r="L687" s="16"/>
      <c r="M687" s="16"/>
      <c r="N687" s="19"/>
      <c r="O687" s="19"/>
      <c r="P687" s="19"/>
      <c r="Q687" s="19"/>
      <c r="R687" s="19"/>
      <c r="S687" s="19"/>
      <c r="T687" s="19"/>
      <c r="U687" s="19"/>
      <c r="V687" s="59"/>
      <c r="W687" s="20"/>
      <c r="X687" s="43"/>
    </row>
    <row r="688" spans="1:24" ht="15.75" hidden="1" customHeight="1" x14ac:dyDescent="0.25">
      <c r="A688" s="16"/>
      <c r="B688" s="16"/>
      <c r="C688" s="16"/>
      <c r="D688" s="40"/>
      <c r="E688" s="17"/>
      <c r="F688" s="21"/>
      <c r="G688" s="16"/>
      <c r="H688" s="16"/>
      <c r="I688" s="22"/>
      <c r="J688" s="22"/>
      <c r="K688" s="16"/>
      <c r="L688" s="16"/>
      <c r="M688" s="16"/>
      <c r="N688" s="19"/>
      <c r="O688" s="19"/>
      <c r="P688" s="19"/>
      <c r="Q688" s="19"/>
      <c r="R688" s="19"/>
      <c r="S688" s="19"/>
      <c r="T688" s="19"/>
      <c r="U688" s="19"/>
      <c r="V688" s="59"/>
      <c r="W688" s="20"/>
      <c r="X688" s="43"/>
    </row>
    <row r="689" spans="1:24" ht="15.75" hidden="1" customHeight="1" x14ac:dyDescent="0.25">
      <c r="A689" s="16"/>
      <c r="B689" s="16"/>
      <c r="C689" s="16"/>
      <c r="D689" s="40"/>
      <c r="E689" s="17"/>
      <c r="F689" s="21"/>
      <c r="G689" s="16"/>
      <c r="H689" s="16"/>
      <c r="I689" s="22"/>
      <c r="J689" s="22"/>
      <c r="K689" s="16"/>
      <c r="L689" s="16"/>
      <c r="M689" s="16"/>
      <c r="N689" s="19"/>
      <c r="O689" s="19"/>
      <c r="P689" s="19"/>
      <c r="Q689" s="19"/>
      <c r="R689" s="19"/>
      <c r="S689" s="19"/>
      <c r="T689" s="19"/>
      <c r="U689" s="19"/>
      <c r="V689" s="59"/>
      <c r="W689" s="20"/>
      <c r="X689" s="43"/>
    </row>
    <row r="690" spans="1:24" ht="15.75" hidden="1" customHeight="1" x14ac:dyDescent="0.25">
      <c r="A690" s="16"/>
      <c r="B690" s="16"/>
      <c r="C690" s="16"/>
      <c r="D690" s="40"/>
      <c r="E690" s="17"/>
      <c r="F690" s="21"/>
      <c r="G690" s="16"/>
      <c r="H690" s="16"/>
      <c r="I690" s="22"/>
      <c r="J690" s="22"/>
      <c r="K690" s="16"/>
      <c r="L690" s="16"/>
      <c r="M690" s="16"/>
      <c r="N690" s="19"/>
      <c r="O690" s="19"/>
      <c r="P690" s="19"/>
      <c r="Q690" s="19"/>
      <c r="R690" s="19"/>
      <c r="S690" s="19"/>
      <c r="T690" s="19"/>
      <c r="U690" s="19"/>
      <c r="V690" s="59"/>
      <c r="W690" s="20"/>
      <c r="X690" s="43"/>
    </row>
    <row r="691" spans="1:24" ht="15.75" hidden="1" customHeight="1" x14ac:dyDescent="0.25">
      <c r="A691" s="16"/>
      <c r="B691" s="16"/>
      <c r="C691" s="16"/>
      <c r="D691" s="40"/>
      <c r="E691" s="17"/>
      <c r="F691" s="21"/>
      <c r="G691" s="16"/>
      <c r="H691" s="16"/>
      <c r="I691" s="22"/>
      <c r="J691" s="22"/>
      <c r="K691" s="16"/>
      <c r="L691" s="16"/>
      <c r="M691" s="16"/>
      <c r="N691" s="19"/>
      <c r="O691" s="19"/>
      <c r="P691" s="19"/>
      <c r="Q691" s="19"/>
      <c r="R691" s="19"/>
      <c r="S691" s="19"/>
      <c r="T691" s="19"/>
      <c r="U691" s="19"/>
      <c r="V691" s="59"/>
      <c r="W691" s="20"/>
      <c r="X691" s="43"/>
    </row>
    <row r="692" spans="1:24" ht="15.75" hidden="1" customHeight="1" x14ac:dyDescent="0.25">
      <c r="A692" s="16"/>
      <c r="B692" s="16"/>
      <c r="C692" s="16"/>
      <c r="D692" s="40"/>
      <c r="E692" s="17"/>
      <c r="F692" s="21"/>
      <c r="G692" s="16"/>
      <c r="H692" s="16"/>
      <c r="I692" s="22"/>
      <c r="J692" s="22"/>
      <c r="K692" s="16"/>
      <c r="L692" s="16"/>
      <c r="M692" s="16"/>
      <c r="N692" s="19"/>
      <c r="O692" s="19"/>
      <c r="P692" s="19"/>
      <c r="Q692" s="19"/>
      <c r="R692" s="19"/>
      <c r="S692" s="19"/>
      <c r="T692" s="19"/>
      <c r="U692" s="19"/>
      <c r="V692" s="59"/>
      <c r="W692" s="20"/>
      <c r="X692" s="43"/>
    </row>
    <row r="693" spans="1:24" ht="15.75" hidden="1" customHeight="1" x14ac:dyDescent="0.25">
      <c r="A693" s="16"/>
      <c r="B693" s="16"/>
      <c r="C693" s="16"/>
      <c r="D693" s="40"/>
      <c r="E693" s="17"/>
      <c r="F693" s="21"/>
      <c r="G693" s="16"/>
      <c r="H693" s="16"/>
      <c r="I693" s="22"/>
      <c r="J693" s="22"/>
      <c r="K693" s="16"/>
      <c r="L693" s="16"/>
      <c r="M693" s="16"/>
      <c r="N693" s="19"/>
      <c r="O693" s="19"/>
      <c r="P693" s="19"/>
      <c r="Q693" s="19"/>
      <c r="R693" s="19"/>
      <c r="S693" s="19"/>
      <c r="T693" s="19"/>
      <c r="U693" s="19"/>
      <c r="V693" s="59"/>
      <c r="W693" s="20"/>
      <c r="X693" s="43"/>
    </row>
    <row r="694" spans="1:24" ht="15.75" hidden="1" customHeight="1" x14ac:dyDescent="0.25">
      <c r="A694" s="16"/>
      <c r="B694" s="16"/>
      <c r="C694" s="16"/>
      <c r="D694" s="40"/>
      <c r="E694" s="17"/>
      <c r="F694" s="21"/>
      <c r="G694" s="16"/>
      <c r="H694" s="16"/>
      <c r="I694" s="22"/>
      <c r="J694" s="22"/>
      <c r="K694" s="16"/>
      <c r="L694" s="16"/>
      <c r="M694" s="16"/>
      <c r="N694" s="19"/>
      <c r="O694" s="19"/>
      <c r="P694" s="19"/>
      <c r="Q694" s="19"/>
      <c r="R694" s="19"/>
      <c r="S694" s="19"/>
      <c r="T694" s="19"/>
      <c r="U694" s="19"/>
      <c r="V694" s="59"/>
      <c r="W694" s="20"/>
      <c r="X694" s="43"/>
    </row>
    <row r="695" spans="1:24" ht="15.75" hidden="1" customHeight="1" x14ac:dyDescent="0.25">
      <c r="A695" s="16"/>
      <c r="B695" s="16"/>
      <c r="C695" s="16"/>
      <c r="D695" s="40"/>
      <c r="E695" s="17"/>
      <c r="F695" s="21"/>
      <c r="G695" s="16"/>
      <c r="H695" s="16"/>
      <c r="I695" s="22"/>
      <c r="J695" s="22"/>
      <c r="K695" s="16"/>
      <c r="L695" s="16"/>
      <c r="M695" s="16"/>
      <c r="N695" s="19"/>
      <c r="O695" s="19"/>
      <c r="P695" s="19"/>
      <c r="Q695" s="19"/>
      <c r="R695" s="19"/>
      <c r="S695" s="19"/>
      <c r="T695" s="19"/>
      <c r="U695" s="19"/>
      <c r="V695" s="59"/>
      <c r="W695" s="20"/>
      <c r="X695" s="43"/>
    </row>
    <row r="696" spans="1:24" ht="15.75" hidden="1" customHeight="1" x14ac:dyDescent="0.25">
      <c r="A696" s="16"/>
      <c r="B696" s="16"/>
      <c r="C696" s="16"/>
      <c r="D696" s="40"/>
      <c r="E696" s="17"/>
      <c r="F696" s="21"/>
      <c r="G696" s="16"/>
      <c r="H696" s="16"/>
      <c r="I696" s="22"/>
      <c r="J696" s="22"/>
      <c r="K696" s="16"/>
      <c r="L696" s="16"/>
      <c r="M696" s="16"/>
      <c r="N696" s="19"/>
      <c r="O696" s="19"/>
      <c r="P696" s="19"/>
      <c r="Q696" s="19"/>
      <c r="R696" s="19"/>
      <c r="S696" s="19"/>
      <c r="T696" s="19"/>
      <c r="U696" s="19"/>
      <c r="V696" s="59"/>
      <c r="W696" s="20"/>
      <c r="X696" s="43"/>
    </row>
    <row r="697" spans="1:24" ht="15.75" hidden="1" customHeight="1" x14ac:dyDescent="0.25">
      <c r="A697" s="16"/>
      <c r="B697" s="16"/>
      <c r="C697" s="16"/>
      <c r="D697" s="40"/>
      <c r="E697" s="17"/>
      <c r="F697" s="21"/>
      <c r="G697" s="16"/>
      <c r="H697" s="16"/>
      <c r="I697" s="22"/>
      <c r="J697" s="22"/>
      <c r="K697" s="16"/>
      <c r="L697" s="16"/>
      <c r="M697" s="16"/>
      <c r="N697" s="19"/>
      <c r="O697" s="19"/>
      <c r="P697" s="19"/>
      <c r="Q697" s="19"/>
      <c r="R697" s="19"/>
      <c r="S697" s="19"/>
      <c r="T697" s="19"/>
      <c r="U697" s="19"/>
      <c r="V697" s="59"/>
      <c r="W697" s="20"/>
      <c r="X697" s="43"/>
    </row>
    <row r="698" spans="1:24" ht="15.75" hidden="1" customHeight="1" x14ac:dyDescent="0.25">
      <c r="A698" s="16"/>
      <c r="B698" s="16"/>
      <c r="C698" s="16"/>
      <c r="D698" s="40"/>
      <c r="E698" s="17"/>
      <c r="F698" s="21"/>
      <c r="G698" s="16"/>
      <c r="H698" s="16"/>
      <c r="I698" s="22"/>
      <c r="J698" s="22"/>
      <c r="K698" s="16"/>
      <c r="L698" s="16"/>
      <c r="M698" s="16"/>
      <c r="N698" s="19"/>
      <c r="O698" s="19"/>
      <c r="P698" s="19"/>
      <c r="Q698" s="19"/>
      <c r="R698" s="19"/>
      <c r="S698" s="19"/>
      <c r="T698" s="19"/>
      <c r="U698" s="19"/>
      <c r="V698" s="59"/>
      <c r="W698" s="20"/>
      <c r="X698" s="43"/>
    </row>
    <row r="699" spans="1:24" ht="15.75" hidden="1" customHeight="1" x14ac:dyDescent="0.25">
      <c r="A699" s="16"/>
      <c r="B699" s="16"/>
      <c r="C699" s="16"/>
      <c r="D699" s="40"/>
      <c r="E699" s="17"/>
      <c r="F699" s="21"/>
      <c r="G699" s="16"/>
      <c r="H699" s="16"/>
      <c r="I699" s="22"/>
      <c r="J699" s="22"/>
      <c r="K699" s="16"/>
      <c r="L699" s="16"/>
      <c r="M699" s="16"/>
      <c r="N699" s="19"/>
      <c r="O699" s="19"/>
      <c r="P699" s="19"/>
      <c r="Q699" s="19"/>
      <c r="R699" s="19"/>
      <c r="S699" s="19"/>
      <c r="T699" s="19"/>
      <c r="U699" s="19"/>
      <c r="V699" s="59"/>
      <c r="W699" s="20"/>
      <c r="X699" s="43"/>
    </row>
    <row r="700" spans="1:24" ht="15.75" hidden="1" customHeight="1" x14ac:dyDescent="0.25">
      <c r="A700" s="16"/>
      <c r="B700" s="16"/>
      <c r="C700" s="16"/>
      <c r="D700" s="40"/>
      <c r="E700" s="17"/>
      <c r="F700" s="21"/>
      <c r="G700" s="16"/>
      <c r="H700" s="16"/>
      <c r="I700" s="22"/>
      <c r="J700" s="22"/>
      <c r="K700" s="16"/>
      <c r="L700" s="16"/>
      <c r="M700" s="16"/>
      <c r="N700" s="19"/>
      <c r="O700" s="19"/>
      <c r="P700" s="19"/>
      <c r="Q700" s="19"/>
      <c r="R700" s="19"/>
      <c r="S700" s="19"/>
      <c r="T700" s="19"/>
      <c r="U700" s="19"/>
      <c r="V700" s="59"/>
      <c r="W700" s="20"/>
      <c r="X700" s="43"/>
    </row>
    <row r="701" spans="1:24" ht="15.75" hidden="1" customHeight="1" x14ac:dyDescent="0.25">
      <c r="A701" s="16"/>
      <c r="B701" s="16"/>
      <c r="C701" s="16"/>
      <c r="D701" s="40"/>
      <c r="E701" s="17"/>
      <c r="F701" s="21"/>
      <c r="G701" s="16"/>
      <c r="H701" s="16"/>
      <c r="I701" s="22"/>
      <c r="J701" s="22"/>
      <c r="K701" s="16"/>
      <c r="L701" s="16"/>
      <c r="M701" s="16"/>
      <c r="N701" s="19"/>
      <c r="O701" s="19"/>
      <c r="P701" s="19"/>
      <c r="Q701" s="19"/>
      <c r="R701" s="19"/>
      <c r="S701" s="19"/>
      <c r="T701" s="19"/>
      <c r="U701" s="19"/>
      <c r="V701" s="59"/>
      <c r="W701" s="20"/>
      <c r="X701" s="43"/>
    </row>
    <row r="702" spans="1:24" ht="15.75" hidden="1" customHeight="1" x14ac:dyDescent="0.25">
      <c r="A702" s="16"/>
      <c r="B702" s="16"/>
      <c r="C702" s="16"/>
      <c r="D702" s="40"/>
      <c r="E702" s="17"/>
      <c r="F702" s="21"/>
      <c r="G702" s="16"/>
      <c r="H702" s="16"/>
      <c r="I702" s="22"/>
      <c r="J702" s="22"/>
      <c r="K702" s="16"/>
      <c r="L702" s="16"/>
      <c r="M702" s="16"/>
      <c r="N702" s="19"/>
      <c r="O702" s="19"/>
      <c r="P702" s="19"/>
      <c r="Q702" s="19"/>
      <c r="R702" s="19"/>
      <c r="S702" s="19"/>
      <c r="T702" s="19"/>
      <c r="U702" s="19"/>
      <c r="V702" s="59"/>
      <c r="W702" s="20"/>
      <c r="X702" s="43"/>
    </row>
    <row r="703" spans="1:24" ht="15.75" hidden="1" customHeight="1" x14ac:dyDescent="0.25">
      <c r="A703" s="16"/>
      <c r="B703" s="16"/>
      <c r="C703" s="16"/>
      <c r="D703" s="40"/>
      <c r="E703" s="17"/>
      <c r="F703" s="21"/>
      <c r="G703" s="16"/>
      <c r="H703" s="16"/>
      <c r="I703" s="22"/>
      <c r="J703" s="22"/>
      <c r="K703" s="16"/>
      <c r="L703" s="16"/>
      <c r="M703" s="16"/>
      <c r="N703" s="19"/>
      <c r="O703" s="19"/>
      <c r="P703" s="19"/>
      <c r="Q703" s="19"/>
      <c r="R703" s="19"/>
      <c r="S703" s="19"/>
      <c r="T703" s="19"/>
      <c r="U703" s="19"/>
      <c r="V703" s="59"/>
      <c r="W703" s="20"/>
      <c r="X703" s="43"/>
    </row>
    <row r="704" spans="1:24" ht="15.75" hidden="1" customHeight="1" x14ac:dyDescent="0.25">
      <c r="A704" s="16"/>
      <c r="B704" s="16"/>
      <c r="C704" s="16"/>
      <c r="D704" s="40"/>
      <c r="E704" s="17"/>
      <c r="F704" s="21"/>
      <c r="G704" s="16"/>
      <c r="H704" s="16"/>
      <c r="I704" s="22"/>
      <c r="J704" s="22"/>
      <c r="K704" s="16"/>
      <c r="L704" s="16"/>
      <c r="M704" s="16"/>
      <c r="N704" s="19"/>
      <c r="O704" s="19"/>
      <c r="P704" s="19"/>
      <c r="Q704" s="19"/>
      <c r="R704" s="19"/>
      <c r="S704" s="19"/>
      <c r="T704" s="19"/>
      <c r="U704" s="19"/>
      <c r="V704" s="59"/>
      <c r="W704" s="20"/>
      <c r="X704" s="43"/>
    </row>
    <row r="705" spans="1:24" ht="15.75" hidden="1" customHeight="1" x14ac:dyDescent="0.25">
      <c r="A705" s="16"/>
      <c r="B705" s="16"/>
      <c r="C705" s="16"/>
      <c r="D705" s="40"/>
      <c r="E705" s="17"/>
      <c r="F705" s="21"/>
      <c r="G705" s="16"/>
      <c r="H705" s="16"/>
      <c r="I705" s="22"/>
      <c r="J705" s="22"/>
      <c r="K705" s="16"/>
      <c r="L705" s="16"/>
      <c r="M705" s="16"/>
      <c r="N705" s="19"/>
      <c r="O705" s="19"/>
      <c r="P705" s="19"/>
      <c r="Q705" s="19"/>
      <c r="R705" s="19"/>
      <c r="S705" s="19"/>
      <c r="T705" s="19"/>
      <c r="U705" s="19"/>
      <c r="V705" s="59"/>
      <c r="W705" s="20"/>
      <c r="X705" s="43"/>
    </row>
    <row r="706" spans="1:24" ht="15.75" hidden="1" customHeight="1" x14ac:dyDescent="0.25">
      <c r="A706" s="16"/>
      <c r="B706" s="16"/>
      <c r="C706" s="16"/>
      <c r="D706" s="40"/>
      <c r="E706" s="17"/>
      <c r="F706" s="21"/>
      <c r="G706" s="16"/>
      <c r="H706" s="16"/>
      <c r="I706" s="22"/>
      <c r="J706" s="22"/>
      <c r="K706" s="16"/>
      <c r="L706" s="16"/>
      <c r="M706" s="16"/>
      <c r="N706" s="19"/>
      <c r="O706" s="19"/>
      <c r="P706" s="19"/>
      <c r="Q706" s="19"/>
      <c r="R706" s="19"/>
      <c r="S706" s="19"/>
      <c r="T706" s="19"/>
      <c r="U706" s="19"/>
      <c r="V706" s="59"/>
      <c r="W706" s="20"/>
      <c r="X706" s="43"/>
    </row>
    <row r="707" spans="1:24" ht="15.75" hidden="1" customHeight="1" x14ac:dyDescent="0.25">
      <c r="A707" s="16"/>
      <c r="B707" s="16"/>
      <c r="C707" s="16"/>
      <c r="D707" s="40"/>
      <c r="E707" s="17"/>
      <c r="F707" s="21"/>
      <c r="G707" s="16"/>
      <c r="H707" s="16"/>
      <c r="I707" s="22"/>
      <c r="J707" s="22"/>
      <c r="K707" s="16"/>
      <c r="L707" s="16"/>
      <c r="M707" s="16"/>
      <c r="N707" s="19"/>
      <c r="O707" s="19"/>
      <c r="P707" s="19"/>
      <c r="Q707" s="19"/>
      <c r="R707" s="19"/>
      <c r="S707" s="19"/>
      <c r="T707" s="19"/>
      <c r="U707" s="19"/>
      <c r="V707" s="59"/>
      <c r="W707" s="20"/>
      <c r="X707" s="43"/>
    </row>
    <row r="708" spans="1:24" ht="15.75" hidden="1" customHeight="1" x14ac:dyDescent="0.25">
      <c r="A708" s="16"/>
      <c r="B708" s="16"/>
      <c r="C708" s="16"/>
      <c r="D708" s="40"/>
      <c r="E708" s="17"/>
      <c r="F708" s="21"/>
      <c r="G708" s="16"/>
      <c r="H708" s="16"/>
      <c r="I708" s="22"/>
      <c r="J708" s="22"/>
      <c r="K708" s="16"/>
      <c r="L708" s="16"/>
      <c r="M708" s="16"/>
      <c r="N708" s="19"/>
      <c r="O708" s="19"/>
      <c r="P708" s="19"/>
      <c r="Q708" s="19"/>
      <c r="R708" s="19"/>
      <c r="S708" s="19"/>
      <c r="T708" s="19"/>
      <c r="U708" s="19"/>
      <c r="V708" s="59"/>
      <c r="W708" s="20"/>
      <c r="X708" s="43"/>
    </row>
    <row r="709" spans="1:24" ht="15.75" hidden="1" customHeight="1" x14ac:dyDescent="0.25">
      <c r="A709" s="16"/>
      <c r="B709" s="16"/>
      <c r="C709" s="16"/>
      <c r="D709" s="40"/>
      <c r="E709" s="17"/>
      <c r="F709" s="21"/>
      <c r="G709" s="16"/>
      <c r="H709" s="16"/>
      <c r="I709" s="22"/>
      <c r="J709" s="22"/>
      <c r="K709" s="16"/>
      <c r="L709" s="16"/>
      <c r="M709" s="16"/>
      <c r="N709" s="19"/>
      <c r="O709" s="19"/>
      <c r="P709" s="19"/>
      <c r="Q709" s="19"/>
      <c r="R709" s="19"/>
      <c r="S709" s="19"/>
      <c r="T709" s="19"/>
      <c r="U709" s="19"/>
      <c r="V709" s="59"/>
      <c r="W709" s="20"/>
      <c r="X709" s="43"/>
    </row>
    <row r="710" spans="1:24" ht="15.75" hidden="1" customHeight="1" x14ac:dyDescent="0.25">
      <c r="A710" s="16"/>
      <c r="B710" s="16"/>
      <c r="C710" s="16"/>
      <c r="D710" s="40"/>
      <c r="E710" s="17"/>
      <c r="F710" s="21"/>
      <c r="G710" s="16"/>
      <c r="H710" s="16"/>
      <c r="I710" s="22"/>
      <c r="J710" s="22"/>
      <c r="K710" s="16"/>
      <c r="L710" s="16"/>
      <c r="M710" s="16"/>
      <c r="N710" s="19"/>
      <c r="O710" s="19"/>
      <c r="P710" s="19"/>
      <c r="Q710" s="19"/>
      <c r="R710" s="19"/>
      <c r="S710" s="19"/>
      <c r="T710" s="19"/>
      <c r="U710" s="19"/>
      <c r="V710" s="59"/>
      <c r="W710" s="20"/>
      <c r="X710" s="43"/>
    </row>
    <row r="711" spans="1:24" ht="15.75" hidden="1" customHeight="1" x14ac:dyDescent="0.25">
      <c r="A711" s="16"/>
      <c r="B711" s="16"/>
      <c r="C711" s="16"/>
      <c r="D711" s="40"/>
      <c r="E711" s="17"/>
      <c r="F711" s="21"/>
      <c r="G711" s="16"/>
      <c r="H711" s="16"/>
      <c r="I711" s="22"/>
      <c r="J711" s="22"/>
      <c r="K711" s="16"/>
      <c r="L711" s="16"/>
      <c r="M711" s="16"/>
      <c r="N711" s="19"/>
      <c r="O711" s="19"/>
      <c r="P711" s="19"/>
      <c r="Q711" s="19"/>
      <c r="R711" s="19"/>
      <c r="S711" s="19"/>
      <c r="T711" s="19"/>
      <c r="U711" s="19"/>
      <c r="V711" s="59"/>
      <c r="W711" s="20"/>
      <c r="X711" s="43"/>
    </row>
    <row r="712" spans="1:24" ht="15.75" hidden="1" customHeight="1" x14ac:dyDescent="0.25">
      <c r="A712" s="16"/>
      <c r="B712" s="16"/>
      <c r="C712" s="16"/>
      <c r="D712" s="40"/>
      <c r="E712" s="17"/>
      <c r="F712" s="21"/>
      <c r="G712" s="16"/>
      <c r="H712" s="16"/>
      <c r="I712" s="22"/>
      <c r="J712" s="22"/>
      <c r="K712" s="16"/>
      <c r="L712" s="16"/>
      <c r="M712" s="16"/>
      <c r="N712" s="19"/>
      <c r="O712" s="19"/>
      <c r="P712" s="19"/>
      <c r="Q712" s="19"/>
      <c r="R712" s="19"/>
      <c r="S712" s="19"/>
      <c r="T712" s="19"/>
      <c r="U712" s="19"/>
      <c r="V712" s="59"/>
      <c r="W712" s="20"/>
      <c r="X712" s="43"/>
    </row>
    <row r="713" spans="1:24" ht="15.75" hidden="1" customHeight="1" x14ac:dyDescent="0.25">
      <c r="A713" s="16"/>
      <c r="B713" s="16"/>
      <c r="C713" s="16"/>
      <c r="D713" s="40"/>
      <c r="E713" s="17"/>
      <c r="F713" s="21"/>
      <c r="G713" s="16"/>
      <c r="H713" s="16"/>
      <c r="I713" s="22"/>
      <c r="J713" s="22"/>
      <c r="K713" s="16"/>
      <c r="L713" s="16"/>
      <c r="M713" s="16"/>
      <c r="N713" s="19"/>
      <c r="O713" s="19"/>
      <c r="P713" s="19"/>
      <c r="Q713" s="19"/>
      <c r="R713" s="19"/>
      <c r="S713" s="19"/>
      <c r="T713" s="19"/>
      <c r="U713" s="19"/>
      <c r="V713" s="59"/>
      <c r="W713" s="20"/>
      <c r="X713" s="43"/>
    </row>
    <row r="714" spans="1:24" ht="15.75" hidden="1" customHeight="1" x14ac:dyDescent="0.25">
      <c r="A714" s="16"/>
      <c r="B714" s="16"/>
      <c r="C714" s="16"/>
      <c r="D714" s="40"/>
      <c r="E714" s="17"/>
      <c r="F714" s="21"/>
      <c r="G714" s="16"/>
      <c r="H714" s="16"/>
      <c r="I714" s="22"/>
      <c r="J714" s="22"/>
      <c r="K714" s="16"/>
      <c r="L714" s="16"/>
      <c r="M714" s="16"/>
      <c r="N714" s="19"/>
      <c r="O714" s="19"/>
      <c r="P714" s="19"/>
      <c r="Q714" s="19"/>
      <c r="R714" s="19"/>
      <c r="S714" s="19"/>
      <c r="T714" s="19"/>
      <c r="U714" s="19"/>
      <c r="V714" s="59"/>
      <c r="W714" s="20"/>
      <c r="X714" s="43"/>
    </row>
    <row r="715" spans="1:24" ht="15.75" hidden="1" customHeight="1" x14ac:dyDescent="0.25">
      <c r="A715" s="16"/>
      <c r="B715" s="16"/>
      <c r="C715" s="16"/>
      <c r="D715" s="40"/>
      <c r="E715" s="17"/>
      <c r="F715" s="21"/>
      <c r="G715" s="16"/>
      <c r="H715" s="16"/>
      <c r="I715" s="22"/>
      <c r="J715" s="22"/>
      <c r="K715" s="16"/>
      <c r="L715" s="16"/>
      <c r="M715" s="16"/>
      <c r="N715" s="19"/>
      <c r="O715" s="19"/>
      <c r="P715" s="19"/>
      <c r="Q715" s="19"/>
      <c r="R715" s="19"/>
      <c r="S715" s="19"/>
      <c r="T715" s="19"/>
      <c r="U715" s="19"/>
      <c r="V715" s="59"/>
      <c r="W715" s="20"/>
      <c r="X715" s="43"/>
    </row>
    <row r="716" spans="1:24" ht="15.75" hidden="1" customHeight="1" x14ac:dyDescent="0.25">
      <c r="A716" s="16"/>
      <c r="B716" s="16"/>
      <c r="C716" s="16"/>
      <c r="D716" s="40"/>
      <c r="E716" s="17"/>
      <c r="F716" s="21"/>
      <c r="G716" s="16"/>
      <c r="H716" s="16"/>
      <c r="I716" s="22"/>
      <c r="J716" s="22"/>
      <c r="K716" s="16"/>
      <c r="L716" s="16"/>
      <c r="M716" s="16"/>
      <c r="N716" s="19"/>
      <c r="O716" s="19"/>
      <c r="P716" s="19"/>
      <c r="Q716" s="19"/>
      <c r="R716" s="19"/>
      <c r="S716" s="19"/>
      <c r="T716" s="19"/>
      <c r="U716" s="19"/>
      <c r="V716" s="59"/>
      <c r="W716" s="20"/>
      <c r="X716" s="43"/>
    </row>
    <row r="717" spans="1:24" ht="15.75" hidden="1" customHeight="1" x14ac:dyDescent="0.25">
      <c r="A717" s="16"/>
      <c r="B717" s="16"/>
      <c r="C717" s="16"/>
      <c r="D717" s="40"/>
      <c r="E717" s="17"/>
      <c r="F717" s="21"/>
      <c r="G717" s="16"/>
      <c r="H717" s="16"/>
      <c r="I717" s="22"/>
      <c r="J717" s="22"/>
      <c r="K717" s="16"/>
      <c r="L717" s="16"/>
      <c r="M717" s="16"/>
      <c r="N717" s="19"/>
      <c r="O717" s="19"/>
      <c r="P717" s="19"/>
      <c r="Q717" s="19"/>
      <c r="R717" s="19"/>
      <c r="S717" s="19"/>
      <c r="T717" s="19"/>
      <c r="U717" s="19"/>
      <c r="V717" s="59"/>
      <c r="W717" s="20"/>
      <c r="X717" s="43"/>
    </row>
    <row r="718" spans="1:24" ht="15.75" hidden="1" customHeight="1" x14ac:dyDescent="0.25">
      <c r="A718" s="16"/>
      <c r="B718" s="16"/>
      <c r="C718" s="16"/>
      <c r="D718" s="40"/>
      <c r="E718" s="17"/>
      <c r="F718" s="21"/>
      <c r="G718" s="16"/>
      <c r="H718" s="16"/>
      <c r="I718" s="22"/>
      <c r="J718" s="22"/>
      <c r="K718" s="16"/>
      <c r="L718" s="16"/>
      <c r="M718" s="16"/>
      <c r="N718" s="19"/>
      <c r="O718" s="19"/>
      <c r="P718" s="19"/>
      <c r="Q718" s="19"/>
      <c r="R718" s="19"/>
      <c r="S718" s="19"/>
      <c r="T718" s="19"/>
      <c r="U718" s="19"/>
      <c r="V718" s="59"/>
      <c r="W718" s="20"/>
      <c r="X718" s="43"/>
    </row>
    <row r="719" spans="1:24" ht="15.75" hidden="1" customHeight="1" x14ac:dyDescent="0.25">
      <c r="A719" s="16"/>
      <c r="B719" s="16"/>
      <c r="C719" s="16"/>
      <c r="D719" s="40"/>
      <c r="E719" s="17"/>
      <c r="F719" s="21"/>
      <c r="G719" s="16"/>
      <c r="H719" s="16"/>
      <c r="I719" s="22"/>
      <c r="J719" s="22"/>
      <c r="K719" s="16"/>
      <c r="L719" s="16"/>
      <c r="M719" s="16"/>
      <c r="N719" s="19"/>
      <c r="O719" s="19"/>
      <c r="P719" s="19"/>
      <c r="Q719" s="19"/>
      <c r="R719" s="19"/>
      <c r="S719" s="19"/>
      <c r="T719" s="19"/>
      <c r="U719" s="19"/>
      <c r="V719" s="59"/>
      <c r="W719" s="20"/>
      <c r="X719" s="43"/>
    </row>
    <row r="720" spans="1:24" ht="15.75" hidden="1" customHeight="1" x14ac:dyDescent="0.25">
      <c r="A720" s="16"/>
      <c r="B720" s="16"/>
      <c r="C720" s="16"/>
      <c r="D720" s="40"/>
      <c r="E720" s="17"/>
      <c r="F720" s="21"/>
      <c r="G720" s="16"/>
      <c r="H720" s="16"/>
      <c r="I720" s="22"/>
      <c r="J720" s="22"/>
      <c r="K720" s="16"/>
      <c r="L720" s="16"/>
      <c r="M720" s="16"/>
      <c r="N720" s="19"/>
      <c r="O720" s="19"/>
      <c r="P720" s="19"/>
      <c r="Q720" s="19"/>
      <c r="R720" s="19"/>
      <c r="S720" s="19"/>
      <c r="T720" s="19"/>
      <c r="U720" s="19"/>
      <c r="V720" s="59"/>
      <c r="W720" s="20"/>
      <c r="X720" s="43"/>
    </row>
    <row r="721" spans="1:24" ht="15.75" hidden="1" customHeight="1" x14ac:dyDescent="0.25">
      <c r="A721" s="16"/>
      <c r="B721" s="16"/>
      <c r="C721" s="16"/>
      <c r="D721" s="40"/>
      <c r="E721" s="17"/>
      <c r="F721" s="21"/>
      <c r="G721" s="16"/>
      <c r="H721" s="16"/>
      <c r="I721" s="22"/>
      <c r="J721" s="22"/>
      <c r="K721" s="16"/>
      <c r="L721" s="16"/>
      <c r="M721" s="16"/>
      <c r="N721" s="19"/>
      <c r="O721" s="19"/>
      <c r="P721" s="19"/>
      <c r="Q721" s="19"/>
      <c r="R721" s="19"/>
      <c r="S721" s="19"/>
      <c r="T721" s="19"/>
      <c r="U721" s="19"/>
      <c r="V721" s="59"/>
      <c r="W721" s="20"/>
      <c r="X721" s="43"/>
    </row>
    <row r="722" spans="1:24" ht="15.75" hidden="1" customHeight="1" x14ac:dyDescent="0.25">
      <c r="A722" s="16"/>
      <c r="B722" s="16"/>
      <c r="C722" s="16"/>
      <c r="D722" s="40"/>
      <c r="E722" s="17"/>
      <c r="F722" s="21"/>
      <c r="G722" s="16"/>
      <c r="H722" s="16"/>
      <c r="I722" s="22"/>
      <c r="J722" s="22"/>
      <c r="K722" s="16"/>
      <c r="L722" s="16"/>
      <c r="M722" s="16"/>
      <c r="N722" s="19"/>
      <c r="O722" s="19"/>
      <c r="P722" s="19"/>
      <c r="Q722" s="19"/>
      <c r="R722" s="19"/>
      <c r="S722" s="19"/>
      <c r="T722" s="19"/>
      <c r="U722" s="19"/>
      <c r="V722" s="59"/>
      <c r="W722" s="20"/>
      <c r="X722" s="43"/>
    </row>
    <row r="723" spans="1:24" ht="15.75" hidden="1" customHeight="1" x14ac:dyDescent="0.25">
      <c r="A723" s="16"/>
      <c r="B723" s="16"/>
      <c r="C723" s="16"/>
      <c r="D723" s="40"/>
      <c r="E723" s="17"/>
      <c r="F723" s="21"/>
      <c r="G723" s="16"/>
      <c r="H723" s="16"/>
      <c r="I723" s="22"/>
      <c r="J723" s="22"/>
      <c r="K723" s="16"/>
      <c r="L723" s="16"/>
      <c r="M723" s="16"/>
      <c r="N723" s="19"/>
      <c r="O723" s="19"/>
      <c r="P723" s="19"/>
      <c r="Q723" s="19"/>
      <c r="R723" s="19"/>
      <c r="S723" s="19"/>
      <c r="T723" s="19"/>
      <c r="U723" s="19"/>
      <c r="V723" s="59"/>
      <c r="W723" s="20"/>
      <c r="X723" s="43"/>
    </row>
    <row r="724" spans="1:24" ht="15.75" hidden="1" customHeight="1" x14ac:dyDescent="0.25">
      <c r="A724" s="16"/>
      <c r="B724" s="16"/>
      <c r="C724" s="16"/>
      <c r="D724" s="40"/>
      <c r="E724" s="17"/>
      <c r="F724" s="21"/>
      <c r="G724" s="16"/>
      <c r="H724" s="16"/>
      <c r="I724" s="22"/>
      <c r="J724" s="22"/>
      <c r="K724" s="16"/>
      <c r="L724" s="16"/>
      <c r="M724" s="16"/>
      <c r="N724" s="19"/>
      <c r="O724" s="19"/>
      <c r="P724" s="19"/>
      <c r="Q724" s="19"/>
      <c r="R724" s="19"/>
      <c r="S724" s="19"/>
      <c r="T724" s="19"/>
      <c r="U724" s="19"/>
      <c r="V724" s="59"/>
      <c r="W724" s="20"/>
      <c r="X724" s="43"/>
    </row>
    <row r="725" spans="1:24" ht="15.75" hidden="1" customHeight="1" x14ac:dyDescent="0.25">
      <c r="A725" s="16"/>
      <c r="B725" s="16"/>
      <c r="C725" s="16"/>
      <c r="D725" s="40"/>
      <c r="E725" s="17"/>
      <c r="F725" s="21"/>
      <c r="G725" s="16"/>
      <c r="H725" s="16"/>
      <c r="I725" s="22"/>
      <c r="J725" s="22"/>
      <c r="K725" s="16"/>
      <c r="L725" s="16"/>
      <c r="M725" s="16"/>
      <c r="N725" s="19"/>
      <c r="O725" s="19"/>
      <c r="P725" s="19"/>
      <c r="Q725" s="19"/>
      <c r="R725" s="19"/>
      <c r="S725" s="19"/>
      <c r="T725" s="19"/>
      <c r="U725" s="19"/>
      <c r="V725" s="59"/>
      <c r="W725" s="20"/>
      <c r="X725" s="43"/>
    </row>
    <row r="726" spans="1:24" ht="15.75" hidden="1" customHeight="1" x14ac:dyDescent="0.25">
      <c r="A726" s="16"/>
      <c r="B726" s="16"/>
      <c r="C726" s="16"/>
      <c r="D726" s="40"/>
      <c r="E726" s="17"/>
      <c r="F726" s="21"/>
      <c r="G726" s="16"/>
      <c r="H726" s="16"/>
      <c r="I726" s="22"/>
      <c r="J726" s="22"/>
      <c r="K726" s="16"/>
      <c r="L726" s="16"/>
      <c r="M726" s="16"/>
      <c r="N726" s="19"/>
      <c r="O726" s="19"/>
      <c r="P726" s="19"/>
      <c r="Q726" s="19"/>
      <c r="R726" s="19"/>
      <c r="S726" s="19"/>
      <c r="T726" s="19"/>
      <c r="U726" s="19"/>
      <c r="V726" s="59"/>
      <c r="W726" s="20"/>
      <c r="X726" s="43"/>
    </row>
    <row r="727" spans="1:24" ht="15.75" hidden="1" customHeight="1" x14ac:dyDescent="0.25">
      <c r="A727" s="16"/>
      <c r="B727" s="16"/>
      <c r="C727" s="16"/>
      <c r="D727" s="40"/>
      <c r="E727" s="17"/>
      <c r="F727" s="21"/>
      <c r="G727" s="16"/>
      <c r="H727" s="16"/>
      <c r="I727" s="22"/>
      <c r="J727" s="22"/>
      <c r="K727" s="16"/>
      <c r="L727" s="16"/>
      <c r="M727" s="16"/>
      <c r="N727" s="19"/>
      <c r="O727" s="19"/>
      <c r="P727" s="19"/>
      <c r="Q727" s="19"/>
      <c r="R727" s="19"/>
      <c r="S727" s="19"/>
      <c r="T727" s="19"/>
      <c r="U727" s="19"/>
      <c r="V727" s="59"/>
      <c r="W727" s="20"/>
      <c r="X727" s="43"/>
    </row>
    <row r="728" spans="1:24" ht="15.75" hidden="1" customHeight="1" x14ac:dyDescent="0.25">
      <c r="A728" s="16"/>
      <c r="B728" s="16"/>
      <c r="C728" s="16"/>
      <c r="D728" s="40"/>
      <c r="E728" s="17"/>
      <c r="F728" s="21"/>
      <c r="G728" s="16"/>
      <c r="H728" s="16"/>
      <c r="I728" s="22"/>
      <c r="J728" s="22"/>
      <c r="K728" s="16"/>
      <c r="L728" s="16"/>
      <c r="M728" s="16"/>
      <c r="N728" s="19"/>
      <c r="O728" s="19"/>
      <c r="P728" s="19"/>
      <c r="Q728" s="19"/>
      <c r="R728" s="19"/>
      <c r="S728" s="19"/>
      <c r="T728" s="19"/>
      <c r="U728" s="19"/>
      <c r="V728" s="59"/>
      <c r="W728" s="20"/>
      <c r="X728" s="43"/>
    </row>
    <row r="729" spans="1:24" ht="15.75" hidden="1" customHeight="1" x14ac:dyDescent="0.25">
      <c r="A729" s="16"/>
      <c r="B729" s="16"/>
      <c r="C729" s="16"/>
      <c r="D729" s="40"/>
      <c r="E729" s="17"/>
      <c r="F729" s="21"/>
      <c r="G729" s="16"/>
      <c r="H729" s="16"/>
      <c r="I729" s="22"/>
      <c r="J729" s="22"/>
      <c r="K729" s="16"/>
      <c r="L729" s="16"/>
      <c r="M729" s="16"/>
      <c r="N729" s="19"/>
      <c r="O729" s="19"/>
      <c r="P729" s="19"/>
      <c r="Q729" s="19"/>
      <c r="R729" s="19"/>
      <c r="S729" s="19"/>
      <c r="T729" s="19"/>
      <c r="U729" s="19"/>
      <c r="V729" s="59"/>
      <c r="W729" s="20"/>
      <c r="X729" s="43"/>
    </row>
    <row r="730" spans="1:24" ht="15.75" hidden="1" customHeight="1" x14ac:dyDescent="0.25">
      <c r="A730" s="16"/>
      <c r="B730" s="16"/>
      <c r="C730" s="16"/>
      <c r="D730" s="40"/>
      <c r="E730" s="17"/>
      <c r="F730" s="21"/>
      <c r="G730" s="16"/>
      <c r="H730" s="16"/>
      <c r="I730" s="22"/>
      <c r="J730" s="22"/>
      <c r="K730" s="16"/>
      <c r="L730" s="16"/>
      <c r="M730" s="16"/>
      <c r="N730" s="19"/>
      <c r="O730" s="19"/>
      <c r="P730" s="19"/>
      <c r="Q730" s="19"/>
      <c r="R730" s="19"/>
      <c r="S730" s="19"/>
      <c r="T730" s="19"/>
      <c r="U730" s="19"/>
      <c r="V730" s="59"/>
      <c r="W730" s="20"/>
      <c r="X730" s="43"/>
    </row>
    <row r="731" spans="1:24" ht="15.75" hidden="1" customHeight="1" x14ac:dyDescent="0.25">
      <c r="A731" s="16"/>
      <c r="B731" s="16"/>
      <c r="C731" s="16"/>
      <c r="D731" s="40"/>
      <c r="E731" s="17"/>
      <c r="F731" s="21"/>
      <c r="G731" s="16"/>
      <c r="H731" s="16"/>
      <c r="I731" s="22"/>
      <c r="J731" s="22"/>
      <c r="K731" s="16"/>
      <c r="L731" s="16"/>
      <c r="M731" s="16"/>
      <c r="N731" s="19"/>
      <c r="O731" s="19"/>
      <c r="P731" s="19"/>
      <c r="Q731" s="19"/>
      <c r="R731" s="19"/>
      <c r="S731" s="19"/>
      <c r="T731" s="19"/>
      <c r="U731" s="19"/>
      <c r="V731" s="59"/>
      <c r="W731" s="20"/>
      <c r="X731" s="43"/>
    </row>
    <row r="732" spans="1:24" ht="15.75" hidden="1" customHeight="1" x14ac:dyDescent="0.25">
      <c r="A732" s="16"/>
      <c r="B732" s="16"/>
      <c r="C732" s="16"/>
      <c r="D732" s="40"/>
      <c r="E732" s="17"/>
      <c r="F732" s="21"/>
      <c r="G732" s="16"/>
      <c r="H732" s="16"/>
      <c r="I732" s="22"/>
      <c r="J732" s="22"/>
      <c r="K732" s="16"/>
      <c r="L732" s="16"/>
      <c r="M732" s="16"/>
      <c r="N732" s="19"/>
      <c r="O732" s="19"/>
      <c r="P732" s="19"/>
      <c r="Q732" s="19"/>
      <c r="R732" s="19"/>
      <c r="S732" s="19"/>
      <c r="T732" s="19"/>
      <c r="U732" s="19"/>
      <c r="V732" s="59"/>
      <c r="W732" s="20"/>
      <c r="X732" s="43"/>
    </row>
    <row r="733" spans="1:24" ht="15.75" hidden="1" customHeight="1" x14ac:dyDescent="0.25">
      <c r="A733" s="16"/>
      <c r="B733" s="16"/>
      <c r="C733" s="16"/>
      <c r="D733" s="40"/>
      <c r="E733" s="17"/>
      <c r="F733" s="21"/>
      <c r="G733" s="16"/>
      <c r="H733" s="16"/>
      <c r="I733" s="22"/>
      <c r="J733" s="22"/>
      <c r="K733" s="16"/>
      <c r="L733" s="16"/>
      <c r="M733" s="16"/>
      <c r="N733" s="19"/>
      <c r="O733" s="19"/>
      <c r="P733" s="19"/>
      <c r="Q733" s="19"/>
      <c r="R733" s="19"/>
      <c r="S733" s="19"/>
      <c r="T733" s="19"/>
      <c r="U733" s="19"/>
      <c r="V733" s="59"/>
      <c r="W733" s="20"/>
      <c r="X733" s="43"/>
    </row>
    <row r="734" spans="1:24" ht="15.75" hidden="1" customHeight="1" x14ac:dyDescent="0.25">
      <c r="A734" s="16"/>
      <c r="B734" s="16"/>
      <c r="C734" s="16"/>
      <c r="D734" s="40"/>
      <c r="E734" s="17"/>
      <c r="F734" s="21"/>
      <c r="G734" s="16"/>
      <c r="H734" s="16"/>
      <c r="I734" s="22"/>
      <c r="J734" s="22"/>
      <c r="K734" s="16"/>
      <c r="L734" s="16"/>
      <c r="M734" s="16"/>
      <c r="N734" s="19"/>
      <c r="O734" s="19"/>
      <c r="P734" s="19"/>
      <c r="Q734" s="19"/>
      <c r="R734" s="19"/>
      <c r="S734" s="19"/>
      <c r="T734" s="19"/>
      <c r="U734" s="19"/>
      <c r="V734" s="59"/>
      <c r="W734" s="20"/>
      <c r="X734" s="43"/>
    </row>
    <row r="735" spans="1:24" ht="15.75" hidden="1" customHeight="1" x14ac:dyDescent="0.25">
      <c r="A735" s="16"/>
      <c r="B735" s="16"/>
      <c r="C735" s="16"/>
      <c r="D735" s="40"/>
      <c r="E735" s="17"/>
      <c r="F735" s="21"/>
      <c r="G735" s="16"/>
      <c r="H735" s="16"/>
      <c r="I735" s="22"/>
      <c r="J735" s="22"/>
      <c r="K735" s="16"/>
      <c r="L735" s="16"/>
      <c r="M735" s="16"/>
      <c r="N735" s="19"/>
      <c r="O735" s="19"/>
      <c r="P735" s="19"/>
      <c r="Q735" s="19"/>
      <c r="R735" s="19"/>
      <c r="S735" s="19"/>
      <c r="T735" s="19"/>
      <c r="U735" s="19"/>
      <c r="V735" s="59"/>
      <c r="W735" s="20"/>
      <c r="X735" s="43"/>
    </row>
    <row r="736" spans="1:24" ht="15.75" hidden="1" customHeight="1" x14ac:dyDescent="0.25">
      <c r="A736" s="16"/>
      <c r="B736" s="16"/>
      <c r="C736" s="16"/>
      <c r="D736" s="40"/>
      <c r="E736" s="17"/>
      <c r="F736" s="21"/>
      <c r="G736" s="16"/>
      <c r="H736" s="16"/>
      <c r="I736" s="22"/>
      <c r="J736" s="22"/>
      <c r="K736" s="16"/>
      <c r="L736" s="16"/>
      <c r="M736" s="16"/>
      <c r="N736" s="19"/>
      <c r="O736" s="19"/>
      <c r="P736" s="19"/>
      <c r="Q736" s="19"/>
      <c r="R736" s="19"/>
      <c r="S736" s="19"/>
      <c r="T736" s="19"/>
      <c r="U736" s="19"/>
      <c r="V736" s="59"/>
      <c r="W736" s="20"/>
      <c r="X736" s="43"/>
    </row>
    <row r="737" spans="1:24" ht="15.75" hidden="1" customHeight="1" x14ac:dyDescent="0.25">
      <c r="A737" s="16"/>
      <c r="B737" s="16"/>
      <c r="C737" s="16"/>
      <c r="D737" s="40"/>
      <c r="E737" s="17"/>
      <c r="F737" s="21"/>
      <c r="G737" s="16"/>
      <c r="H737" s="16"/>
      <c r="I737" s="22"/>
      <c r="J737" s="22"/>
      <c r="K737" s="16"/>
      <c r="L737" s="16"/>
      <c r="M737" s="16"/>
      <c r="N737" s="19"/>
      <c r="O737" s="19"/>
      <c r="P737" s="19"/>
      <c r="Q737" s="19"/>
      <c r="R737" s="19"/>
      <c r="S737" s="19"/>
      <c r="T737" s="19"/>
      <c r="U737" s="19"/>
      <c r="V737" s="59"/>
      <c r="W737" s="20"/>
      <c r="X737" s="43"/>
    </row>
    <row r="738" spans="1:24" ht="15.75" hidden="1" customHeight="1" x14ac:dyDescent="0.25">
      <c r="A738" s="16"/>
      <c r="B738" s="16"/>
      <c r="C738" s="16"/>
      <c r="D738" s="40"/>
      <c r="E738" s="17"/>
      <c r="F738" s="21"/>
      <c r="G738" s="16"/>
      <c r="H738" s="16"/>
      <c r="I738" s="22"/>
      <c r="J738" s="22"/>
      <c r="K738" s="16"/>
      <c r="L738" s="16"/>
      <c r="M738" s="16"/>
      <c r="N738" s="19"/>
      <c r="O738" s="19"/>
      <c r="P738" s="19"/>
      <c r="Q738" s="19"/>
      <c r="R738" s="19"/>
      <c r="S738" s="19"/>
      <c r="T738" s="19"/>
      <c r="U738" s="19"/>
      <c r="V738" s="59"/>
      <c r="W738" s="20"/>
      <c r="X738" s="43"/>
    </row>
    <row r="739" spans="1:24" ht="15.75" hidden="1" customHeight="1" x14ac:dyDescent="0.25">
      <c r="A739" s="16"/>
      <c r="B739" s="16"/>
      <c r="C739" s="16"/>
      <c r="D739" s="40"/>
      <c r="E739" s="17"/>
      <c r="F739" s="21"/>
      <c r="G739" s="16"/>
      <c r="H739" s="16"/>
      <c r="I739" s="22"/>
      <c r="J739" s="22"/>
      <c r="K739" s="16"/>
      <c r="L739" s="16"/>
      <c r="M739" s="16"/>
      <c r="N739" s="19"/>
      <c r="O739" s="19"/>
      <c r="P739" s="19"/>
      <c r="Q739" s="19"/>
      <c r="R739" s="19"/>
      <c r="S739" s="19"/>
      <c r="T739" s="19"/>
      <c r="U739" s="19"/>
      <c r="V739" s="59"/>
      <c r="W739" s="20"/>
      <c r="X739" s="43"/>
    </row>
    <row r="740" spans="1:24" ht="15.75" hidden="1" customHeight="1" x14ac:dyDescent="0.25">
      <c r="A740" s="16"/>
      <c r="B740" s="16"/>
      <c r="C740" s="16"/>
      <c r="D740" s="40"/>
      <c r="E740" s="17"/>
      <c r="F740" s="21"/>
      <c r="G740" s="16"/>
      <c r="H740" s="16"/>
      <c r="I740" s="22"/>
      <c r="J740" s="22"/>
      <c r="K740" s="16"/>
      <c r="L740" s="16"/>
      <c r="M740" s="16"/>
      <c r="N740" s="19"/>
      <c r="O740" s="19"/>
      <c r="P740" s="19"/>
      <c r="Q740" s="19"/>
      <c r="R740" s="19"/>
      <c r="S740" s="19"/>
      <c r="T740" s="19"/>
      <c r="U740" s="19"/>
      <c r="V740" s="59"/>
      <c r="W740" s="20"/>
      <c r="X740" s="43"/>
    </row>
    <row r="741" spans="1:24" ht="15.75" hidden="1" customHeight="1" x14ac:dyDescent="0.25">
      <c r="A741" s="16"/>
      <c r="B741" s="16"/>
      <c r="C741" s="16"/>
      <c r="D741" s="40"/>
      <c r="E741" s="17"/>
      <c r="F741" s="21"/>
      <c r="G741" s="16"/>
      <c r="H741" s="16"/>
      <c r="I741" s="22"/>
      <c r="J741" s="22"/>
      <c r="K741" s="16"/>
      <c r="L741" s="16"/>
      <c r="M741" s="16"/>
      <c r="N741" s="19"/>
      <c r="O741" s="19"/>
      <c r="P741" s="19"/>
      <c r="Q741" s="19"/>
      <c r="R741" s="19"/>
      <c r="S741" s="19"/>
      <c r="T741" s="19"/>
      <c r="U741" s="19"/>
      <c r="V741" s="59"/>
      <c r="W741" s="20"/>
      <c r="X741" s="43"/>
    </row>
    <row r="742" spans="1:24" ht="15.75" hidden="1" customHeight="1" x14ac:dyDescent="0.25">
      <c r="A742" s="16"/>
      <c r="B742" s="16"/>
      <c r="C742" s="16"/>
      <c r="D742" s="40"/>
      <c r="E742" s="17"/>
      <c r="F742" s="21"/>
      <c r="G742" s="16"/>
      <c r="H742" s="16"/>
      <c r="I742" s="22"/>
      <c r="J742" s="22"/>
      <c r="K742" s="16"/>
      <c r="L742" s="16"/>
      <c r="M742" s="16"/>
      <c r="N742" s="19"/>
      <c r="O742" s="19"/>
      <c r="P742" s="19"/>
      <c r="Q742" s="19"/>
      <c r="R742" s="19"/>
      <c r="S742" s="19"/>
      <c r="T742" s="19"/>
      <c r="U742" s="19"/>
      <c r="V742" s="59"/>
      <c r="W742" s="20"/>
      <c r="X742" s="43"/>
    </row>
    <row r="743" spans="1:24" ht="15.75" hidden="1" customHeight="1" x14ac:dyDescent="0.25">
      <c r="A743" s="16"/>
      <c r="B743" s="16"/>
      <c r="C743" s="16"/>
      <c r="D743" s="40"/>
      <c r="E743" s="17"/>
      <c r="F743" s="21"/>
      <c r="G743" s="16"/>
      <c r="H743" s="16"/>
      <c r="I743" s="22"/>
      <c r="J743" s="22"/>
      <c r="K743" s="16"/>
      <c r="L743" s="16"/>
      <c r="M743" s="16"/>
      <c r="N743" s="19"/>
      <c r="O743" s="19"/>
      <c r="P743" s="19"/>
      <c r="Q743" s="19"/>
      <c r="R743" s="19"/>
      <c r="S743" s="19"/>
      <c r="T743" s="19"/>
      <c r="U743" s="19"/>
      <c r="V743" s="59"/>
      <c r="W743" s="20"/>
      <c r="X743" s="43"/>
    </row>
    <row r="744" spans="1:24" ht="15.75" hidden="1" customHeight="1" x14ac:dyDescent="0.25">
      <c r="A744" s="16"/>
      <c r="B744" s="16"/>
      <c r="C744" s="16"/>
      <c r="D744" s="40"/>
      <c r="E744" s="17"/>
      <c r="F744" s="21"/>
      <c r="G744" s="16"/>
      <c r="H744" s="16"/>
      <c r="I744" s="22"/>
      <c r="J744" s="22"/>
      <c r="K744" s="16"/>
      <c r="L744" s="16"/>
      <c r="M744" s="16"/>
      <c r="N744" s="19"/>
      <c r="O744" s="19"/>
      <c r="P744" s="19"/>
      <c r="Q744" s="19"/>
      <c r="R744" s="19"/>
      <c r="S744" s="19"/>
      <c r="T744" s="19"/>
      <c r="U744" s="19"/>
      <c r="V744" s="59"/>
      <c r="W744" s="20"/>
      <c r="X744" s="43"/>
    </row>
    <row r="745" spans="1:24" ht="15.75" hidden="1" customHeight="1" x14ac:dyDescent="0.25">
      <c r="A745" s="16"/>
      <c r="B745" s="16"/>
      <c r="C745" s="16"/>
      <c r="D745" s="40"/>
      <c r="E745" s="17"/>
      <c r="F745" s="21"/>
      <c r="G745" s="16"/>
      <c r="H745" s="16"/>
      <c r="I745" s="22"/>
      <c r="J745" s="22"/>
      <c r="K745" s="16"/>
      <c r="L745" s="16"/>
      <c r="M745" s="16"/>
      <c r="N745" s="19"/>
      <c r="O745" s="19"/>
      <c r="P745" s="19"/>
      <c r="Q745" s="19"/>
      <c r="R745" s="19"/>
      <c r="S745" s="19"/>
      <c r="T745" s="19"/>
      <c r="U745" s="19"/>
      <c r="V745" s="59"/>
      <c r="W745" s="20"/>
      <c r="X745" s="43"/>
    </row>
    <row r="746" spans="1:24" ht="15.75" hidden="1" customHeight="1" x14ac:dyDescent="0.25">
      <c r="A746" s="16"/>
      <c r="B746" s="16"/>
      <c r="C746" s="16"/>
      <c r="D746" s="40"/>
      <c r="E746" s="17"/>
      <c r="F746" s="21"/>
      <c r="G746" s="16"/>
      <c r="H746" s="16"/>
      <c r="I746" s="22"/>
      <c r="J746" s="22"/>
      <c r="K746" s="16"/>
      <c r="L746" s="16"/>
      <c r="M746" s="16"/>
      <c r="N746" s="19"/>
      <c r="O746" s="19"/>
      <c r="P746" s="19"/>
      <c r="Q746" s="19"/>
      <c r="R746" s="19"/>
      <c r="S746" s="19"/>
      <c r="T746" s="19"/>
      <c r="U746" s="19"/>
      <c r="V746" s="59"/>
      <c r="W746" s="20"/>
      <c r="X746" s="43"/>
    </row>
    <row r="747" spans="1:24" ht="15.75" hidden="1" customHeight="1" x14ac:dyDescent="0.25">
      <c r="A747" s="16"/>
      <c r="B747" s="16"/>
      <c r="C747" s="16"/>
      <c r="D747" s="40"/>
      <c r="E747" s="17"/>
      <c r="F747" s="21"/>
      <c r="G747" s="16"/>
      <c r="H747" s="16"/>
      <c r="I747" s="22"/>
      <c r="J747" s="22"/>
      <c r="K747" s="16"/>
      <c r="L747" s="16"/>
      <c r="M747" s="16"/>
      <c r="N747" s="19"/>
      <c r="O747" s="19"/>
      <c r="P747" s="19"/>
      <c r="Q747" s="19"/>
      <c r="R747" s="19"/>
      <c r="S747" s="19"/>
      <c r="T747" s="19"/>
      <c r="U747" s="19"/>
      <c r="V747" s="59"/>
      <c r="W747" s="20"/>
      <c r="X747" s="43"/>
    </row>
    <row r="748" spans="1:24" ht="15.75" hidden="1" customHeight="1" x14ac:dyDescent="0.25">
      <c r="A748" s="16"/>
      <c r="B748" s="16"/>
      <c r="C748" s="16"/>
      <c r="D748" s="40"/>
      <c r="E748" s="17"/>
      <c r="F748" s="21"/>
      <c r="G748" s="16"/>
      <c r="H748" s="16"/>
      <c r="I748" s="22"/>
      <c r="J748" s="22"/>
      <c r="K748" s="16"/>
      <c r="L748" s="16"/>
      <c r="M748" s="16"/>
      <c r="N748" s="19"/>
      <c r="O748" s="19"/>
      <c r="P748" s="19"/>
      <c r="Q748" s="19"/>
      <c r="R748" s="19"/>
      <c r="S748" s="19"/>
      <c r="T748" s="19"/>
      <c r="U748" s="19"/>
      <c r="V748" s="59"/>
      <c r="W748" s="20"/>
      <c r="X748" s="43"/>
    </row>
    <row r="749" spans="1:24" ht="15.75" hidden="1" customHeight="1" x14ac:dyDescent="0.25">
      <c r="A749" s="16"/>
      <c r="B749" s="16"/>
      <c r="C749" s="16"/>
      <c r="D749" s="40"/>
      <c r="E749" s="17"/>
      <c r="F749" s="21"/>
      <c r="G749" s="16"/>
      <c r="H749" s="16"/>
      <c r="I749" s="22"/>
      <c r="J749" s="22"/>
      <c r="K749" s="16"/>
      <c r="L749" s="16"/>
      <c r="M749" s="16"/>
      <c r="N749" s="19"/>
      <c r="O749" s="19"/>
      <c r="P749" s="19"/>
      <c r="Q749" s="19"/>
      <c r="R749" s="19"/>
      <c r="S749" s="19"/>
      <c r="T749" s="19"/>
      <c r="U749" s="19"/>
      <c r="V749" s="59"/>
      <c r="W749" s="20"/>
      <c r="X749" s="43"/>
    </row>
    <row r="750" spans="1:24" ht="15.75" hidden="1" customHeight="1" x14ac:dyDescent="0.25">
      <c r="A750" s="16"/>
      <c r="B750" s="16"/>
      <c r="C750" s="16"/>
      <c r="D750" s="40"/>
      <c r="E750" s="17"/>
      <c r="F750" s="21"/>
      <c r="G750" s="16"/>
      <c r="H750" s="16"/>
      <c r="I750" s="22"/>
      <c r="J750" s="22"/>
      <c r="K750" s="16"/>
      <c r="L750" s="16"/>
      <c r="M750" s="16"/>
      <c r="N750" s="19"/>
      <c r="O750" s="19"/>
      <c r="P750" s="19"/>
      <c r="Q750" s="19"/>
      <c r="R750" s="19"/>
      <c r="S750" s="19"/>
      <c r="T750" s="19"/>
      <c r="U750" s="19"/>
      <c r="V750" s="59"/>
      <c r="W750" s="20"/>
      <c r="X750" s="43"/>
    </row>
    <row r="751" spans="1:24" ht="15.75" hidden="1" customHeight="1" x14ac:dyDescent="0.25">
      <c r="A751" s="16"/>
      <c r="B751" s="16"/>
      <c r="C751" s="16"/>
      <c r="D751" s="40"/>
      <c r="E751" s="17"/>
      <c r="F751" s="21"/>
      <c r="G751" s="16"/>
      <c r="H751" s="16"/>
      <c r="I751" s="22"/>
      <c r="J751" s="22"/>
      <c r="K751" s="16"/>
      <c r="L751" s="16"/>
      <c r="M751" s="16"/>
      <c r="N751" s="19"/>
      <c r="O751" s="19"/>
      <c r="P751" s="19"/>
      <c r="Q751" s="19"/>
      <c r="R751" s="19"/>
      <c r="S751" s="19"/>
      <c r="T751" s="19"/>
      <c r="U751" s="19"/>
      <c r="V751" s="59"/>
      <c r="W751" s="20"/>
      <c r="X751" s="43"/>
    </row>
    <row r="752" spans="1:24" ht="15.75" hidden="1" customHeight="1" x14ac:dyDescent="0.25">
      <c r="A752" s="16"/>
      <c r="B752" s="16"/>
      <c r="C752" s="16"/>
      <c r="D752" s="40"/>
      <c r="E752" s="17"/>
      <c r="F752" s="21"/>
      <c r="G752" s="16"/>
      <c r="H752" s="16"/>
      <c r="I752" s="22"/>
      <c r="J752" s="22"/>
      <c r="K752" s="16"/>
      <c r="L752" s="16"/>
      <c r="M752" s="16"/>
      <c r="N752" s="19"/>
      <c r="O752" s="19"/>
      <c r="P752" s="19"/>
      <c r="Q752" s="19"/>
      <c r="R752" s="19"/>
      <c r="S752" s="19"/>
      <c r="T752" s="19"/>
      <c r="U752" s="19"/>
      <c r="V752" s="59"/>
      <c r="W752" s="20"/>
      <c r="X752" s="43"/>
    </row>
    <row r="753" spans="1:24" ht="15.75" hidden="1" customHeight="1" x14ac:dyDescent="0.25">
      <c r="A753" s="16"/>
      <c r="B753" s="16"/>
      <c r="C753" s="16"/>
      <c r="D753" s="40"/>
      <c r="E753" s="17"/>
      <c r="F753" s="21"/>
      <c r="G753" s="16"/>
      <c r="H753" s="16"/>
      <c r="I753" s="22"/>
      <c r="J753" s="22"/>
      <c r="K753" s="16"/>
      <c r="L753" s="16"/>
      <c r="M753" s="16"/>
      <c r="N753" s="19"/>
      <c r="O753" s="19"/>
      <c r="P753" s="19"/>
      <c r="Q753" s="19"/>
      <c r="R753" s="19"/>
      <c r="S753" s="19"/>
      <c r="T753" s="19"/>
      <c r="U753" s="19"/>
      <c r="V753" s="59"/>
      <c r="W753" s="20"/>
      <c r="X753" s="43"/>
    </row>
    <row r="754" spans="1:24" ht="15.75" hidden="1" customHeight="1" x14ac:dyDescent="0.25">
      <c r="A754" s="16"/>
      <c r="B754" s="16"/>
      <c r="C754" s="16"/>
      <c r="D754" s="40"/>
      <c r="E754" s="17"/>
      <c r="F754" s="21"/>
      <c r="G754" s="16"/>
      <c r="H754" s="16"/>
      <c r="I754" s="22"/>
      <c r="J754" s="22"/>
      <c r="K754" s="16"/>
      <c r="L754" s="16"/>
      <c r="M754" s="16"/>
      <c r="N754" s="19"/>
      <c r="O754" s="19"/>
      <c r="P754" s="19"/>
      <c r="Q754" s="19"/>
      <c r="R754" s="19"/>
      <c r="S754" s="19"/>
      <c r="T754" s="19"/>
      <c r="U754" s="19"/>
      <c r="V754" s="59"/>
      <c r="W754" s="20"/>
      <c r="X754" s="43"/>
    </row>
    <row r="755" spans="1:24" ht="15.75" hidden="1" customHeight="1" x14ac:dyDescent="0.25">
      <c r="A755" s="16"/>
      <c r="B755" s="16"/>
      <c r="C755" s="16"/>
      <c r="D755" s="40"/>
      <c r="E755" s="17"/>
      <c r="F755" s="21"/>
      <c r="G755" s="16"/>
      <c r="H755" s="16"/>
      <c r="I755" s="22"/>
      <c r="J755" s="22"/>
      <c r="K755" s="16"/>
      <c r="L755" s="16"/>
      <c r="M755" s="16"/>
      <c r="N755" s="19"/>
      <c r="O755" s="19"/>
      <c r="P755" s="19"/>
      <c r="Q755" s="19"/>
      <c r="R755" s="19"/>
      <c r="S755" s="19"/>
      <c r="T755" s="19"/>
      <c r="U755" s="19"/>
      <c r="V755" s="59"/>
      <c r="W755" s="20"/>
      <c r="X755" s="43"/>
    </row>
    <row r="756" spans="1:24" ht="15.75" hidden="1" customHeight="1" x14ac:dyDescent="0.25">
      <c r="A756" s="16"/>
      <c r="B756" s="16"/>
      <c r="C756" s="16"/>
      <c r="D756" s="40"/>
      <c r="E756" s="17"/>
      <c r="F756" s="21"/>
      <c r="G756" s="16"/>
      <c r="H756" s="16"/>
      <c r="I756" s="22"/>
      <c r="J756" s="22"/>
      <c r="K756" s="16"/>
      <c r="L756" s="16"/>
      <c r="M756" s="16"/>
      <c r="N756" s="19"/>
      <c r="O756" s="19"/>
      <c r="P756" s="19"/>
      <c r="Q756" s="19"/>
      <c r="R756" s="19"/>
      <c r="S756" s="19"/>
      <c r="T756" s="19"/>
      <c r="U756" s="19"/>
      <c r="V756" s="59"/>
      <c r="W756" s="20"/>
      <c r="X756" s="43"/>
    </row>
    <row r="757" spans="1:24" ht="15.75" hidden="1" customHeight="1" x14ac:dyDescent="0.25">
      <c r="A757" s="16"/>
      <c r="B757" s="16"/>
      <c r="C757" s="16"/>
      <c r="D757" s="40"/>
      <c r="E757" s="17"/>
      <c r="F757" s="21"/>
      <c r="G757" s="16"/>
      <c r="H757" s="16"/>
      <c r="I757" s="22"/>
      <c r="J757" s="22"/>
      <c r="K757" s="16"/>
      <c r="L757" s="16"/>
      <c r="M757" s="16"/>
      <c r="N757" s="19"/>
      <c r="O757" s="19"/>
      <c r="P757" s="19"/>
      <c r="Q757" s="19"/>
      <c r="R757" s="19"/>
      <c r="S757" s="19"/>
      <c r="T757" s="19"/>
      <c r="U757" s="19"/>
      <c r="V757" s="59"/>
      <c r="W757" s="20"/>
      <c r="X757" s="43"/>
    </row>
    <row r="758" spans="1:24" ht="15.75" hidden="1" customHeight="1" x14ac:dyDescent="0.25">
      <c r="A758" s="16"/>
      <c r="B758" s="16"/>
      <c r="C758" s="16"/>
      <c r="D758" s="40"/>
      <c r="E758" s="17"/>
      <c r="F758" s="21"/>
      <c r="G758" s="16"/>
      <c r="H758" s="16"/>
      <c r="I758" s="22"/>
      <c r="J758" s="22"/>
      <c r="K758" s="16"/>
      <c r="L758" s="16"/>
      <c r="M758" s="16"/>
      <c r="N758" s="19"/>
      <c r="O758" s="19"/>
      <c r="P758" s="19"/>
      <c r="Q758" s="19"/>
      <c r="R758" s="19"/>
      <c r="S758" s="19"/>
      <c r="T758" s="19"/>
      <c r="U758" s="19"/>
      <c r="V758" s="59"/>
      <c r="W758" s="20"/>
      <c r="X758" s="43"/>
    </row>
    <row r="759" spans="1:24" ht="15.75" hidden="1" customHeight="1" x14ac:dyDescent="0.25">
      <c r="A759" s="16"/>
      <c r="B759" s="16"/>
      <c r="C759" s="16"/>
      <c r="D759" s="40"/>
      <c r="E759" s="17"/>
      <c r="F759" s="21"/>
      <c r="G759" s="16"/>
      <c r="H759" s="16"/>
      <c r="I759" s="22"/>
      <c r="J759" s="22"/>
      <c r="K759" s="16"/>
      <c r="L759" s="16"/>
      <c r="M759" s="16"/>
      <c r="N759" s="19"/>
      <c r="O759" s="19"/>
      <c r="P759" s="19"/>
      <c r="Q759" s="19"/>
      <c r="R759" s="19"/>
      <c r="S759" s="19"/>
      <c r="T759" s="19"/>
      <c r="U759" s="19"/>
      <c r="V759" s="59"/>
      <c r="W759" s="20"/>
      <c r="X759" s="43"/>
    </row>
    <row r="760" spans="1:24" ht="15.75" hidden="1" customHeight="1" x14ac:dyDescent="0.25">
      <c r="A760" s="16"/>
      <c r="B760" s="16"/>
      <c r="C760" s="16"/>
      <c r="D760" s="40"/>
      <c r="E760" s="17"/>
      <c r="F760" s="21"/>
      <c r="G760" s="16"/>
      <c r="H760" s="16"/>
      <c r="I760" s="22"/>
      <c r="J760" s="22"/>
      <c r="K760" s="16"/>
      <c r="L760" s="16"/>
      <c r="M760" s="16"/>
      <c r="N760" s="19"/>
      <c r="O760" s="19"/>
      <c r="P760" s="19"/>
      <c r="Q760" s="19"/>
      <c r="R760" s="19"/>
      <c r="S760" s="19"/>
      <c r="T760" s="19"/>
      <c r="U760" s="19"/>
      <c r="V760" s="59"/>
      <c r="W760" s="20"/>
      <c r="X760" s="43"/>
    </row>
    <row r="761" spans="1:24" ht="15.75" hidden="1" customHeight="1" x14ac:dyDescent="0.25">
      <c r="A761" s="16"/>
      <c r="B761" s="16"/>
      <c r="C761" s="16"/>
      <c r="D761" s="40"/>
      <c r="E761" s="17"/>
      <c r="F761" s="21"/>
      <c r="G761" s="16"/>
      <c r="H761" s="16"/>
      <c r="I761" s="22"/>
      <c r="J761" s="22"/>
      <c r="K761" s="16"/>
      <c r="L761" s="16"/>
      <c r="M761" s="16"/>
      <c r="N761" s="19"/>
      <c r="O761" s="19"/>
      <c r="P761" s="19"/>
      <c r="Q761" s="19"/>
      <c r="R761" s="19"/>
      <c r="S761" s="19"/>
      <c r="T761" s="19"/>
      <c r="U761" s="19"/>
      <c r="V761" s="59"/>
      <c r="W761" s="20"/>
      <c r="X761" s="43"/>
    </row>
    <row r="762" spans="1:24" ht="15.75" hidden="1" customHeight="1" x14ac:dyDescent="0.25">
      <c r="A762" s="16"/>
      <c r="B762" s="16"/>
      <c r="C762" s="16"/>
      <c r="D762" s="40"/>
      <c r="E762" s="17"/>
      <c r="F762" s="21"/>
      <c r="G762" s="16"/>
      <c r="H762" s="16"/>
      <c r="I762" s="22"/>
      <c r="J762" s="22"/>
      <c r="K762" s="16"/>
      <c r="L762" s="16"/>
      <c r="M762" s="16"/>
      <c r="N762" s="19"/>
      <c r="O762" s="19"/>
      <c r="P762" s="19"/>
      <c r="Q762" s="19"/>
      <c r="R762" s="19"/>
      <c r="S762" s="19"/>
      <c r="T762" s="19"/>
      <c r="U762" s="19"/>
      <c r="V762" s="59"/>
      <c r="W762" s="20"/>
      <c r="X762" s="43"/>
    </row>
    <row r="763" spans="1:24" ht="15.75" hidden="1" customHeight="1" x14ac:dyDescent="0.25">
      <c r="A763" s="16"/>
      <c r="B763" s="16"/>
      <c r="C763" s="16"/>
      <c r="D763" s="40"/>
      <c r="E763" s="17"/>
      <c r="F763" s="21"/>
      <c r="G763" s="16"/>
      <c r="H763" s="16"/>
      <c r="I763" s="22"/>
      <c r="J763" s="22"/>
      <c r="K763" s="16"/>
      <c r="L763" s="16"/>
      <c r="M763" s="16"/>
      <c r="N763" s="19"/>
      <c r="O763" s="19"/>
      <c r="P763" s="19"/>
      <c r="Q763" s="19"/>
      <c r="R763" s="19"/>
      <c r="S763" s="19"/>
      <c r="T763" s="19"/>
      <c r="U763" s="19"/>
      <c r="V763" s="59"/>
      <c r="W763" s="20"/>
      <c r="X763" s="43"/>
    </row>
    <row r="764" spans="1:24" ht="15.75" hidden="1" customHeight="1" x14ac:dyDescent="0.25">
      <c r="A764" s="16"/>
      <c r="B764" s="16"/>
      <c r="C764" s="16"/>
      <c r="D764" s="40"/>
      <c r="E764" s="17"/>
      <c r="F764" s="21"/>
      <c r="G764" s="16"/>
      <c r="H764" s="16"/>
      <c r="I764" s="22"/>
      <c r="J764" s="22"/>
      <c r="K764" s="16"/>
      <c r="L764" s="16"/>
      <c r="M764" s="16"/>
      <c r="N764" s="19"/>
      <c r="O764" s="19"/>
      <c r="P764" s="19"/>
      <c r="Q764" s="19"/>
      <c r="R764" s="19"/>
      <c r="S764" s="19"/>
      <c r="T764" s="19"/>
      <c r="U764" s="19"/>
      <c r="V764" s="59"/>
      <c r="W764" s="20"/>
      <c r="X764" s="43"/>
    </row>
    <row r="765" spans="1:24" ht="15.75" hidden="1" customHeight="1" x14ac:dyDescent="0.25">
      <c r="A765" s="16"/>
      <c r="B765" s="16"/>
      <c r="C765" s="16"/>
      <c r="D765" s="40"/>
      <c r="E765" s="17"/>
      <c r="F765" s="21"/>
      <c r="G765" s="16"/>
      <c r="H765" s="16"/>
      <c r="I765" s="22"/>
      <c r="J765" s="22"/>
      <c r="K765" s="16"/>
      <c r="L765" s="16"/>
      <c r="M765" s="16"/>
      <c r="N765" s="19"/>
      <c r="O765" s="19"/>
      <c r="P765" s="19"/>
      <c r="Q765" s="19"/>
      <c r="R765" s="19"/>
      <c r="S765" s="19"/>
      <c r="T765" s="19"/>
      <c r="U765" s="19"/>
      <c r="V765" s="59"/>
      <c r="W765" s="20"/>
      <c r="X765" s="43"/>
    </row>
    <row r="766" spans="1:24" ht="15.75" hidden="1" customHeight="1" x14ac:dyDescent="0.25">
      <c r="A766" s="16"/>
      <c r="B766" s="16"/>
      <c r="C766" s="16"/>
      <c r="D766" s="40"/>
      <c r="E766" s="17"/>
      <c r="F766" s="21"/>
      <c r="G766" s="16"/>
      <c r="H766" s="16"/>
      <c r="I766" s="22"/>
      <c r="J766" s="22"/>
      <c r="K766" s="16"/>
      <c r="L766" s="16"/>
      <c r="M766" s="16"/>
      <c r="N766" s="19"/>
      <c r="O766" s="19"/>
      <c r="P766" s="19"/>
      <c r="Q766" s="19"/>
      <c r="R766" s="19"/>
      <c r="S766" s="19"/>
      <c r="T766" s="19"/>
      <c r="U766" s="19"/>
      <c r="V766" s="59"/>
      <c r="W766" s="20"/>
      <c r="X766" s="43"/>
    </row>
    <row r="767" spans="1:24" ht="15.75" hidden="1" customHeight="1" x14ac:dyDescent="0.25">
      <c r="A767" s="16"/>
      <c r="B767" s="16"/>
      <c r="C767" s="16"/>
      <c r="D767" s="40"/>
      <c r="E767" s="17"/>
      <c r="F767" s="21"/>
      <c r="G767" s="16"/>
      <c r="H767" s="16"/>
      <c r="I767" s="22"/>
      <c r="J767" s="22"/>
      <c r="K767" s="16"/>
      <c r="L767" s="16"/>
      <c r="M767" s="16"/>
      <c r="N767" s="19"/>
      <c r="O767" s="19"/>
      <c r="P767" s="19"/>
      <c r="Q767" s="19"/>
      <c r="R767" s="19"/>
      <c r="S767" s="19"/>
      <c r="T767" s="19"/>
      <c r="U767" s="19"/>
      <c r="V767" s="59"/>
      <c r="W767" s="20"/>
      <c r="X767" s="43"/>
    </row>
    <row r="768" spans="1:24" ht="15.75" hidden="1" customHeight="1" x14ac:dyDescent="0.25">
      <c r="A768" s="16"/>
      <c r="B768" s="16"/>
      <c r="C768" s="16"/>
      <c r="D768" s="40"/>
      <c r="E768" s="17"/>
      <c r="F768" s="21"/>
      <c r="G768" s="16"/>
      <c r="H768" s="16"/>
      <c r="I768" s="22"/>
      <c r="J768" s="22"/>
      <c r="K768" s="16"/>
      <c r="L768" s="16"/>
      <c r="M768" s="16"/>
      <c r="N768" s="19"/>
      <c r="O768" s="19"/>
      <c r="P768" s="19"/>
      <c r="Q768" s="19"/>
      <c r="R768" s="19"/>
      <c r="S768" s="19"/>
      <c r="T768" s="19"/>
      <c r="U768" s="19"/>
      <c r="V768" s="59"/>
      <c r="W768" s="20"/>
      <c r="X768" s="43"/>
    </row>
    <row r="769" spans="1:24" ht="15.75" hidden="1" customHeight="1" x14ac:dyDescent="0.25">
      <c r="A769" s="16"/>
      <c r="B769" s="16"/>
      <c r="C769" s="16"/>
      <c r="D769" s="40"/>
      <c r="E769" s="17"/>
      <c r="F769" s="21"/>
      <c r="G769" s="16"/>
      <c r="H769" s="16"/>
      <c r="I769" s="22"/>
      <c r="J769" s="22"/>
      <c r="K769" s="16"/>
      <c r="L769" s="16"/>
      <c r="M769" s="16"/>
      <c r="N769" s="19"/>
      <c r="O769" s="19"/>
      <c r="P769" s="19"/>
      <c r="Q769" s="19"/>
      <c r="R769" s="19"/>
      <c r="S769" s="19"/>
      <c r="T769" s="19"/>
      <c r="U769" s="19"/>
      <c r="V769" s="59"/>
      <c r="W769" s="20"/>
      <c r="X769" s="43"/>
    </row>
    <row r="770" spans="1:24" ht="15.75" hidden="1" customHeight="1" x14ac:dyDescent="0.25">
      <c r="A770" s="16"/>
      <c r="B770" s="16"/>
      <c r="C770" s="16"/>
      <c r="D770" s="40"/>
      <c r="E770" s="17"/>
      <c r="F770" s="21"/>
      <c r="G770" s="16"/>
      <c r="H770" s="16"/>
      <c r="I770" s="22"/>
      <c r="J770" s="22"/>
      <c r="K770" s="16"/>
      <c r="L770" s="16"/>
      <c r="M770" s="16"/>
      <c r="N770" s="19"/>
      <c r="O770" s="19"/>
      <c r="P770" s="19"/>
      <c r="Q770" s="19"/>
      <c r="R770" s="19"/>
      <c r="S770" s="19"/>
      <c r="T770" s="19"/>
      <c r="U770" s="19"/>
      <c r="V770" s="59"/>
      <c r="W770" s="20"/>
      <c r="X770" s="43"/>
    </row>
    <row r="771" spans="1:24" ht="15.75" hidden="1" customHeight="1" x14ac:dyDescent="0.25">
      <c r="A771" s="16"/>
      <c r="B771" s="16"/>
      <c r="C771" s="16"/>
      <c r="D771" s="40"/>
      <c r="E771" s="17"/>
      <c r="F771" s="21"/>
      <c r="G771" s="16"/>
      <c r="H771" s="16"/>
      <c r="I771" s="22"/>
      <c r="J771" s="22"/>
      <c r="K771" s="16"/>
      <c r="L771" s="16"/>
      <c r="M771" s="16"/>
      <c r="N771" s="19"/>
      <c r="O771" s="19"/>
      <c r="P771" s="19"/>
      <c r="Q771" s="19"/>
      <c r="R771" s="19"/>
      <c r="S771" s="19"/>
      <c r="T771" s="19"/>
      <c r="U771" s="19"/>
      <c r="V771" s="59"/>
      <c r="W771" s="20"/>
      <c r="X771" s="43"/>
    </row>
    <row r="772" spans="1:24" ht="15.75" hidden="1" customHeight="1" x14ac:dyDescent="0.25">
      <c r="A772" s="16"/>
      <c r="B772" s="16"/>
      <c r="C772" s="16"/>
      <c r="D772" s="40"/>
      <c r="E772" s="17"/>
      <c r="F772" s="21"/>
      <c r="G772" s="16"/>
      <c r="H772" s="16"/>
      <c r="I772" s="22"/>
      <c r="J772" s="22"/>
      <c r="K772" s="16"/>
      <c r="L772" s="16"/>
      <c r="M772" s="16"/>
      <c r="N772" s="19"/>
      <c r="O772" s="19"/>
      <c r="P772" s="19"/>
      <c r="Q772" s="19"/>
      <c r="R772" s="19"/>
      <c r="S772" s="19"/>
      <c r="T772" s="19"/>
      <c r="U772" s="19"/>
      <c r="V772" s="59"/>
      <c r="W772" s="20"/>
      <c r="X772" s="43"/>
    </row>
    <row r="773" spans="1:24" ht="15.75" hidden="1" customHeight="1" x14ac:dyDescent="0.25">
      <c r="A773" s="16"/>
      <c r="B773" s="16"/>
      <c r="C773" s="16"/>
      <c r="D773" s="40"/>
      <c r="E773" s="17"/>
      <c r="F773" s="21"/>
      <c r="G773" s="16"/>
      <c r="H773" s="16"/>
      <c r="I773" s="22"/>
      <c r="J773" s="22"/>
      <c r="K773" s="16"/>
      <c r="L773" s="16"/>
      <c r="M773" s="16"/>
      <c r="N773" s="19"/>
      <c r="O773" s="19"/>
      <c r="P773" s="19"/>
      <c r="Q773" s="19"/>
      <c r="R773" s="19"/>
      <c r="S773" s="19"/>
      <c r="T773" s="19"/>
      <c r="U773" s="19"/>
      <c r="V773" s="59"/>
      <c r="W773" s="20"/>
      <c r="X773" s="43"/>
    </row>
    <row r="774" spans="1:24" ht="15.75" hidden="1" customHeight="1" x14ac:dyDescent="0.25">
      <c r="A774" s="16"/>
      <c r="B774" s="16"/>
      <c r="C774" s="16"/>
      <c r="D774" s="40"/>
      <c r="E774" s="17"/>
      <c r="F774" s="21"/>
      <c r="G774" s="16"/>
      <c r="H774" s="16"/>
      <c r="I774" s="22"/>
      <c r="J774" s="22"/>
      <c r="K774" s="16"/>
      <c r="L774" s="16"/>
      <c r="M774" s="16"/>
      <c r="N774" s="19"/>
      <c r="O774" s="19"/>
      <c r="P774" s="19"/>
      <c r="Q774" s="19"/>
      <c r="R774" s="19"/>
      <c r="S774" s="19"/>
      <c r="T774" s="19"/>
      <c r="U774" s="19"/>
      <c r="V774" s="59"/>
      <c r="W774" s="20"/>
      <c r="X774" s="43"/>
    </row>
    <row r="775" spans="1:24" ht="15.75" hidden="1" customHeight="1" x14ac:dyDescent="0.25">
      <c r="A775" s="16"/>
      <c r="B775" s="16"/>
      <c r="C775" s="16"/>
      <c r="D775" s="40"/>
      <c r="E775" s="17"/>
      <c r="F775" s="21"/>
      <c r="G775" s="16"/>
      <c r="H775" s="16"/>
      <c r="I775" s="22"/>
      <c r="J775" s="22"/>
      <c r="K775" s="16"/>
      <c r="L775" s="16"/>
      <c r="M775" s="16"/>
      <c r="N775" s="19"/>
      <c r="O775" s="19"/>
      <c r="P775" s="19"/>
      <c r="Q775" s="19"/>
      <c r="R775" s="19"/>
      <c r="S775" s="19"/>
      <c r="T775" s="19"/>
      <c r="U775" s="19"/>
      <c r="V775" s="59"/>
      <c r="W775" s="20"/>
      <c r="X775" s="43"/>
    </row>
    <row r="776" spans="1:24" ht="15.75" hidden="1" customHeight="1" x14ac:dyDescent="0.25">
      <c r="A776" s="16"/>
      <c r="B776" s="16"/>
      <c r="C776" s="16"/>
      <c r="D776" s="40"/>
      <c r="E776" s="17"/>
      <c r="F776" s="21"/>
      <c r="G776" s="16"/>
      <c r="H776" s="16"/>
      <c r="I776" s="22"/>
      <c r="J776" s="22"/>
      <c r="K776" s="16"/>
      <c r="L776" s="16"/>
      <c r="M776" s="16"/>
      <c r="N776" s="19"/>
      <c r="O776" s="19"/>
      <c r="P776" s="19"/>
      <c r="Q776" s="19"/>
      <c r="R776" s="19"/>
      <c r="S776" s="19"/>
      <c r="T776" s="19"/>
      <c r="U776" s="19"/>
      <c r="V776" s="59"/>
      <c r="W776" s="20"/>
      <c r="X776" s="43"/>
    </row>
    <row r="777" spans="1:24" ht="15.75" hidden="1" customHeight="1" x14ac:dyDescent="0.25">
      <c r="A777" s="16"/>
      <c r="B777" s="16"/>
      <c r="C777" s="16"/>
      <c r="D777" s="40"/>
      <c r="E777" s="17"/>
      <c r="F777" s="21"/>
      <c r="G777" s="16"/>
      <c r="H777" s="16"/>
      <c r="I777" s="22"/>
      <c r="J777" s="22"/>
      <c r="K777" s="16"/>
      <c r="L777" s="16"/>
      <c r="M777" s="16"/>
      <c r="N777" s="19"/>
      <c r="O777" s="19"/>
      <c r="P777" s="19"/>
      <c r="Q777" s="19"/>
      <c r="R777" s="19"/>
      <c r="S777" s="19"/>
      <c r="T777" s="19"/>
      <c r="U777" s="19"/>
      <c r="V777" s="59"/>
      <c r="W777" s="20"/>
      <c r="X777" s="43"/>
    </row>
    <row r="778" spans="1:24" ht="15.75" hidden="1" customHeight="1" x14ac:dyDescent="0.25">
      <c r="A778" s="16"/>
      <c r="B778" s="16"/>
      <c r="C778" s="16"/>
      <c r="D778" s="40"/>
      <c r="E778" s="17"/>
      <c r="F778" s="21"/>
      <c r="G778" s="16"/>
      <c r="H778" s="16"/>
      <c r="I778" s="22"/>
      <c r="J778" s="22"/>
      <c r="K778" s="16"/>
      <c r="L778" s="16"/>
      <c r="M778" s="16"/>
      <c r="N778" s="19"/>
      <c r="O778" s="19"/>
      <c r="P778" s="19"/>
      <c r="Q778" s="19"/>
      <c r="R778" s="19"/>
      <c r="S778" s="19"/>
      <c r="T778" s="19"/>
      <c r="U778" s="19"/>
      <c r="V778" s="59"/>
      <c r="W778" s="20"/>
      <c r="X778" s="43"/>
    </row>
    <row r="779" spans="1:24" ht="15.75" hidden="1" customHeight="1" x14ac:dyDescent="0.25">
      <c r="A779" s="16"/>
      <c r="B779" s="16"/>
      <c r="C779" s="16"/>
      <c r="D779" s="40"/>
      <c r="E779" s="17"/>
      <c r="F779" s="21"/>
      <c r="G779" s="16"/>
      <c r="H779" s="16"/>
      <c r="I779" s="22"/>
      <c r="J779" s="22"/>
      <c r="K779" s="16"/>
      <c r="L779" s="16"/>
      <c r="M779" s="16"/>
      <c r="N779" s="19"/>
      <c r="O779" s="19"/>
      <c r="P779" s="19"/>
      <c r="Q779" s="19"/>
      <c r="R779" s="19"/>
      <c r="S779" s="19"/>
      <c r="T779" s="19"/>
      <c r="U779" s="19"/>
      <c r="V779" s="59"/>
      <c r="W779" s="20"/>
      <c r="X779" s="43"/>
    </row>
    <row r="780" spans="1:24" ht="15.75" hidden="1" customHeight="1" x14ac:dyDescent="0.25">
      <c r="A780" s="16"/>
      <c r="B780" s="16"/>
      <c r="C780" s="16"/>
      <c r="D780" s="40"/>
      <c r="E780" s="17"/>
      <c r="F780" s="21"/>
      <c r="G780" s="16"/>
      <c r="H780" s="16"/>
      <c r="I780" s="22"/>
      <c r="J780" s="22"/>
      <c r="K780" s="16"/>
      <c r="L780" s="16"/>
      <c r="M780" s="16"/>
      <c r="N780" s="19"/>
      <c r="O780" s="19"/>
      <c r="P780" s="19"/>
      <c r="Q780" s="19"/>
      <c r="R780" s="19"/>
      <c r="S780" s="19"/>
      <c r="T780" s="19"/>
      <c r="U780" s="19"/>
      <c r="V780" s="59"/>
      <c r="W780" s="20"/>
      <c r="X780" s="43"/>
    </row>
    <row r="781" spans="1:24" ht="15.75" hidden="1" customHeight="1" x14ac:dyDescent="0.25">
      <c r="A781" s="16"/>
      <c r="B781" s="16"/>
      <c r="C781" s="16"/>
      <c r="D781" s="40"/>
      <c r="E781" s="17"/>
      <c r="F781" s="21"/>
      <c r="G781" s="16"/>
      <c r="H781" s="16"/>
      <c r="I781" s="22"/>
      <c r="J781" s="22"/>
      <c r="K781" s="16"/>
      <c r="L781" s="16"/>
      <c r="M781" s="16"/>
      <c r="N781" s="19"/>
      <c r="O781" s="19"/>
      <c r="P781" s="19"/>
      <c r="Q781" s="19"/>
      <c r="R781" s="19"/>
      <c r="S781" s="19"/>
      <c r="T781" s="19"/>
      <c r="U781" s="19"/>
      <c r="V781" s="59"/>
      <c r="W781" s="20"/>
      <c r="X781" s="43"/>
    </row>
    <row r="782" spans="1:24" ht="15.75" hidden="1" customHeight="1" x14ac:dyDescent="0.25">
      <c r="A782" s="16"/>
      <c r="B782" s="16"/>
      <c r="C782" s="16"/>
      <c r="D782" s="40"/>
      <c r="E782" s="17"/>
      <c r="F782" s="21"/>
      <c r="G782" s="16"/>
      <c r="H782" s="16"/>
      <c r="I782" s="22"/>
      <c r="J782" s="22"/>
      <c r="K782" s="16"/>
      <c r="L782" s="16"/>
      <c r="M782" s="16"/>
      <c r="N782" s="19"/>
      <c r="O782" s="19"/>
      <c r="P782" s="19"/>
      <c r="Q782" s="19"/>
      <c r="R782" s="19"/>
      <c r="S782" s="19"/>
      <c r="T782" s="19"/>
      <c r="U782" s="19"/>
      <c r="V782" s="59"/>
      <c r="W782" s="20"/>
      <c r="X782" s="43"/>
    </row>
    <row r="783" spans="1:24" ht="15.75" hidden="1" customHeight="1" x14ac:dyDescent="0.25">
      <c r="A783" s="16"/>
      <c r="B783" s="16"/>
      <c r="C783" s="16"/>
      <c r="D783" s="40"/>
      <c r="E783" s="17"/>
      <c r="F783" s="21"/>
      <c r="G783" s="16"/>
      <c r="H783" s="16"/>
      <c r="I783" s="22"/>
      <c r="J783" s="22"/>
      <c r="K783" s="16"/>
      <c r="L783" s="16"/>
      <c r="M783" s="16"/>
      <c r="N783" s="19"/>
      <c r="O783" s="19"/>
      <c r="P783" s="19"/>
      <c r="Q783" s="19"/>
      <c r="R783" s="19"/>
      <c r="S783" s="19"/>
      <c r="T783" s="19"/>
      <c r="U783" s="19"/>
      <c r="V783" s="59"/>
      <c r="W783" s="20"/>
      <c r="X783" s="43"/>
    </row>
    <row r="784" spans="1:24" ht="15.75" hidden="1" customHeight="1" x14ac:dyDescent="0.25">
      <c r="A784" s="16"/>
      <c r="B784" s="16"/>
      <c r="C784" s="16"/>
      <c r="D784" s="40"/>
      <c r="E784" s="17"/>
      <c r="F784" s="21"/>
      <c r="G784" s="16"/>
      <c r="H784" s="16"/>
      <c r="I784" s="22"/>
      <c r="J784" s="22"/>
      <c r="K784" s="16"/>
      <c r="L784" s="16"/>
      <c r="M784" s="16"/>
      <c r="N784" s="19"/>
      <c r="O784" s="19"/>
      <c r="P784" s="19"/>
      <c r="Q784" s="19"/>
      <c r="R784" s="19"/>
      <c r="S784" s="19"/>
      <c r="T784" s="19"/>
      <c r="U784" s="19"/>
      <c r="V784" s="59"/>
      <c r="W784" s="20"/>
      <c r="X784" s="43"/>
    </row>
    <row r="785" spans="1:24" ht="15.75" hidden="1" customHeight="1" x14ac:dyDescent="0.25">
      <c r="A785" s="16"/>
      <c r="B785" s="16"/>
      <c r="C785" s="16"/>
      <c r="D785" s="40"/>
      <c r="E785" s="17"/>
      <c r="F785" s="21"/>
      <c r="G785" s="16"/>
      <c r="H785" s="16"/>
      <c r="I785" s="22"/>
      <c r="J785" s="22"/>
      <c r="K785" s="16"/>
      <c r="L785" s="16"/>
      <c r="M785" s="16"/>
      <c r="N785" s="19"/>
      <c r="O785" s="19"/>
      <c r="P785" s="19"/>
      <c r="Q785" s="19"/>
      <c r="R785" s="19"/>
      <c r="S785" s="19"/>
      <c r="T785" s="19"/>
      <c r="U785" s="19"/>
      <c r="V785" s="59"/>
      <c r="W785" s="20"/>
      <c r="X785" s="43"/>
    </row>
    <row r="786" spans="1:24" ht="15.75" hidden="1" customHeight="1" x14ac:dyDescent="0.25">
      <c r="A786" s="16"/>
      <c r="B786" s="16"/>
      <c r="C786" s="16"/>
      <c r="D786" s="40"/>
      <c r="E786" s="17"/>
      <c r="F786" s="21"/>
      <c r="G786" s="16"/>
      <c r="H786" s="16"/>
      <c r="I786" s="22"/>
      <c r="J786" s="22"/>
      <c r="K786" s="16"/>
      <c r="L786" s="16"/>
      <c r="M786" s="16"/>
      <c r="N786" s="19"/>
      <c r="O786" s="19"/>
      <c r="P786" s="19"/>
      <c r="Q786" s="19"/>
      <c r="R786" s="19"/>
      <c r="S786" s="19"/>
      <c r="T786" s="19"/>
      <c r="U786" s="19"/>
      <c r="V786" s="59"/>
      <c r="W786" s="20"/>
      <c r="X786" s="43"/>
    </row>
    <row r="787" spans="1:24" ht="15.75" hidden="1" customHeight="1" x14ac:dyDescent="0.25">
      <c r="A787" s="16"/>
      <c r="B787" s="16"/>
      <c r="C787" s="16"/>
      <c r="D787" s="40"/>
      <c r="E787" s="17"/>
      <c r="F787" s="21"/>
      <c r="G787" s="16"/>
      <c r="H787" s="16"/>
      <c r="I787" s="22"/>
      <c r="J787" s="22"/>
      <c r="K787" s="16"/>
      <c r="L787" s="16"/>
      <c r="M787" s="16"/>
      <c r="N787" s="19"/>
      <c r="O787" s="19"/>
      <c r="P787" s="19"/>
      <c r="Q787" s="19"/>
      <c r="R787" s="19"/>
      <c r="S787" s="19"/>
      <c r="T787" s="19"/>
      <c r="U787" s="19"/>
      <c r="V787" s="59"/>
      <c r="W787" s="20"/>
      <c r="X787" s="43"/>
    </row>
    <row r="788" spans="1:24" ht="15.75" hidden="1" customHeight="1" x14ac:dyDescent="0.25">
      <c r="A788" s="16"/>
      <c r="B788" s="16"/>
      <c r="C788" s="16"/>
      <c r="D788" s="40"/>
      <c r="E788" s="17"/>
      <c r="F788" s="21"/>
      <c r="G788" s="16"/>
      <c r="H788" s="16"/>
      <c r="I788" s="22"/>
      <c r="J788" s="22"/>
      <c r="K788" s="16"/>
      <c r="L788" s="16"/>
      <c r="M788" s="16"/>
      <c r="N788" s="19"/>
      <c r="O788" s="19"/>
      <c r="P788" s="19"/>
      <c r="Q788" s="19"/>
      <c r="R788" s="19"/>
      <c r="S788" s="19"/>
      <c r="T788" s="19"/>
      <c r="U788" s="19"/>
      <c r="V788" s="59"/>
      <c r="W788" s="20"/>
      <c r="X788" s="43"/>
    </row>
    <row r="789" spans="1:24" ht="15.75" hidden="1" customHeight="1" x14ac:dyDescent="0.25">
      <c r="A789" s="16"/>
      <c r="B789" s="16"/>
      <c r="C789" s="16"/>
      <c r="D789" s="40"/>
      <c r="E789" s="17"/>
      <c r="F789" s="21"/>
      <c r="G789" s="16"/>
      <c r="H789" s="16"/>
      <c r="I789" s="22"/>
      <c r="J789" s="22"/>
      <c r="K789" s="16"/>
      <c r="L789" s="16"/>
      <c r="M789" s="16"/>
      <c r="N789" s="19"/>
      <c r="O789" s="19"/>
      <c r="P789" s="19"/>
      <c r="Q789" s="19"/>
      <c r="R789" s="19"/>
      <c r="S789" s="19"/>
      <c r="T789" s="19"/>
      <c r="U789" s="19"/>
      <c r="V789" s="59"/>
      <c r="W789" s="20"/>
      <c r="X789" s="43"/>
    </row>
    <row r="790" spans="1:24" ht="15.75" hidden="1" customHeight="1" x14ac:dyDescent="0.25">
      <c r="A790" s="16"/>
      <c r="B790" s="16"/>
      <c r="C790" s="16"/>
      <c r="D790" s="40"/>
      <c r="E790" s="17"/>
      <c r="F790" s="21"/>
      <c r="G790" s="16"/>
      <c r="H790" s="16"/>
      <c r="I790" s="22"/>
      <c r="J790" s="22"/>
      <c r="K790" s="16"/>
      <c r="L790" s="16"/>
      <c r="M790" s="16"/>
      <c r="N790" s="19"/>
      <c r="O790" s="19"/>
      <c r="P790" s="19"/>
      <c r="Q790" s="19"/>
      <c r="R790" s="19"/>
      <c r="S790" s="19"/>
      <c r="T790" s="19"/>
      <c r="U790" s="19"/>
      <c r="V790" s="59"/>
      <c r="W790" s="20"/>
      <c r="X790" s="43"/>
    </row>
    <row r="791" spans="1:24" ht="15.75" hidden="1" customHeight="1" x14ac:dyDescent="0.25">
      <c r="A791" s="16"/>
      <c r="B791" s="16"/>
      <c r="C791" s="16"/>
      <c r="D791" s="40"/>
      <c r="E791" s="17"/>
      <c r="F791" s="21"/>
      <c r="G791" s="16"/>
      <c r="H791" s="16"/>
      <c r="I791" s="22"/>
      <c r="J791" s="22"/>
      <c r="K791" s="16"/>
      <c r="L791" s="16"/>
      <c r="M791" s="16"/>
      <c r="N791" s="19"/>
      <c r="O791" s="19"/>
      <c r="P791" s="19"/>
      <c r="Q791" s="19"/>
      <c r="R791" s="19"/>
      <c r="S791" s="19"/>
      <c r="T791" s="19"/>
      <c r="U791" s="19"/>
      <c r="V791" s="59"/>
      <c r="W791" s="20"/>
      <c r="X791" s="43"/>
    </row>
    <row r="792" spans="1:24" ht="15.75" hidden="1" customHeight="1" x14ac:dyDescent="0.25">
      <c r="A792" s="16"/>
      <c r="B792" s="16"/>
      <c r="C792" s="16"/>
      <c r="D792" s="40"/>
      <c r="E792" s="17"/>
      <c r="F792" s="21"/>
      <c r="G792" s="16"/>
      <c r="H792" s="16"/>
      <c r="I792" s="22"/>
      <c r="J792" s="22"/>
      <c r="K792" s="16"/>
      <c r="L792" s="16"/>
      <c r="M792" s="16"/>
      <c r="N792" s="19"/>
      <c r="O792" s="19"/>
      <c r="P792" s="19"/>
      <c r="Q792" s="19"/>
      <c r="R792" s="19"/>
      <c r="S792" s="19"/>
      <c r="T792" s="19"/>
      <c r="U792" s="19"/>
      <c r="V792" s="59"/>
      <c r="W792" s="20"/>
      <c r="X792" s="43"/>
    </row>
    <row r="793" spans="1:24" ht="15.75" hidden="1" customHeight="1" x14ac:dyDescent="0.25">
      <c r="A793" s="16"/>
      <c r="B793" s="16"/>
      <c r="C793" s="16"/>
      <c r="D793" s="40"/>
      <c r="E793" s="17"/>
      <c r="F793" s="21"/>
      <c r="G793" s="16"/>
      <c r="H793" s="16"/>
      <c r="I793" s="22"/>
      <c r="J793" s="22"/>
      <c r="K793" s="16"/>
      <c r="L793" s="16"/>
      <c r="M793" s="16"/>
      <c r="N793" s="19"/>
      <c r="O793" s="19"/>
      <c r="P793" s="19"/>
      <c r="Q793" s="19"/>
      <c r="R793" s="19"/>
      <c r="S793" s="19"/>
      <c r="T793" s="19"/>
      <c r="U793" s="19"/>
      <c r="V793" s="59"/>
      <c r="W793" s="20"/>
      <c r="X793" s="43"/>
    </row>
    <row r="794" spans="1:24" ht="15.75" hidden="1" customHeight="1" x14ac:dyDescent="0.25">
      <c r="A794" s="16"/>
      <c r="B794" s="16"/>
      <c r="C794" s="16"/>
      <c r="D794" s="40"/>
      <c r="E794" s="17"/>
      <c r="F794" s="21"/>
      <c r="G794" s="16"/>
      <c r="H794" s="16"/>
      <c r="I794" s="22"/>
      <c r="J794" s="22"/>
      <c r="K794" s="16"/>
      <c r="L794" s="16"/>
      <c r="M794" s="16"/>
      <c r="N794" s="19"/>
      <c r="O794" s="19"/>
      <c r="P794" s="19"/>
      <c r="Q794" s="19"/>
      <c r="R794" s="19"/>
      <c r="S794" s="19"/>
      <c r="T794" s="19"/>
      <c r="U794" s="19"/>
      <c r="V794" s="59"/>
      <c r="W794" s="20"/>
      <c r="X794" s="43"/>
    </row>
    <row r="795" spans="1:24" ht="15.75" hidden="1" customHeight="1" x14ac:dyDescent="0.25">
      <c r="A795" s="16"/>
      <c r="B795" s="16"/>
      <c r="C795" s="16"/>
      <c r="D795" s="40"/>
      <c r="E795" s="17"/>
      <c r="F795" s="21"/>
      <c r="G795" s="16"/>
      <c r="H795" s="16"/>
      <c r="I795" s="22"/>
      <c r="J795" s="22"/>
      <c r="K795" s="16"/>
      <c r="L795" s="16"/>
      <c r="M795" s="16"/>
      <c r="N795" s="19"/>
      <c r="O795" s="19"/>
      <c r="P795" s="19"/>
      <c r="Q795" s="19"/>
      <c r="R795" s="19"/>
      <c r="S795" s="19"/>
      <c r="T795" s="19"/>
      <c r="U795" s="19"/>
      <c r="V795" s="59"/>
      <c r="W795" s="20"/>
      <c r="X795" s="43"/>
    </row>
    <row r="796" spans="1:24" ht="15.75" hidden="1" customHeight="1" x14ac:dyDescent="0.25">
      <c r="A796" s="16"/>
      <c r="B796" s="16"/>
      <c r="C796" s="16"/>
      <c r="D796" s="40"/>
      <c r="E796" s="17"/>
      <c r="F796" s="21"/>
      <c r="G796" s="16"/>
      <c r="H796" s="16"/>
      <c r="I796" s="22"/>
      <c r="J796" s="22"/>
      <c r="K796" s="16"/>
      <c r="L796" s="16"/>
      <c r="M796" s="16"/>
      <c r="N796" s="19"/>
      <c r="O796" s="19"/>
      <c r="P796" s="19"/>
      <c r="Q796" s="19"/>
      <c r="R796" s="19"/>
      <c r="S796" s="19"/>
      <c r="T796" s="19"/>
      <c r="U796" s="19"/>
      <c r="V796" s="59"/>
      <c r="W796" s="20"/>
      <c r="X796" s="43"/>
    </row>
    <row r="797" spans="1:24" ht="15.75" hidden="1" customHeight="1" x14ac:dyDescent="0.25">
      <c r="A797" s="16"/>
      <c r="B797" s="16"/>
      <c r="C797" s="16"/>
      <c r="D797" s="40"/>
      <c r="E797" s="17"/>
      <c r="F797" s="21"/>
      <c r="G797" s="16"/>
      <c r="H797" s="16"/>
      <c r="I797" s="22"/>
      <c r="J797" s="22"/>
      <c r="K797" s="16"/>
      <c r="L797" s="16"/>
      <c r="M797" s="16"/>
      <c r="N797" s="19"/>
      <c r="O797" s="19"/>
      <c r="P797" s="19"/>
      <c r="Q797" s="19"/>
      <c r="R797" s="19"/>
      <c r="S797" s="19"/>
      <c r="T797" s="19"/>
      <c r="U797" s="19"/>
      <c r="V797" s="59"/>
      <c r="W797" s="20"/>
      <c r="X797" s="43"/>
    </row>
    <row r="798" spans="1:24" ht="15.75" hidden="1" customHeight="1" x14ac:dyDescent="0.25">
      <c r="A798" s="16"/>
      <c r="B798" s="16"/>
      <c r="C798" s="16"/>
      <c r="D798" s="40"/>
      <c r="E798" s="17"/>
      <c r="F798" s="21"/>
      <c r="G798" s="16"/>
      <c r="H798" s="16"/>
      <c r="I798" s="22"/>
      <c r="J798" s="22"/>
      <c r="K798" s="16"/>
      <c r="L798" s="16"/>
      <c r="M798" s="16"/>
      <c r="N798" s="19"/>
      <c r="O798" s="19"/>
      <c r="P798" s="19"/>
      <c r="Q798" s="19"/>
      <c r="R798" s="19"/>
      <c r="S798" s="19"/>
      <c r="T798" s="19"/>
      <c r="U798" s="19"/>
      <c r="V798" s="59"/>
      <c r="W798" s="20"/>
      <c r="X798" s="43"/>
    </row>
    <row r="799" spans="1:24" ht="15.75" hidden="1" customHeight="1" x14ac:dyDescent="0.25">
      <c r="A799" s="16"/>
      <c r="B799" s="16"/>
      <c r="C799" s="16"/>
      <c r="D799" s="40"/>
      <c r="E799" s="17"/>
      <c r="F799" s="21"/>
      <c r="G799" s="16"/>
      <c r="H799" s="16"/>
      <c r="I799" s="22"/>
      <c r="J799" s="22"/>
      <c r="K799" s="16"/>
      <c r="L799" s="16"/>
      <c r="M799" s="16"/>
      <c r="N799" s="19"/>
      <c r="O799" s="19"/>
      <c r="P799" s="19"/>
      <c r="Q799" s="19"/>
      <c r="R799" s="19"/>
      <c r="S799" s="19"/>
      <c r="T799" s="19"/>
      <c r="U799" s="19"/>
      <c r="V799" s="59"/>
      <c r="W799" s="20"/>
      <c r="X799" s="43"/>
    </row>
    <row r="800" spans="1:24" ht="15.75" hidden="1" customHeight="1" x14ac:dyDescent="0.25">
      <c r="A800" s="16"/>
      <c r="B800" s="16"/>
      <c r="C800" s="16"/>
      <c r="D800" s="40"/>
      <c r="E800" s="17"/>
      <c r="F800" s="21"/>
      <c r="G800" s="16"/>
      <c r="H800" s="16"/>
      <c r="I800" s="22"/>
      <c r="J800" s="22"/>
      <c r="K800" s="16"/>
      <c r="L800" s="16"/>
      <c r="M800" s="16"/>
      <c r="N800" s="19"/>
      <c r="O800" s="19"/>
      <c r="P800" s="19"/>
      <c r="Q800" s="19"/>
      <c r="R800" s="19"/>
      <c r="S800" s="19"/>
      <c r="T800" s="19"/>
      <c r="U800" s="19"/>
      <c r="V800" s="59"/>
      <c r="W800" s="20"/>
      <c r="X800" s="43"/>
    </row>
    <row r="801" spans="1:24" ht="15.75" hidden="1" customHeight="1" x14ac:dyDescent="0.25">
      <c r="A801" s="16"/>
      <c r="B801" s="16"/>
      <c r="C801" s="16"/>
      <c r="D801" s="40"/>
      <c r="E801" s="17"/>
      <c r="F801" s="21"/>
      <c r="G801" s="16"/>
      <c r="H801" s="16"/>
      <c r="I801" s="22"/>
      <c r="J801" s="22"/>
      <c r="K801" s="16"/>
      <c r="L801" s="16"/>
      <c r="M801" s="16"/>
      <c r="N801" s="19"/>
      <c r="O801" s="19"/>
      <c r="P801" s="19"/>
      <c r="Q801" s="19"/>
      <c r="R801" s="19"/>
      <c r="S801" s="19"/>
      <c r="T801" s="19"/>
      <c r="U801" s="19"/>
      <c r="V801" s="59"/>
      <c r="W801" s="20"/>
      <c r="X801" s="43"/>
    </row>
    <row r="802" spans="1:24" ht="15.75" hidden="1" customHeight="1" x14ac:dyDescent="0.25">
      <c r="A802" s="16"/>
      <c r="B802" s="16"/>
      <c r="C802" s="16"/>
      <c r="D802" s="40"/>
      <c r="E802" s="17"/>
      <c r="F802" s="21"/>
      <c r="G802" s="16"/>
      <c r="H802" s="16"/>
      <c r="I802" s="22"/>
      <c r="J802" s="22"/>
      <c r="K802" s="16"/>
      <c r="L802" s="16"/>
      <c r="M802" s="16"/>
      <c r="N802" s="19"/>
      <c r="O802" s="19"/>
      <c r="P802" s="19"/>
      <c r="Q802" s="19"/>
      <c r="R802" s="19"/>
      <c r="S802" s="19"/>
      <c r="T802" s="19"/>
      <c r="U802" s="19"/>
      <c r="V802" s="59"/>
      <c r="W802" s="20"/>
      <c r="X802" s="43"/>
    </row>
    <row r="803" spans="1:24" ht="15.75" hidden="1" customHeight="1" x14ac:dyDescent="0.25">
      <c r="A803" s="16"/>
      <c r="B803" s="16"/>
      <c r="C803" s="16"/>
      <c r="D803" s="40"/>
      <c r="E803" s="17"/>
      <c r="F803" s="21"/>
      <c r="G803" s="16"/>
      <c r="H803" s="16"/>
      <c r="I803" s="22"/>
      <c r="J803" s="22"/>
      <c r="K803" s="16"/>
      <c r="L803" s="16"/>
      <c r="M803" s="16"/>
      <c r="N803" s="19"/>
      <c r="O803" s="19"/>
      <c r="P803" s="19"/>
      <c r="Q803" s="19"/>
      <c r="R803" s="19"/>
      <c r="S803" s="19"/>
      <c r="T803" s="19"/>
      <c r="U803" s="19"/>
      <c r="V803" s="59"/>
      <c r="W803" s="20"/>
      <c r="X803" s="43"/>
    </row>
    <row r="804" spans="1:24" ht="15.75" hidden="1" customHeight="1" x14ac:dyDescent="0.25">
      <c r="A804" s="16"/>
      <c r="B804" s="16"/>
      <c r="C804" s="16"/>
      <c r="D804" s="40"/>
      <c r="E804" s="17"/>
      <c r="F804" s="21"/>
      <c r="G804" s="16"/>
      <c r="H804" s="16"/>
      <c r="I804" s="22"/>
      <c r="J804" s="22"/>
      <c r="K804" s="16"/>
      <c r="L804" s="16"/>
      <c r="M804" s="16"/>
      <c r="N804" s="19"/>
      <c r="O804" s="19"/>
      <c r="P804" s="19"/>
      <c r="Q804" s="19"/>
      <c r="R804" s="19"/>
      <c r="S804" s="19"/>
      <c r="T804" s="19"/>
      <c r="U804" s="19"/>
      <c r="V804" s="59"/>
      <c r="W804" s="20"/>
      <c r="X804" s="43"/>
    </row>
    <row r="805" spans="1:24" ht="15.75" hidden="1" customHeight="1" x14ac:dyDescent="0.25">
      <c r="A805" s="16"/>
      <c r="B805" s="16"/>
      <c r="C805" s="16"/>
      <c r="D805" s="40"/>
      <c r="E805" s="17"/>
      <c r="F805" s="21"/>
      <c r="G805" s="16"/>
      <c r="H805" s="16"/>
      <c r="I805" s="22"/>
      <c r="J805" s="22"/>
      <c r="K805" s="16"/>
      <c r="L805" s="16"/>
      <c r="M805" s="16"/>
      <c r="N805" s="19"/>
      <c r="O805" s="19"/>
      <c r="P805" s="19"/>
      <c r="Q805" s="19"/>
      <c r="R805" s="19"/>
      <c r="S805" s="19"/>
      <c r="T805" s="19"/>
      <c r="U805" s="19"/>
      <c r="V805" s="59"/>
      <c r="W805" s="20"/>
      <c r="X805" s="43"/>
    </row>
    <row r="806" spans="1:24" ht="15.75" hidden="1" customHeight="1" x14ac:dyDescent="0.25">
      <c r="A806" s="16"/>
      <c r="B806" s="16"/>
      <c r="C806" s="16"/>
      <c r="D806" s="40"/>
      <c r="E806" s="17"/>
      <c r="F806" s="21"/>
      <c r="G806" s="16"/>
      <c r="H806" s="16"/>
      <c r="I806" s="22"/>
      <c r="J806" s="22"/>
      <c r="K806" s="16"/>
      <c r="L806" s="16"/>
      <c r="M806" s="16"/>
      <c r="N806" s="19"/>
      <c r="O806" s="19"/>
      <c r="P806" s="19"/>
      <c r="Q806" s="19"/>
      <c r="R806" s="19"/>
      <c r="S806" s="19"/>
      <c r="T806" s="19"/>
      <c r="U806" s="19"/>
      <c r="V806" s="59"/>
      <c r="W806" s="20"/>
      <c r="X806" s="43"/>
    </row>
    <row r="807" spans="1:24" ht="15.75" hidden="1" customHeight="1" x14ac:dyDescent="0.25">
      <c r="A807" s="16"/>
      <c r="B807" s="16"/>
      <c r="C807" s="16"/>
      <c r="D807" s="40"/>
      <c r="E807" s="17"/>
      <c r="F807" s="21"/>
      <c r="G807" s="16"/>
      <c r="H807" s="16"/>
      <c r="I807" s="22"/>
      <c r="J807" s="22"/>
      <c r="K807" s="16"/>
      <c r="L807" s="16"/>
      <c r="M807" s="16"/>
      <c r="N807" s="19"/>
      <c r="O807" s="19"/>
      <c r="P807" s="19"/>
      <c r="Q807" s="19"/>
      <c r="R807" s="19"/>
      <c r="S807" s="19"/>
      <c r="T807" s="19"/>
      <c r="U807" s="19"/>
      <c r="V807" s="59"/>
      <c r="W807" s="20"/>
      <c r="X807" s="43"/>
    </row>
    <row r="808" spans="1:24" ht="15.75" hidden="1" customHeight="1" x14ac:dyDescent="0.25">
      <c r="A808" s="16"/>
      <c r="B808" s="16"/>
      <c r="C808" s="16"/>
      <c r="D808" s="40"/>
      <c r="E808" s="17"/>
      <c r="F808" s="21"/>
      <c r="G808" s="16"/>
      <c r="H808" s="16"/>
      <c r="I808" s="22"/>
      <c r="J808" s="22"/>
      <c r="K808" s="16"/>
      <c r="L808" s="16"/>
      <c r="M808" s="16"/>
      <c r="N808" s="19"/>
      <c r="O808" s="19"/>
      <c r="P808" s="19"/>
      <c r="Q808" s="19"/>
      <c r="R808" s="19"/>
      <c r="S808" s="19"/>
      <c r="T808" s="19"/>
      <c r="U808" s="19"/>
      <c r="V808" s="59"/>
      <c r="W808" s="20"/>
      <c r="X808" s="43"/>
    </row>
    <row r="809" spans="1:24" ht="15.75" hidden="1" customHeight="1" x14ac:dyDescent="0.25">
      <c r="A809" s="16"/>
      <c r="B809" s="16"/>
      <c r="C809" s="16"/>
      <c r="D809" s="40"/>
      <c r="E809" s="17"/>
      <c r="F809" s="21"/>
      <c r="G809" s="16"/>
      <c r="H809" s="16"/>
      <c r="I809" s="22"/>
      <c r="J809" s="22"/>
      <c r="K809" s="16"/>
      <c r="L809" s="16"/>
      <c r="M809" s="16"/>
      <c r="N809" s="19"/>
      <c r="O809" s="19"/>
      <c r="P809" s="19"/>
      <c r="Q809" s="19"/>
      <c r="R809" s="19"/>
      <c r="S809" s="19"/>
      <c r="T809" s="19"/>
      <c r="U809" s="19"/>
      <c r="V809" s="59"/>
      <c r="W809" s="20"/>
      <c r="X809" s="43"/>
    </row>
    <row r="810" spans="1:24" ht="15.75" hidden="1" customHeight="1" x14ac:dyDescent="0.25">
      <c r="A810" s="16"/>
      <c r="B810" s="16"/>
      <c r="C810" s="16"/>
      <c r="D810" s="40"/>
      <c r="E810" s="17"/>
      <c r="F810" s="21"/>
      <c r="G810" s="16"/>
      <c r="H810" s="16"/>
      <c r="I810" s="22"/>
      <c r="J810" s="22"/>
      <c r="K810" s="16"/>
      <c r="L810" s="16"/>
      <c r="M810" s="16"/>
      <c r="N810" s="19"/>
      <c r="O810" s="19"/>
      <c r="P810" s="19"/>
      <c r="Q810" s="19"/>
      <c r="R810" s="19"/>
      <c r="S810" s="19"/>
      <c r="T810" s="19"/>
      <c r="U810" s="19"/>
      <c r="V810" s="59"/>
      <c r="W810" s="20"/>
      <c r="X810" s="43"/>
    </row>
    <row r="811" spans="1:24" ht="15.75" hidden="1" customHeight="1" x14ac:dyDescent="0.25">
      <c r="A811" s="16"/>
      <c r="B811" s="16"/>
      <c r="C811" s="16"/>
      <c r="D811" s="40"/>
      <c r="E811" s="17"/>
      <c r="F811" s="21"/>
      <c r="G811" s="16"/>
      <c r="H811" s="16"/>
      <c r="I811" s="22"/>
      <c r="J811" s="22"/>
      <c r="K811" s="16"/>
      <c r="L811" s="16"/>
      <c r="M811" s="16"/>
      <c r="N811" s="19"/>
      <c r="O811" s="19"/>
      <c r="P811" s="19"/>
      <c r="Q811" s="19"/>
      <c r="R811" s="19"/>
      <c r="S811" s="19"/>
      <c r="T811" s="19"/>
      <c r="U811" s="19"/>
      <c r="V811" s="59"/>
      <c r="W811" s="20"/>
      <c r="X811" s="43"/>
    </row>
    <row r="812" spans="1:24" ht="15.75" hidden="1" customHeight="1" x14ac:dyDescent="0.25">
      <c r="A812" s="16"/>
      <c r="B812" s="16"/>
      <c r="C812" s="16"/>
      <c r="D812" s="40"/>
      <c r="E812" s="17"/>
      <c r="F812" s="21"/>
      <c r="G812" s="16"/>
      <c r="H812" s="16"/>
      <c r="I812" s="22"/>
      <c r="J812" s="22"/>
      <c r="K812" s="16"/>
      <c r="L812" s="16"/>
      <c r="M812" s="16"/>
      <c r="N812" s="19"/>
      <c r="O812" s="19"/>
      <c r="P812" s="19"/>
      <c r="Q812" s="19"/>
      <c r="R812" s="19"/>
      <c r="S812" s="19"/>
      <c r="T812" s="19"/>
      <c r="U812" s="19"/>
      <c r="V812" s="59"/>
      <c r="W812" s="20"/>
      <c r="X812" s="43"/>
    </row>
    <row r="813" spans="1:24" ht="15.75" hidden="1" customHeight="1" x14ac:dyDescent="0.25">
      <c r="A813" s="16"/>
      <c r="B813" s="16"/>
      <c r="C813" s="16"/>
      <c r="D813" s="40"/>
      <c r="E813" s="17"/>
      <c r="F813" s="21"/>
      <c r="G813" s="16"/>
      <c r="H813" s="16"/>
      <c r="I813" s="22"/>
      <c r="J813" s="22"/>
      <c r="K813" s="16"/>
      <c r="L813" s="16"/>
      <c r="M813" s="16"/>
      <c r="N813" s="19"/>
      <c r="O813" s="19"/>
      <c r="P813" s="19"/>
      <c r="Q813" s="19"/>
      <c r="R813" s="19"/>
      <c r="S813" s="19"/>
      <c r="T813" s="19"/>
      <c r="U813" s="19"/>
      <c r="V813" s="59"/>
      <c r="W813" s="20"/>
      <c r="X813" s="43"/>
    </row>
    <row r="814" spans="1:24" ht="15.75" hidden="1" customHeight="1" x14ac:dyDescent="0.25">
      <c r="A814" s="16"/>
      <c r="B814" s="16"/>
      <c r="C814" s="16"/>
      <c r="D814" s="40"/>
      <c r="E814" s="17"/>
      <c r="F814" s="21"/>
      <c r="G814" s="16"/>
      <c r="H814" s="16"/>
      <c r="I814" s="22"/>
      <c r="J814" s="22"/>
      <c r="K814" s="16"/>
      <c r="L814" s="16"/>
      <c r="M814" s="16"/>
      <c r="N814" s="19"/>
      <c r="O814" s="19"/>
      <c r="P814" s="19"/>
      <c r="Q814" s="19"/>
      <c r="R814" s="19"/>
      <c r="S814" s="19"/>
      <c r="T814" s="19"/>
      <c r="U814" s="19"/>
      <c r="V814" s="59"/>
      <c r="W814" s="20"/>
      <c r="X814" s="43"/>
    </row>
    <row r="815" spans="1:24" ht="15.75" hidden="1" customHeight="1" x14ac:dyDescent="0.25">
      <c r="A815" s="16"/>
      <c r="B815" s="16"/>
      <c r="C815" s="16"/>
      <c r="D815" s="40"/>
      <c r="E815" s="17"/>
      <c r="F815" s="21"/>
      <c r="G815" s="16"/>
      <c r="H815" s="16"/>
      <c r="I815" s="22"/>
      <c r="J815" s="22"/>
      <c r="K815" s="16"/>
      <c r="L815" s="16"/>
      <c r="M815" s="16"/>
      <c r="N815" s="19"/>
      <c r="O815" s="19"/>
      <c r="P815" s="19"/>
      <c r="Q815" s="19"/>
      <c r="R815" s="19"/>
      <c r="S815" s="19"/>
      <c r="T815" s="19"/>
      <c r="U815" s="19"/>
      <c r="V815" s="59"/>
      <c r="W815" s="20"/>
      <c r="X815" s="43"/>
    </row>
    <row r="816" spans="1:24" ht="15.75" hidden="1" customHeight="1" x14ac:dyDescent="0.25">
      <c r="A816" s="16"/>
      <c r="B816" s="16"/>
      <c r="C816" s="16"/>
      <c r="D816" s="40"/>
      <c r="E816" s="17"/>
      <c r="F816" s="21"/>
      <c r="G816" s="16"/>
      <c r="H816" s="16"/>
      <c r="I816" s="22"/>
      <c r="J816" s="22"/>
      <c r="K816" s="16"/>
      <c r="L816" s="16"/>
      <c r="M816" s="16"/>
      <c r="N816" s="19"/>
      <c r="O816" s="19"/>
      <c r="P816" s="19"/>
      <c r="Q816" s="19"/>
      <c r="R816" s="19"/>
      <c r="S816" s="19"/>
      <c r="T816" s="19"/>
      <c r="U816" s="19"/>
      <c r="V816" s="59"/>
      <c r="W816" s="20"/>
      <c r="X816" s="43"/>
    </row>
    <row r="817" spans="1:24" ht="15.75" hidden="1" customHeight="1" x14ac:dyDescent="0.25">
      <c r="A817" s="16"/>
      <c r="B817" s="16"/>
      <c r="C817" s="16"/>
      <c r="D817" s="40"/>
      <c r="E817" s="17"/>
      <c r="F817" s="21"/>
      <c r="G817" s="16"/>
      <c r="H817" s="16"/>
      <c r="I817" s="22"/>
      <c r="J817" s="22"/>
      <c r="K817" s="16"/>
      <c r="L817" s="16"/>
      <c r="M817" s="16"/>
      <c r="N817" s="19"/>
      <c r="O817" s="19"/>
      <c r="P817" s="19"/>
      <c r="Q817" s="19"/>
      <c r="R817" s="19"/>
      <c r="S817" s="19"/>
      <c r="T817" s="19"/>
      <c r="U817" s="19"/>
      <c r="V817" s="59"/>
      <c r="W817" s="20"/>
      <c r="X817" s="43"/>
    </row>
    <row r="818" spans="1:24" ht="15.75" hidden="1" customHeight="1" x14ac:dyDescent="0.25">
      <c r="A818" s="16"/>
      <c r="B818" s="16"/>
      <c r="C818" s="16"/>
      <c r="D818" s="40"/>
      <c r="E818" s="17"/>
      <c r="F818" s="21"/>
      <c r="G818" s="16"/>
      <c r="H818" s="16"/>
      <c r="I818" s="22"/>
      <c r="J818" s="22"/>
      <c r="K818" s="16"/>
      <c r="L818" s="16"/>
      <c r="M818" s="16"/>
      <c r="N818" s="19"/>
      <c r="O818" s="19"/>
      <c r="P818" s="19"/>
      <c r="Q818" s="19"/>
      <c r="R818" s="19"/>
      <c r="S818" s="19"/>
      <c r="T818" s="19"/>
      <c r="U818" s="19"/>
      <c r="V818" s="59"/>
      <c r="W818" s="20"/>
      <c r="X818" s="43"/>
    </row>
    <row r="819" spans="1:24" ht="15.75" hidden="1" customHeight="1" x14ac:dyDescent="0.25">
      <c r="A819" s="16"/>
      <c r="B819" s="16"/>
      <c r="C819" s="16"/>
      <c r="D819" s="40"/>
      <c r="E819" s="17"/>
      <c r="F819" s="21"/>
      <c r="G819" s="16"/>
      <c r="H819" s="16"/>
      <c r="I819" s="22"/>
      <c r="J819" s="22"/>
      <c r="K819" s="16"/>
      <c r="L819" s="16"/>
      <c r="M819" s="16"/>
      <c r="N819" s="19"/>
      <c r="O819" s="19"/>
      <c r="P819" s="19"/>
      <c r="Q819" s="19"/>
      <c r="R819" s="19"/>
      <c r="S819" s="19"/>
      <c r="T819" s="19"/>
      <c r="U819" s="19"/>
      <c r="V819" s="59"/>
      <c r="W819" s="20"/>
      <c r="X819" s="43"/>
    </row>
    <row r="820" spans="1:24" ht="15.75" hidden="1" customHeight="1" x14ac:dyDescent="0.25">
      <c r="A820" s="16"/>
      <c r="B820" s="16"/>
      <c r="C820" s="16"/>
      <c r="D820" s="40"/>
      <c r="E820" s="17"/>
      <c r="F820" s="21"/>
      <c r="G820" s="16"/>
      <c r="H820" s="16"/>
      <c r="I820" s="22"/>
      <c r="J820" s="22"/>
      <c r="K820" s="16"/>
      <c r="L820" s="16"/>
      <c r="M820" s="16"/>
      <c r="N820" s="19"/>
      <c r="O820" s="19"/>
      <c r="P820" s="19"/>
      <c r="Q820" s="19"/>
      <c r="R820" s="19"/>
      <c r="S820" s="19"/>
      <c r="T820" s="19"/>
      <c r="U820" s="19"/>
      <c r="V820" s="59"/>
      <c r="W820" s="20"/>
      <c r="X820" s="43"/>
    </row>
    <row r="821" spans="1:24" ht="15.75" hidden="1" customHeight="1" x14ac:dyDescent="0.25">
      <c r="A821" s="16"/>
      <c r="B821" s="16"/>
      <c r="C821" s="16"/>
      <c r="D821" s="40"/>
      <c r="E821" s="17"/>
      <c r="F821" s="21"/>
      <c r="G821" s="16"/>
      <c r="H821" s="16"/>
      <c r="I821" s="22"/>
      <c r="J821" s="22"/>
      <c r="K821" s="16"/>
      <c r="L821" s="16"/>
      <c r="M821" s="16"/>
      <c r="N821" s="19"/>
      <c r="O821" s="19"/>
      <c r="P821" s="19"/>
      <c r="Q821" s="19"/>
      <c r="R821" s="19"/>
      <c r="S821" s="19"/>
      <c r="T821" s="19"/>
      <c r="U821" s="19"/>
      <c r="V821" s="59"/>
      <c r="W821" s="20"/>
      <c r="X821" s="43"/>
    </row>
    <row r="822" spans="1:24" ht="15.75" hidden="1" customHeight="1" x14ac:dyDescent="0.25">
      <c r="A822" s="16"/>
      <c r="B822" s="16"/>
      <c r="C822" s="16"/>
      <c r="D822" s="40"/>
      <c r="E822" s="17"/>
      <c r="F822" s="21"/>
      <c r="G822" s="16"/>
      <c r="H822" s="16"/>
      <c r="I822" s="22"/>
      <c r="J822" s="22"/>
      <c r="K822" s="16"/>
      <c r="L822" s="16"/>
      <c r="M822" s="16"/>
      <c r="N822" s="19"/>
      <c r="O822" s="19"/>
      <c r="P822" s="19"/>
      <c r="Q822" s="19"/>
      <c r="R822" s="19"/>
      <c r="S822" s="19"/>
      <c r="T822" s="19"/>
      <c r="U822" s="19"/>
      <c r="V822" s="59"/>
      <c r="W822" s="20"/>
      <c r="X822" s="43"/>
    </row>
    <row r="823" spans="1:24" ht="15.75" hidden="1" customHeight="1" x14ac:dyDescent="0.25">
      <c r="A823" s="16"/>
      <c r="B823" s="16"/>
      <c r="C823" s="16"/>
      <c r="D823" s="40"/>
      <c r="E823" s="17"/>
      <c r="F823" s="21"/>
      <c r="G823" s="16"/>
      <c r="H823" s="16"/>
      <c r="I823" s="22"/>
      <c r="J823" s="22"/>
      <c r="K823" s="16"/>
      <c r="L823" s="16"/>
      <c r="M823" s="16"/>
      <c r="N823" s="19"/>
      <c r="O823" s="19"/>
      <c r="P823" s="19"/>
      <c r="Q823" s="19"/>
      <c r="R823" s="19"/>
      <c r="S823" s="19"/>
      <c r="T823" s="19"/>
      <c r="U823" s="19"/>
      <c r="V823" s="59"/>
      <c r="W823" s="20"/>
      <c r="X823" s="43"/>
    </row>
    <row r="824" spans="1:24" ht="15.75" hidden="1" customHeight="1" x14ac:dyDescent="0.25">
      <c r="A824" s="16"/>
      <c r="B824" s="16"/>
      <c r="C824" s="16"/>
      <c r="D824" s="40"/>
      <c r="E824" s="17"/>
      <c r="F824" s="21"/>
      <c r="G824" s="16"/>
      <c r="H824" s="16"/>
      <c r="I824" s="22"/>
      <c r="J824" s="22"/>
      <c r="K824" s="16"/>
      <c r="L824" s="16"/>
      <c r="M824" s="16"/>
      <c r="N824" s="19"/>
      <c r="O824" s="19"/>
      <c r="P824" s="19"/>
      <c r="Q824" s="19"/>
      <c r="R824" s="19"/>
      <c r="S824" s="19"/>
      <c r="T824" s="19"/>
      <c r="U824" s="19"/>
      <c r="V824" s="59"/>
      <c r="W824" s="20"/>
      <c r="X824" s="43"/>
    </row>
    <row r="825" spans="1:24" ht="15.75" hidden="1" customHeight="1" x14ac:dyDescent="0.25">
      <c r="A825" s="16"/>
      <c r="B825" s="16"/>
      <c r="C825" s="16"/>
      <c r="D825" s="40"/>
      <c r="E825" s="17"/>
      <c r="F825" s="21"/>
      <c r="G825" s="16"/>
      <c r="H825" s="16"/>
      <c r="I825" s="22"/>
      <c r="J825" s="22"/>
      <c r="K825" s="16"/>
      <c r="L825" s="16"/>
      <c r="M825" s="16"/>
      <c r="N825" s="19"/>
      <c r="O825" s="19"/>
      <c r="P825" s="19"/>
      <c r="Q825" s="19"/>
      <c r="R825" s="19"/>
      <c r="S825" s="19"/>
      <c r="T825" s="19"/>
      <c r="U825" s="19"/>
      <c r="V825" s="59"/>
      <c r="W825" s="20"/>
      <c r="X825" s="43"/>
    </row>
    <row r="826" spans="1:24" ht="15.75" hidden="1" customHeight="1" x14ac:dyDescent="0.25">
      <c r="A826" s="16"/>
      <c r="B826" s="16"/>
      <c r="C826" s="16"/>
      <c r="D826" s="40"/>
      <c r="E826" s="17"/>
      <c r="F826" s="21"/>
      <c r="G826" s="16"/>
      <c r="H826" s="16"/>
      <c r="I826" s="22"/>
      <c r="J826" s="22"/>
      <c r="K826" s="16"/>
      <c r="L826" s="16"/>
      <c r="M826" s="16"/>
      <c r="N826" s="19"/>
      <c r="O826" s="19"/>
      <c r="P826" s="19"/>
      <c r="Q826" s="19"/>
      <c r="R826" s="19"/>
      <c r="S826" s="19"/>
      <c r="T826" s="19"/>
      <c r="U826" s="19"/>
      <c r="V826" s="59"/>
      <c r="W826" s="20"/>
      <c r="X826" s="43"/>
    </row>
    <row r="827" spans="1:24" ht="15.75" hidden="1" customHeight="1" x14ac:dyDescent="0.25">
      <c r="A827" s="16"/>
      <c r="B827" s="16"/>
      <c r="C827" s="16"/>
      <c r="D827" s="40"/>
      <c r="E827" s="17"/>
      <c r="F827" s="21"/>
      <c r="G827" s="16"/>
      <c r="H827" s="16"/>
      <c r="I827" s="22"/>
      <c r="J827" s="22"/>
      <c r="K827" s="16"/>
      <c r="L827" s="16"/>
      <c r="M827" s="16"/>
      <c r="N827" s="19"/>
      <c r="O827" s="19"/>
      <c r="P827" s="19"/>
      <c r="Q827" s="19"/>
      <c r="R827" s="19"/>
      <c r="S827" s="19"/>
      <c r="T827" s="19"/>
      <c r="U827" s="19"/>
      <c r="V827" s="59"/>
      <c r="W827" s="20"/>
      <c r="X827" s="43"/>
    </row>
    <row r="828" spans="1:24" ht="15.75" hidden="1" customHeight="1" x14ac:dyDescent="0.25">
      <c r="A828" s="16"/>
      <c r="B828" s="16"/>
      <c r="C828" s="16"/>
      <c r="D828" s="40"/>
      <c r="E828" s="17"/>
      <c r="F828" s="21"/>
      <c r="G828" s="16"/>
      <c r="H828" s="16"/>
      <c r="I828" s="22"/>
      <c r="J828" s="22"/>
      <c r="K828" s="16"/>
      <c r="L828" s="16"/>
      <c r="M828" s="16"/>
      <c r="N828" s="19"/>
      <c r="O828" s="19"/>
      <c r="P828" s="19"/>
      <c r="Q828" s="19"/>
      <c r="R828" s="19"/>
      <c r="S828" s="19"/>
      <c r="T828" s="19"/>
      <c r="U828" s="19"/>
      <c r="V828" s="59"/>
      <c r="W828" s="20"/>
      <c r="X828" s="43"/>
    </row>
    <row r="829" spans="1:24" ht="15.75" hidden="1" customHeight="1" x14ac:dyDescent="0.25">
      <c r="A829" s="16"/>
      <c r="B829" s="16"/>
      <c r="C829" s="16"/>
      <c r="D829" s="40"/>
      <c r="E829" s="17"/>
      <c r="F829" s="21"/>
      <c r="G829" s="16"/>
      <c r="H829" s="16"/>
      <c r="I829" s="22"/>
      <c r="J829" s="22"/>
      <c r="K829" s="16"/>
      <c r="L829" s="16"/>
      <c r="M829" s="16"/>
      <c r="N829" s="19"/>
      <c r="O829" s="19"/>
      <c r="P829" s="19"/>
      <c r="Q829" s="19"/>
      <c r="R829" s="19"/>
      <c r="S829" s="19"/>
      <c r="T829" s="19"/>
      <c r="U829" s="19"/>
      <c r="V829" s="59"/>
      <c r="W829" s="20"/>
      <c r="X829" s="43"/>
    </row>
    <row r="830" spans="1:24" ht="15.75" hidden="1" customHeight="1" x14ac:dyDescent="0.25">
      <c r="A830" s="16"/>
      <c r="B830" s="16"/>
      <c r="C830" s="16"/>
      <c r="D830" s="40"/>
      <c r="E830" s="17"/>
      <c r="F830" s="21"/>
      <c r="G830" s="16"/>
      <c r="H830" s="16"/>
      <c r="I830" s="22"/>
      <c r="J830" s="22"/>
      <c r="K830" s="16"/>
      <c r="L830" s="16"/>
      <c r="M830" s="16"/>
      <c r="N830" s="19"/>
      <c r="O830" s="19"/>
      <c r="P830" s="19"/>
      <c r="Q830" s="19"/>
      <c r="R830" s="19"/>
      <c r="S830" s="19"/>
      <c r="T830" s="19"/>
      <c r="U830" s="19"/>
      <c r="V830" s="59"/>
      <c r="W830" s="20"/>
      <c r="X830" s="43"/>
    </row>
    <row r="831" spans="1:24" ht="15.75" hidden="1" customHeight="1" x14ac:dyDescent="0.25">
      <c r="A831" s="16"/>
      <c r="B831" s="16"/>
      <c r="C831" s="16"/>
      <c r="D831" s="40"/>
      <c r="E831" s="17"/>
      <c r="F831" s="21"/>
      <c r="G831" s="16"/>
      <c r="H831" s="16"/>
      <c r="I831" s="22"/>
      <c r="J831" s="22"/>
      <c r="K831" s="16"/>
      <c r="L831" s="16"/>
      <c r="M831" s="16"/>
      <c r="N831" s="19"/>
      <c r="O831" s="19"/>
      <c r="P831" s="19"/>
      <c r="Q831" s="19"/>
      <c r="R831" s="19"/>
      <c r="S831" s="19"/>
      <c r="T831" s="19"/>
      <c r="U831" s="19"/>
      <c r="V831" s="59"/>
      <c r="W831" s="20"/>
      <c r="X831" s="43"/>
    </row>
    <row r="832" spans="1:24" ht="15.75" hidden="1" customHeight="1" x14ac:dyDescent="0.25">
      <c r="A832" s="16"/>
      <c r="B832" s="16"/>
      <c r="C832" s="16"/>
      <c r="D832" s="40"/>
      <c r="E832" s="17"/>
      <c r="F832" s="21"/>
      <c r="G832" s="16"/>
      <c r="H832" s="16"/>
      <c r="I832" s="22"/>
      <c r="J832" s="22"/>
      <c r="K832" s="16"/>
      <c r="L832" s="16"/>
      <c r="M832" s="16"/>
      <c r="N832" s="19"/>
      <c r="O832" s="19"/>
      <c r="P832" s="19"/>
      <c r="Q832" s="19"/>
      <c r="R832" s="19"/>
      <c r="S832" s="19"/>
      <c r="T832" s="19"/>
      <c r="U832" s="19"/>
      <c r="V832" s="59"/>
      <c r="W832" s="20"/>
      <c r="X832" s="43"/>
    </row>
    <row r="833" spans="1:24" ht="15.75" hidden="1" customHeight="1" x14ac:dyDescent="0.25">
      <c r="A833" s="16"/>
      <c r="B833" s="16"/>
      <c r="C833" s="16"/>
      <c r="D833" s="40"/>
      <c r="E833" s="17"/>
      <c r="F833" s="21"/>
      <c r="G833" s="16"/>
      <c r="H833" s="16"/>
      <c r="I833" s="22"/>
      <c r="J833" s="22"/>
      <c r="K833" s="16"/>
      <c r="L833" s="16"/>
      <c r="M833" s="16"/>
      <c r="N833" s="19"/>
      <c r="O833" s="19"/>
      <c r="P833" s="19"/>
      <c r="Q833" s="19"/>
      <c r="R833" s="19"/>
      <c r="S833" s="19"/>
      <c r="T833" s="19"/>
      <c r="U833" s="19"/>
      <c r="V833" s="59"/>
      <c r="W833" s="20"/>
      <c r="X833" s="43"/>
    </row>
    <row r="834" spans="1:24" ht="15.75" hidden="1" customHeight="1" x14ac:dyDescent="0.25">
      <c r="A834" s="16"/>
      <c r="B834" s="16"/>
      <c r="C834" s="16"/>
      <c r="D834" s="40"/>
      <c r="E834" s="17"/>
      <c r="F834" s="21"/>
      <c r="G834" s="16"/>
      <c r="H834" s="16"/>
      <c r="I834" s="22"/>
      <c r="J834" s="22"/>
      <c r="K834" s="16"/>
      <c r="L834" s="16"/>
      <c r="M834" s="16"/>
      <c r="N834" s="19"/>
      <c r="O834" s="19"/>
      <c r="P834" s="19"/>
      <c r="Q834" s="19"/>
      <c r="R834" s="19"/>
      <c r="S834" s="19"/>
      <c r="T834" s="19"/>
      <c r="U834" s="19"/>
      <c r="V834" s="59"/>
      <c r="W834" s="20"/>
      <c r="X834" s="43"/>
    </row>
    <row r="835" spans="1:24" ht="15.75" hidden="1" customHeight="1" x14ac:dyDescent="0.25">
      <c r="A835" s="16"/>
      <c r="B835" s="16"/>
      <c r="C835" s="16"/>
      <c r="D835" s="40"/>
      <c r="E835" s="17"/>
      <c r="F835" s="21"/>
      <c r="G835" s="16"/>
      <c r="H835" s="16"/>
      <c r="I835" s="22"/>
      <c r="J835" s="22"/>
      <c r="K835" s="16"/>
      <c r="L835" s="16"/>
      <c r="M835" s="16"/>
      <c r="N835" s="19"/>
      <c r="O835" s="19"/>
      <c r="P835" s="19"/>
      <c r="Q835" s="19"/>
      <c r="R835" s="19"/>
      <c r="S835" s="19"/>
      <c r="T835" s="19"/>
      <c r="U835" s="19"/>
      <c r="V835" s="59"/>
      <c r="W835" s="20"/>
      <c r="X835" s="43"/>
    </row>
    <row r="836" spans="1:24" ht="15.75" hidden="1" customHeight="1" x14ac:dyDescent="0.25">
      <c r="A836" s="16"/>
      <c r="B836" s="16"/>
      <c r="C836" s="16"/>
      <c r="D836" s="40"/>
      <c r="E836" s="17"/>
      <c r="F836" s="21"/>
      <c r="G836" s="16"/>
      <c r="H836" s="16"/>
      <c r="I836" s="22"/>
      <c r="J836" s="22"/>
      <c r="K836" s="16"/>
      <c r="L836" s="16"/>
      <c r="M836" s="16"/>
      <c r="N836" s="19"/>
      <c r="O836" s="19"/>
      <c r="P836" s="19"/>
      <c r="Q836" s="19"/>
      <c r="R836" s="19"/>
      <c r="S836" s="19"/>
      <c r="T836" s="19"/>
      <c r="U836" s="19"/>
      <c r="V836" s="59"/>
      <c r="W836" s="20"/>
      <c r="X836" s="43"/>
    </row>
    <row r="837" spans="1:24" ht="15.75" hidden="1" customHeight="1" x14ac:dyDescent="0.25">
      <c r="A837" s="16"/>
      <c r="B837" s="16"/>
      <c r="C837" s="16"/>
      <c r="D837" s="40"/>
      <c r="E837" s="17"/>
      <c r="F837" s="21"/>
      <c r="G837" s="16"/>
      <c r="H837" s="16"/>
      <c r="I837" s="22"/>
      <c r="J837" s="22"/>
      <c r="K837" s="16"/>
      <c r="L837" s="16"/>
      <c r="M837" s="16"/>
      <c r="N837" s="19"/>
      <c r="O837" s="19"/>
      <c r="P837" s="19"/>
      <c r="Q837" s="19"/>
      <c r="R837" s="19"/>
      <c r="S837" s="19"/>
      <c r="T837" s="19"/>
      <c r="U837" s="19"/>
      <c r="V837" s="59"/>
      <c r="W837" s="20"/>
      <c r="X837" s="43"/>
    </row>
    <row r="838" spans="1:24" ht="15.75" hidden="1" customHeight="1" x14ac:dyDescent="0.25">
      <c r="A838" s="16"/>
      <c r="B838" s="16"/>
      <c r="C838" s="16"/>
      <c r="D838" s="40"/>
      <c r="E838" s="17"/>
      <c r="F838" s="21"/>
      <c r="G838" s="16"/>
      <c r="H838" s="16"/>
      <c r="I838" s="22"/>
      <c r="J838" s="22"/>
      <c r="K838" s="16"/>
      <c r="L838" s="16"/>
      <c r="M838" s="16"/>
      <c r="N838" s="19"/>
      <c r="O838" s="19"/>
      <c r="P838" s="19"/>
      <c r="Q838" s="19"/>
      <c r="R838" s="19"/>
      <c r="S838" s="19"/>
      <c r="T838" s="19"/>
      <c r="U838" s="19"/>
      <c r="V838" s="59"/>
      <c r="W838" s="20"/>
      <c r="X838" s="43"/>
    </row>
    <row r="839" spans="1:24" ht="15.75" hidden="1" customHeight="1" x14ac:dyDescent="0.25">
      <c r="A839" s="16"/>
      <c r="B839" s="16"/>
      <c r="C839" s="16"/>
      <c r="D839" s="40"/>
      <c r="E839" s="17"/>
      <c r="F839" s="21"/>
      <c r="G839" s="16"/>
      <c r="H839" s="16"/>
      <c r="I839" s="22"/>
      <c r="J839" s="22"/>
      <c r="K839" s="16"/>
      <c r="L839" s="16"/>
      <c r="M839" s="16"/>
      <c r="N839" s="19"/>
      <c r="O839" s="19"/>
      <c r="P839" s="19"/>
      <c r="Q839" s="19"/>
      <c r="R839" s="19"/>
      <c r="S839" s="19"/>
      <c r="T839" s="19"/>
      <c r="U839" s="19"/>
      <c r="V839" s="59"/>
      <c r="W839" s="20"/>
      <c r="X839" s="43"/>
    </row>
    <row r="840" spans="1:24" ht="15.75" hidden="1" customHeight="1" x14ac:dyDescent="0.25">
      <c r="A840" s="16"/>
      <c r="B840" s="16"/>
      <c r="C840" s="16"/>
      <c r="D840" s="40"/>
      <c r="E840" s="17"/>
      <c r="F840" s="21"/>
      <c r="G840" s="16"/>
      <c r="H840" s="16"/>
      <c r="I840" s="22"/>
      <c r="J840" s="22"/>
      <c r="K840" s="16"/>
      <c r="L840" s="16"/>
      <c r="M840" s="16"/>
      <c r="N840" s="19"/>
      <c r="O840" s="19"/>
      <c r="P840" s="19"/>
      <c r="Q840" s="19"/>
      <c r="R840" s="19"/>
      <c r="S840" s="19"/>
      <c r="T840" s="19"/>
      <c r="U840" s="19"/>
      <c r="V840" s="59"/>
      <c r="W840" s="20"/>
      <c r="X840" s="43"/>
    </row>
    <row r="841" spans="1:24" ht="15.75" hidden="1" customHeight="1" x14ac:dyDescent="0.25">
      <c r="A841" s="16"/>
      <c r="B841" s="16"/>
      <c r="C841" s="16"/>
      <c r="D841" s="40"/>
      <c r="E841" s="17"/>
      <c r="F841" s="21"/>
      <c r="G841" s="16"/>
      <c r="H841" s="16"/>
      <c r="I841" s="22"/>
      <c r="J841" s="22"/>
      <c r="K841" s="16"/>
      <c r="L841" s="16"/>
      <c r="M841" s="16"/>
      <c r="N841" s="19"/>
      <c r="O841" s="19"/>
      <c r="P841" s="19"/>
      <c r="Q841" s="19"/>
      <c r="R841" s="19"/>
      <c r="S841" s="19"/>
      <c r="T841" s="19"/>
      <c r="U841" s="19"/>
      <c r="V841" s="59"/>
      <c r="W841" s="20"/>
      <c r="X841" s="43"/>
    </row>
    <row r="842" spans="1:24" ht="15.75" hidden="1" customHeight="1" x14ac:dyDescent="0.25">
      <c r="A842" s="16"/>
      <c r="B842" s="16"/>
      <c r="C842" s="16"/>
      <c r="D842" s="40"/>
      <c r="E842" s="17"/>
      <c r="F842" s="21"/>
      <c r="G842" s="16"/>
      <c r="H842" s="16"/>
      <c r="I842" s="22"/>
      <c r="J842" s="22"/>
      <c r="K842" s="16"/>
      <c r="L842" s="16"/>
      <c r="M842" s="16"/>
      <c r="N842" s="19"/>
      <c r="O842" s="19"/>
      <c r="P842" s="19"/>
      <c r="Q842" s="19"/>
      <c r="R842" s="19"/>
      <c r="S842" s="19"/>
      <c r="T842" s="19"/>
      <c r="U842" s="19"/>
      <c r="V842" s="59"/>
      <c r="W842" s="20"/>
      <c r="X842" s="43"/>
    </row>
    <row r="843" spans="1:24" ht="15.75" hidden="1" customHeight="1" x14ac:dyDescent="0.25">
      <c r="A843" s="16"/>
      <c r="B843" s="16"/>
      <c r="C843" s="16"/>
      <c r="D843" s="40"/>
      <c r="E843" s="17"/>
      <c r="F843" s="21"/>
      <c r="G843" s="16"/>
      <c r="H843" s="16"/>
      <c r="I843" s="22"/>
      <c r="J843" s="22"/>
      <c r="K843" s="16"/>
      <c r="L843" s="16"/>
      <c r="M843" s="16"/>
      <c r="N843" s="19"/>
      <c r="O843" s="19"/>
      <c r="P843" s="19"/>
      <c r="Q843" s="19"/>
      <c r="R843" s="19"/>
      <c r="S843" s="19"/>
      <c r="T843" s="19"/>
      <c r="U843" s="19"/>
      <c r="V843" s="59"/>
      <c r="W843" s="20"/>
      <c r="X843" s="43"/>
    </row>
    <row r="844" spans="1:24" ht="15.75" hidden="1" customHeight="1" x14ac:dyDescent="0.25">
      <c r="A844" s="16"/>
      <c r="B844" s="16"/>
      <c r="C844" s="16"/>
      <c r="D844" s="40"/>
      <c r="E844" s="17"/>
      <c r="F844" s="21"/>
      <c r="G844" s="16"/>
      <c r="H844" s="16"/>
      <c r="I844" s="22"/>
      <c r="J844" s="22"/>
      <c r="K844" s="16"/>
      <c r="L844" s="16"/>
      <c r="M844" s="16"/>
      <c r="N844" s="19"/>
      <c r="O844" s="19"/>
      <c r="P844" s="19"/>
      <c r="Q844" s="19"/>
      <c r="R844" s="19"/>
      <c r="S844" s="19"/>
      <c r="T844" s="19"/>
      <c r="U844" s="19"/>
      <c r="V844" s="59"/>
      <c r="W844" s="20"/>
      <c r="X844" s="43"/>
    </row>
    <row r="845" spans="1:24" ht="15.75" hidden="1" customHeight="1" x14ac:dyDescent="0.25">
      <c r="A845" s="16"/>
      <c r="B845" s="16"/>
      <c r="C845" s="16"/>
      <c r="D845" s="40"/>
      <c r="E845" s="17"/>
      <c r="F845" s="21"/>
      <c r="G845" s="16"/>
      <c r="H845" s="16"/>
      <c r="I845" s="22"/>
      <c r="J845" s="22"/>
      <c r="K845" s="16"/>
      <c r="L845" s="16"/>
      <c r="M845" s="16"/>
      <c r="N845" s="19"/>
      <c r="O845" s="19"/>
      <c r="P845" s="19"/>
      <c r="Q845" s="19"/>
      <c r="R845" s="19"/>
      <c r="S845" s="19"/>
      <c r="T845" s="19"/>
      <c r="U845" s="19"/>
      <c r="V845" s="59"/>
      <c r="W845" s="20"/>
      <c r="X845" s="43"/>
    </row>
    <row r="846" spans="1:24" ht="15.75" hidden="1" customHeight="1" x14ac:dyDescent="0.25">
      <c r="A846" s="16"/>
      <c r="B846" s="16"/>
      <c r="C846" s="16"/>
      <c r="D846" s="40"/>
      <c r="E846" s="17"/>
      <c r="F846" s="21"/>
      <c r="G846" s="16"/>
      <c r="H846" s="16"/>
      <c r="I846" s="22"/>
      <c r="J846" s="22"/>
      <c r="K846" s="16"/>
      <c r="L846" s="16"/>
      <c r="M846" s="16"/>
      <c r="N846" s="19"/>
      <c r="O846" s="19"/>
      <c r="P846" s="19"/>
      <c r="Q846" s="19"/>
      <c r="R846" s="19"/>
      <c r="S846" s="19"/>
      <c r="T846" s="19"/>
      <c r="U846" s="19"/>
      <c r="V846" s="59"/>
      <c r="W846" s="20"/>
      <c r="X846" s="43"/>
    </row>
    <row r="847" spans="1:24" ht="15.75" hidden="1" customHeight="1" x14ac:dyDescent="0.25">
      <c r="A847" s="16"/>
      <c r="B847" s="16"/>
      <c r="C847" s="16"/>
      <c r="D847" s="40"/>
      <c r="E847" s="17"/>
      <c r="F847" s="21"/>
      <c r="G847" s="16"/>
      <c r="H847" s="16"/>
      <c r="I847" s="22"/>
      <c r="J847" s="22"/>
      <c r="K847" s="16"/>
      <c r="L847" s="16"/>
      <c r="M847" s="16"/>
      <c r="N847" s="19"/>
      <c r="O847" s="19"/>
      <c r="P847" s="19"/>
      <c r="Q847" s="19"/>
      <c r="R847" s="19"/>
      <c r="S847" s="19"/>
      <c r="T847" s="19"/>
      <c r="U847" s="19"/>
      <c r="V847" s="59"/>
      <c r="W847" s="20"/>
      <c r="X847" s="43"/>
    </row>
    <row r="848" spans="1:24" ht="15.75" hidden="1" customHeight="1" x14ac:dyDescent="0.25">
      <c r="A848" s="16"/>
      <c r="B848" s="16"/>
      <c r="C848" s="16"/>
      <c r="D848" s="40"/>
      <c r="E848" s="17"/>
      <c r="F848" s="21"/>
      <c r="G848" s="16"/>
      <c r="H848" s="16"/>
      <c r="I848" s="22"/>
      <c r="J848" s="22"/>
      <c r="K848" s="16"/>
      <c r="L848" s="16"/>
      <c r="M848" s="16"/>
      <c r="N848" s="19"/>
      <c r="O848" s="19"/>
      <c r="P848" s="19"/>
      <c r="Q848" s="19"/>
      <c r="R848" s="19"/>
      <c r="S848" s="19"/>
      <c r="T848" s="19"/>
      <c r="U848" s="19"/>
      <c r="V848" s="59"/>
      <c r="W848" s="20"/>
      <c r="X848" s="43"/>
    </row>
    <row r="849" spans="1:24" ht="15.75" hidden="1" customHeight="1" x14ac:dyDescent="0.25">
      <c r="A849" s="16"/>
      <c r="B849" s="16"/>
      <c r="C849" s="16"/>
      <c r="D849" s="40"/>
      <c r="E849" s="17"/>
      <c r="F849" s="21"/>
      <c r="G849" s="16"/>
      <c r="H849" s="16"/>
      <c r="I849" s="22"/>
      <c r="J849" s="22"/>
      <c r="K849" s="16"/>
      <c r="L849" s="16"/>
      <c r="M849" s="16"/>
      <c r="N849" s="19"/>
      <c r="O849" s="19"/>
      <c r="P849" s="19"/>
      <c r="Q849" s="19"/>
      <c r="R849" s="19"/>
      <c r="S849" s="19"/>
      <c r="T849" s="19"/>
      <c r="U849" s="19"/>
      <c r="V849" s="59"/>
      <c r="W849" s="20"/>
      <c r="X849" s="43"/>
    </row>
    <row r="850" spans="1:24" ht="15.75" hidden="1" customHeight="1" x14ac:dyDescent="0.25">
      <c r="A850" s="16"/>
      <c r="B850" s="16"/>
      <c r="C850" s="16"/>
      <c r="D850" s="40"/>
      <c r="E850" s="17"/>
      <c r="F850" s="21"/>
      <c r="G850" s="16"/>
      <c r="H850" s="16"/>
      <c r="I850" s="22"/>
      <c r="J850" s="22"/>
      <c r="K850" s="16"/>
      <c r="L850" s="16"/>
      <c r="M850" s="16"/>
      <c r="N850" s="19"/>
      <c r="O850" s="19"/>
      <c r="P850" s="19"/>
      <c r="Q850" s="19"/>
      <c r="R850" s="19"/>
      <c r="S850" s="19"/>
      <c r="T850" s="19"/>
      <c r="U850" s="19"/>
      <c r="V850" s="59"/>
      <c r="W850" s="20"/>
      <c r="X850" s="43"/>
    </row>
    <row r="851" spans="1:24" ht="15.75" hidden="1" customHeight="1" x14ac:dyDescent="0.25">
      <c r="A851" s="16"/>
      <c r="B851" s="16"/>
      <c r="C851" s="16"/>
      <c r="D851" s="40"/>
      <c r="E851" s="17"/>
      <c r="F851" s="21"/>
      <c r="G851" s="16"/>
      <c r="H851" s="16"/>
      <c r="I851" s="22"/>
      <c r="J851" s="22"/>
      <c r="K851" s="16"/>
      <c r="L851" s="16"/>
      <c r="M851" s="16"/>
      <c r="N851" s="19"/>
      <c r="O851" s="19"/>
      <c r="P851" s="19"/>
      <c r="Q851" s="19"/>
      <c r="R851" s="19"/>
      <c r="S851" s="19"/>
      <c r="T851" s="19"/>
      <c r="U851" s="19"/>
      <c r="V851" s="59"/>
      <c r="W851" s="20"/>
      <c r="X851" s="43"/>
    </row>
    <row r="852" spans="1:24" ht="15.75" hidden="1" customHeight="1" x14ac:dyDescent="0.25">
      <c r="A852" s="16"/>
      <c r="B852" s="16"/>
      <c r="C852" s="16"/>
      <c r="D852" s="40"/>
      <c r="E852" s="17"/>
      <c r="F852" s="21"/>
      <c r="G852" s="16"/>
      <c r="H852" s="16"/>
      <c r="I852" s="22"/>
      <c r="J852" s="22"/>
      <c r="K852" s="16"/>
      <c r="L852" s="16"/>
      <c r="M852" s="16"/>
      <c r="N852" s="19"/>
      <c r="O852" s="19"/>
      <c r="P852" s="19"/>
      <c r="Q852" s="19"/>
      <c r="R852" s="19"/>
      <c r="S852" s="19"/>
      <c r="T852" s="19"/>
      <c r="U852" s="19"/>
      <c r="V852" s="59"/>
      <c r="W852" s="20"/>
      <c r="X852" s="43"/>
    </row>
    <row r="853" spans="1:24" ht="15.75" hidden="1" customHeight="1" x14ac:dyDescent="0.25">
      <c r="A853" s="16"/>
      <c r="B853" s="16"/>
      <c r="C853" s="16"/>
      <c r="D853" s="40"/>
      <c r="E853" s="17"/>
      <c r="F853" s="21"/>
      <c r="G853" s="16"/>
      <c r="H853" s="16"/>
      <c r="I853" s="22"/>
      <c r="J853" s="22"/>
      <c r="K853" s="16"/>
      <c r="L853" s="16"/>
      <c r="M853" s="16"/>
      <c r="N853" s="19"/>
      <c r="O853" s="19"/>
      <c r="P853" s="19"/>
      <c r="Q853" s="19"/>
      <c r="R853" s="19"/>
      <c r="S853" s="19"/>
      <c r="T853" s="19"/>
      <c r="U853" s="19"/>
      <c r="V853" s="59"/>
      <c r="W853" s="20"/>
      <c r="X853" s="43"/>
    </row>
    <row r="854" spans="1:24" ht="15.75" hidden="1" customHeight="1" x14ac:dyDescent="0.25">
      <c r="A854" s="16"/>
      <c r="B854" s="16"/>
      <c r="C854" s="16"/>
      <c r="D854" s="40"/>
      <c r="E854" s="17"/>
      <c r="F854" s="21"/>
      <c r="G854" s="16"/>
      <c r="H854" s="16"/>
      <c r="I854" s="22"/>
      <c r="J854" s="22"/>
      <c r="K854" s="16"/>
      <c r="L854" s="16"/>
      <c r="M854" s="16"/>
      <c r="N854" s="19"/>
      <c r="O854" s="19"/>
      <c r="P854" s="19"/>
      <c r="Q854" s="19"/>
      <c r="R854" s="19"/>
      <c r="S854" s="19"/>
      <c r="T854" s="19"/>
      <c r="U854" s="19"/>
      <c r="V854" s="59"/>
      <c r="W854" s="20"/>
      <c r="X854" s="43"/>
    </row>
    <row r="855" spans="1:24" ht="15.75" hidden="1" customHeight="1" x14ac:dyDescent="0.25">
      <c r="A855" s="16"/>
      <c r="B855" s="16"/>
      <c r="C855" s="16"/>
      <c r="D855" s="40"/>
      <c r="E855" s="17"/>
      <c r="F855" s="21"/>
      <c r="G855" s="16"/>
      <c r="H855" s="16"/>
      <c r="I855" s="22"/>
      <c r="J855" s="22"/>
      <c r="K855" s="16"/>
      <c r="L855" s="16"/>
      <c r="M855" s="16"/>
      <c r="N855" s="19"/>
      <c r="O855" s="19"/>
      <c r="P855" s="19"/>
      <c r="Q855" s="19"/>
      <c r="R855" s="19"/>
      <c r="S855" s="19"/>
      <c r="T855" s="19"/>
      <c r="U855" s="19"/>
      <c r="V855" s="59"/>
      <c r="W855" s="20"/>
      <c r="X855" s="43"/>
    </row>
    <row r="856" spans="1:24" ht="15.75" hidden="1" customHeight="1" x14ac:dyDescent="0.25">
      <c r="A856" s="16"/>
      <c r="B856" s="16"/>
      <c r="C856" s="16"/>
      <c r="D856" s="40"/>
      <c r="E856" s="17"/>
      <c r="F856" s="21"/>
      <c r="G856" s="16"/>
      <c r="H856" s="16"/>
      <c r="I856" s="22"/>
      <c r="J856" s="22"/>
      <c r="K856" s="16"/>
      <c r="L856" s="16"/>
      <c r="M856" s="16"/>
      <c r="N856" s="19"/>
      <c r="O856" s="19"/>
      <c r="P856" s="19"/>
      <c r="Q856" s="19"/>
      <c r="R856" s="19"/>
      <c r="S856" s="19"/>
      <c r="T856" s="19"/>
      <c r="U856" s="19"/>
      <c r="V856" s="59"/>
      <c r="W856" s="20"/>
      <c r="X856" s="43"/>
    </row>
    <row r="857" spans="1:24" ht="15.75" hidden="1" customHeight="1" x14ac:dyDescent="0.25">
      <c r="A857" s="16"/>
      <c r="B857" s="16"/>
      <c r="C857" s="16"/>
      <c r="D857" s="40"/>
      <c r="E857" s="17"/>
      <c r="F857" s="21"/>
      <c r="G857" s="16"/>
      <c r="H857" s="16"/>
      <c r="I857" s="22"/>
      <c r="J857" s="22"/>
      <c r="K857" s="16"/>
      <c r="L857" s="16"/>
      <c r="M857" s="16"/>
      <c r="N857" s="19"/>
      <c r="O857" s="19"/>
      <c r="P857" s="19"/>
      <c r="Q857" s="19"/>
      <c r="R857" s="19"/>
      <c r="S857" s="19"/>
      <c r="T857" s="19"/>
      <c r="U857" s="19"/>
      <c r="V857" s="59"/>
      <c r="W857" s="20"/>
      <c r="X857" s="43"/>
    </row>
    <row r="858" spans="1:24" ht="15.75" hidden="1" customHeight="1" x14ac:dyDescent="0.25">
      <c r="A858" s="16"/>
      <c r="B858" s="16"/>
      <c r="C858" s="16"/>
      <c r="D858" s="40"/>
      <c r="E858" s="17"/>
      <c r="F858" s="21"/>
      <c r="G858" s="16"/>
      <c r="H858" s="16"/>
      <c r="I858" s="22"/>
      <c r="J858" s="22"/>
      <c r="K858" s="16"/>
      <c r="L858" s="16"/>
      <c r="M858" s="16"/>
      <c r="N858" s="19"/>
      <c r="O858" s="19"/>
      <c r="P858" s="19"/>
      <c r="Q858" s="19"/>
      <c r="R858" s="19"/>
      <c r="S858" s="19"/>
      <c r="T858" s="19"/>
      <c r="U858" s="19"/>
      <c r="V858" s="59"/>
      <c r="W858" s="20"/>
      <c r="X858" s="43"/>
    </row>
    <row r="859" spans="1:24" ht="15.75" hidden="1" customHeight="1" x14ac:dyDescent="0.25">
      <c r="A859" s="16"/>
      <c r="B859" s="16"/>
      <c r="C859" s="16"/>
      <c r="D859" s="40"/>
      <c r="E859" s="17"/>
      <c r="F859" s="21"/>
      <c r="G859" s="16"/>
      <c r="H859" s="16"/>
      <c r="I859" s="22"/>
      <c r="J859" s="22"/>
      <c r="K859" s="16"/>
      <c r="L859" s="16"/>
      <c r="M859" s="16"/>
      <c r="N859" s="19"/>
      <c r="O859" s="19"/>
      <c r="P859" s="19"/>
      <c r="Q859" s="19"/>
      <c r="R859" s="19"/>
      <c r="S859" s="19"/>
      <c r="T859" s="19"/>
      <c r="U859" s="19"/>
      <c r="V859" s="59"/>
      <c r="W859" s="20"/>
      <c r="X859" s="43"/>
    </row>
    <row r="860" spans="1:24" ht="15.75" hidden="1" customHeight="1" x14ac:dyDescent="0.25">
      <c r="A860" s="16"/>
      <c r="B860" s="16"/>
      <c r="C860" s="16"/>
      <c r="D860" s="40"/>
      <c r="E860" s="17"/>
      <c r="F860" s="21"/>
      <c r="G860" s="16"/>
      <c r="H860" s="16"/>
      <c r="I860" s="22"/>
      <c r="J860" s="22"/>
      <c r="K860" s="16"/>
      <c r="L860" s="16"/>
      <c r="M860" s="16"/>
      <c r="N860" s="19"/>
      <c r="O860" s="19"/>
      <c r="P860" s="19"/>
      <c r="Q860" s="19"/>
      <c r="R860" s="19"/>
      <c r="S860" s="19"/>
      <c r="T860" s="19"/>
      <c r="U860" s="19"/>
      <c r="V860" s="59"/>
      <c r="W860" s="20"/>
      <c r="X860" s="43"/>
    </row>
    <row r="861" spans="1:24" ht="15.75" hidden="1" customHeight="1" x14ac:dyDescent="0.25">
      <c r="A861" s="16"/>
      <c r="B861" s="16"/>
      <c r="C861" s="16"/>
      <c r="D861" s="40"/>
      <c r="E861" s="17"/>
      <c r="F861" s="21"/>
      <c r="G861" s="16"/>
      <c r="H861" s="16"/>
      <c r="I861" s="22"/>
      <c r="J861" s="22"/>
      <c r="K861" s="16"/>
      <c r="L861" s="16"/>
      <c r="M861" s="16"/>
      <c r="N861" s="19"/>
      <c r="O861" s="19"/>
      <c r="P861" s="19"/>
      <c r="Q861" s="19"/>
      <c r="R861" s="19"/>
      <c r="S861" s="19"/>
      <c r="T861" s="19"/>
      <c r="U861" s="19"/>
      <c r="V861" s="59"/>
      <c r="W861" s="20"/>
      <c r="X861" s="43"/>
    </row>
    <row r="862" spans="1:24" ht="15.75" hidden="1" customHeight="1" x14ac:dyDescent="0.25">
      <c r="A862" s="16"/>
      <c r="B862" s="16"/>
      <c r="C862" s="16"/>
      <c r="D862" s="40"/>
      <c r="E862" s="17"/>
      <c r="F862" s="21"/>
      <c r="G862" s="16"/>
      <c r="H862" s="16"/>
      <c r="I862" s="22"/>
      <c r="J862" s="22"/>
      <c r="K862" s="16"/>
      <c r="L862" s="16"/>
      <c r="M862" s="16"/>
      <c r="N862" s="19"/>
      <c r="O862" s="19"/>
      <c r="P862" s="19"/>
      <c r="Q862" s="19"/>
      <c r="R862" s="19"/>
      <c r="S862" s="19"/>
      <c r="T862" s="19"/>
      <c r="U862" s="19"/>
      <c r="V862" s="59"/>
      <c r="W862" s="20"/>
      <c r="X862" s="43"/>
    </row>
    <row r="863" spans="1:24" ht="15.75" hidden="1" customHeight="1" x14ac:dyDescent="0.25">
      <c r="A863" s="16"/>
      <c r="B863" s="16"/>
      <c r="C863" s="16"/>
      <c r="D863" s="40"/>
      <c r="E863" s="17"/>
      <c r="F863" s="21"/>
      <c r="G863" s="16"/>
      <c r="H863" s="16"/>
      <c r="I863" s="22"/>
      <c r="J863" s="22"/>
      <c r="K863" s="16"/>
      <c r="L863" s="16"/>
      <c r="M863" s="16"/>
      <c r="N863" s="19"/>
      <c r="O863" s="19"/>
      <c r="P863" s="19"/>
      <c r="Q863" s="19"/>
      <c r="R863" s="19"/>
      <c r="S863" s="19"/>
      <c r="T863" s="19"/>
      <c r="U863" s="19"/>
      <c r="V863" s="59"/>
      <c r="W863" s="20"/>
      <c r="X863" s="43"/>
    </row>
    <row r="864" spans="1:24" ht="15.75" hidden="1" customHeight="1" x14ac:dyDescent="0.25">
      <c r="A864" s="16"/>
      <c r="B864" s="16"/>
      <c r="C864" s="16"/>
      <c r="D864" s="40"/>
      <c r="E864" s="17"/>
      <c r="F864" s="21"/>
      <c r="G864" s="16"/>
      <c r="H864" s="16"/>
      <c r="I864" s="22"/>
      <c r="J864" s="22"/>
      <c r="K864" s="16"/>
      <c r="L864" s="16"/>
      <c r="M864" s="16"/>
      <c r="N864" s="19"/>
      <c r="O864" s="19"/>
      <c r="P864" s="19"/>
      <c r="Q864" s="19"/>
      <c r="R864" s="19"/>
      <c r="S864" s="19"/>
      <c r="T864" s="19"/>
      <c r="U864" s="19"/>
      <c r="V864" s="59"/>
      <c r="W864" s="20"/>
      <c r="X864" s="43"/>
    </row>
    <row r="865" spans="1:24" ht="15.75" hidden="1" customHeight="1" x14ac:dyDescent="0.25">
      <c r="A865" s="16"/>
      <c r="B865" s="16"/>
      <c r="C865" s="16"/>
      <c r="D865" s="40"/>
      <c r="E865" s="17"/>
      <c r="F865" s="21"/>
      <c r="G865" s="16"/>
      <c r="H865" s="16"/>
      <c r="I865" s="22"/>
      <c r="J865" s="22"/>
      <c r="K865" s="16"/>
      <c r="L865" s="16"/>
      <c r="M865" s="16"/>
      <c r="N865" s="19"/>
      <c r="O865" s="19"/>
      <c r="P865" s="19"/>
      <c r="Q865" s="19"/>
      <c r="R865" s="19"/>
      <c r="S865" s="19"/>
      <c r="T865" s="19"/>
      <c r="U865" s="19"/>
      <c r="V865" s="59"/>
      <c r="W865" s="20"/>
      <c r="X865" s="43"/>
    </row>
    <row r="866" spans="1:24" ht="15.75" hidden="1" customHeight="1" x14ac:dyDescent="0.25">
      <c r="A866" s="16"/>
      <c r="B866" s="16"/>
      <c r="C866" s="16"/>
      <c r="D866" s="40"/>
      <c r="E866" s="17"/>
      <c r="F866" s="21"/>
      <c r="G866" s="16"/>
      <c r="H866" s="16"/>
      <c r="I866" s="22"/>
      <c r="J866" s="22"/>
      <c r="K866" s="16"/>
      <c r="L866" s="16"/>
      <c r="M866" s="16"/>
      <c r="N866" s="19"/>
      <c r="O866" s="19"/>
      <c r="P866" s="19"/>
      <c r="Q866" s="19"/>
      <c r="R866" s="19"/>
      <c r="S866" s="19"/>
      <c r="T866" s="19"/>
      <c r="U866" s="19"/>
      <c r="V866" s="59"/>
      <c r="W866" s="20"/>
      <c r="X866" s="43"/>
    </row>
    <row r="867" spans="1:24" ht="15.75" hidden="1" customHeight="1" x14ac:dyDescent="0.25">
      <c r="A867" s="16"/>
      <c r="B867" s="16"/>
      <c r="C867" s="16"/>
      <c r="D867" s="40"/>
      <c r="E867" s="17"/>
      <c r="F867" s="21"/>
      <c r="G867" s="16"/>
      <c r="H867" s="16"/>
      <c r="I867" s="22"/>
      <c r="J867" s="22"/>
      <c r="K867" s="16"/>
      <c r="L867" s="16"/>
      <c r="M867" s="16"/>
      <c r="N867" s="19"/>
      <c r="O867" s="19"/>
      <c r="P867" s="19"/>
      <c r="Q867" s="19"/>
      <c r="R867" s="19"/>
      <c r="S867" s="19"/>
      <c r="T867" s="19"/>
      <c r="U867" s="19"/>
      <c r="V867" s="59"/>
      <c r="W867" s="20"/>
      <c r="X867" s="43"/>
    </row>
    <row r="868" spans="1:24" ht="15.75" hidden="1" customHeight="1" x14ac:dyDescent="0.25">
      <c r="A868" s="16"/>
      <c r="B868" s="16"/>
      <c r="C868" s="16"/>
      <c r="D868" s="40"/>
      <c r="E868" s="17"/>
      <c r="F868" s="21"/>
      <c r="G868" s="16"/>
      <c r="H868" s="16"/>
      <c r="I868" s="22"/>
      <c r="J868" s="22"/>
      <c r="K868" s="16"/>
      <c r="L868" s="16"/>
      <c r="M868" s="16"/>
      <c r="N868" s="19"/>
      <c r="O868" s="19"/>
      <c r="P868" s="19"/>
      <c r="Q868" s="19"/>
      <c r="R868" s="19"/>
      <c r="S868" s="19"/>
      <c r="T868" s="19"/>
      <c r="U868" s="19"/>
      <c r="V868" s="59"/>
      <c r="W868" s="20"/>
      <c r="X868" s="43"/>
    </row>
    <row r="869" spans="1:24" ht="15.75" hidden="1" customHeight="1" x14ac:dyDescent="0.25">
      <c r="A869" s="16"/>
      <c r="B869" s="16"/>
      <c r="C869" s="16"/>
      <c r="D869" s="40"/>
      <c r="E869" s="17"/>
      <c r="F869" s="21"/>
      <c r="G869" s="16"/>
      <c r="H869" s="16"/>
      <c r="I869" s="22"/>
      <c r="J869" s="22"/>
      <c r="K869" s="16"/>
      <c r="L869" s="16"/>
      <c r="M869" s="16"/>
      <c r="N869" s="19"/>
      <c r="O869" s="19"/>
      <c r="P869" s="19"/>
      <c r="Q869" s="19"/>
      <c r="R869" s="19"/>
      <c r="S869" s="19"/>
      <c r="T869" s="19"/>
      <c r="U869" s="19"/>
      <c r="V869" s="59"/>
      <c r="W869" s="20"/>
      <c r="X869" s="43"/>
    </row>
    <row r="870" spans="1:24" ht="15.75" hidden="1" customHeight="1" x14ac:dyDescent="0.25">
      <c r="A870" s="16"/>
      <c r="B870" s="16"/>
      <c r="C870" s="16"/>
      <c r="D870" s="40"/>
      <c r="E870" s="17"/>
      <c r="F870" s="21"/>
      <c r="G870" s="16"/>
      <c r="H870" s="16"/>
      <c r="I870" s="22"/>
      <c r="J870" s="22"/>
      <c r="K870" s="16"/>
      <c r="L870" s="16"/>
      <c r="M870" s="16"/>
      <c r="N870" s="19"/>
      <c r="O870" s="19"/>
      <c r="P870" s="19"/>
      <c r="Q870" s="19"/>
      <c r="R870" s="19"/>
      <c r="S870" s="19"/>
      <c r="T870" s="19"/>
      <c r="U870" s="19"/>
      <c r="V870" s="59"/>
      <c r="W870" s="20"/>
      <c r="X870" s="43"/>
    </row>
    <row r="871" spans="1:24" ht="15.75" hidden="1" customHeight="1" x14ac:dyDescent="0.25">
      <c r="A871" s="16"/>
      <c r="B871" s="16"/>
      <c r="C871" s="16"/>
      <c r="D871" s="40"/>
      <c r="E871" s="17"/>
      <c r="F871" s="21"/>
      <c r="G871" s="16"/>
      <c r="H871" s="16"/>
      <c r="I871" s="22"/>
      <c r="J871" s="22"/>
      <c r="K871" s="16"/>
      <c r="L871" s="16"/>
      <c r="M871" s="16"/>
      <c r="N871" s="19"/>
      <c r="O871" s="19"/>
      <c r="P871" s="19"/>
      <c r="Q871" s="19"/>
      <c r="R871" s="19"/>
      <c r="S871" s="19"/>
      <c r="T871" s="19"/>
      <c r="U871" s="19"/>
      <c r="V871" s="59"/>
      <c r="W871" s="20"/>
      <c r="X871" s="43"/>
    </row>
    <row r="872" spans="1:24" ht="15.75" hidden="1" customHeight="1" x14ac:dyDescent="0.25">
      <c r="A872" s="16"/>
      <c r="B872" s="16"/>
      <c r="C872" s="16"/>
      <c r="D872" s="40"/>
      <c r="E872" s="17"/>
      <c r="F872" s="21"/>
      <c r="G872" s="16"/>
      <c r="H872" s="16"/>
      <c r="I872" s="22"/>
      <c r="J872" s="22"/>
      <c r="K872" s="16"/>
      <c r="L872" s="16"/>
      <c r="M872" s="16"/>
      <c r="N872" s="19"/>
      <c r="O872" s="19"/>
      <c r="P872" s="19"/>
      <c r="Q872" s="19"/>
      <c r="R872" s="19"/>
      <c r="S872" s="19"/>
      <c r="T872" s="19"/>
      <c r="U872" s="19"/>
      <c r="V872" s="59"/>
      <c r="W872" s="20"/>
      <c r="X872" s="43"/>
    </row>
    <row r="873" spans="1:24" ht="15.75" hidden="1" customHeight="1" x14ac:dyDescent="0.25">
      <c r="A873" s="16"/>
      <c r="B873" s="16"/>
      <c r="C873" s="16"/>
      <c r="D873" s="40"/>
      <c r="E873" s="17"/>
      <c r="F873" s="21"/>
      <c r="G873" s="16"/>
      <c r="H873" s="16"/>
      <c r="I873" s="22"/>
      <c r="J873" s="22"/>
      <c r="K873" s="16"/>
      <c r="L873" s="16"/>
      <c r="M873" s="16"/>
      <c r="N873" s="19"/>
      <c r="O873" s="19"/>
      <c r="P873" s="19"/>
      <c r="Q873" s="19"/>
      <c r="R873" s="19"/>
      <c r="S873" s="19"/>
      <c r="T873" s="19"/>
      <c r="U873" s="19"/>
      <c r="V873" s="59"/>
      <c r="W873" s="20"/>
      <c r="X873" s="43"/>
    </row>
    <row r="874" spans="1:24" ht="15.75" hidden="1" customHeight="1" x14ac:dyDescent="0.25">
      <c r="A874" s="16"/>
      <c r="B874" s="16"/>
      <c r="C874" s="16"/>
      <c r="D874" s="40"/>
      <c r="E874" s="17"/>
      <c r="F874" s="21"/>
      <c r="G874" s="16"/>
      <c r="H874" s="16"/>
      <c r="I874" s="22"/>
      <c r="J874" s="22"/>
      <c r="K874" s="16"/>
      <c r="L874" s="16"/>
      <c r="M874" s="16"/>
      <c r="N874" s="19"/>
      <c r="O874" s="19"/>
      <c r="P874" s="19"/>
      <c r="Q874" s="19"/>
      <c r="R874" s="19"/>
      <c r="S874" s="19"/>
      <c r="T874" s="19"/>
      <c r="U874" s="19"/>
      <c r="V874" s="59"/>
      <c r="W874" s="20"/>
      <c r="X874" s="43"/>
    </row>
    <row r="875" spans="1:24" ht="15.75" hidden="1" customHeight="1" x14ac:dyDescent="0.25">
      <c r="A875" s="16"/>
      <c r="B875" s="16"/>
      <c r="C875" s="16"/>
      <c r="D875" s="40"/>
      <c r="E875" s="17"/>
      <c r="F875" s="21"/>
      <c r="G875" s="16"/>
      <c r="H875" s="16"/>
      <c r="I875" s="22"/>
      <c r="J875" s="22"/>
      <c r="K875" s="16"/>
      <c r="L875" s="16"/>
      <c r="M875" s="16"/>
      <c r="N875" s="19"/>
      <c r="O875" s="19"/>
      <c r="P875" s="19"/>
      <c r="Q875" s="19"/>
      <c r="R875" s="19"/>
      <c r="S875" s="19"/>
      <c r="T875" s="19"/>
      <c r="U875" s="19"/>
      <c r="V875" s="59"/>
      <c r="W875" s="20"/>
      <c r="X875" s="43"/>
    </row>
    <row r="876" spans="1:24" ht="15.75" hidden="1" customHeight="1" x14ac:dyDescent="0.25">
      <c r="A876" s="16"/>
      <c r="B876" s="16"/>
      <c r="C876" s="16"/>
      <c r="D876" s="40"/>
      <c r="E876" s="17"/>
      <c r="F876" s="21"/>
      <c r="G876" s="16"/>
      <c r="H876" s="16"/>
      <c r="I876" s="22"/>
      <c r="J876" s="22"/>
      <c r="K876" s="16"/>
      <c r="L876" s="16"/>
      <c r="M876" s="16"/>
      <c r="N876" s="19"/>
      <c r="O876" s="19"/>
      <c r="P876" s="19"/>
      <c r="Q876" s="19"/>
      <c r="R876" s="19"/>
      <c r="S876" s="19"/>
      <c r="T876" s="19"/>
      <c r="U876" s="19"/>
      <c r="V876" s="59"/>
      <c r="W876" s="20"/>
      <c r="X876" s="43"/>
    </row>
    <row r="877" spans="1:24" ht="15.75" hidden="1" customHeight="1" x14ac:dyDescent="0.25">
      <c r="A877" s="16"/>
      <c r="B877" s="16"/>
      <c r="C877" s="16"/>
      <c r="D877" s="40"/>
      <c r="E877" s="17"/>
      <c r="F877" s="21"/>
      <c r="G877" s="16"/>
      <c r="H877" s="16"/>
      <c r="I877" s="22"/>
      <c r="J877" s="22"/>
      <c r="K877" s="16"/>
      <c r="L877" s="16"/>
      <c r="M877" s="16"/>
      <c r="N877" s="19"/>
      <c r="O877" s="19"/>
      <c r="P877" s="19"/>
      <c r="Q877" s="19"/>
      <c r="R877" s="19"/>
      <c r="S877" s="19"/>
      <c r="T877" s="19"/>
      <c r="U877" s="19"/>
      <c r="V877" s="59"/>
      <c r="W877" s="20"/>
      <c r="X877" s="43"/>
    </row>
    <row r="878" spans="1:24" ht="15.75" hidden="1" customHeight="1" x14ac:dyDescent="0.25">
      <c r="A878" s="16"/>
      <c r="B878" s="16"/>
      <c r="C878" s="16"/>
      <c r="D878" s="40"/>
      <c r="E878" s="17"/>
      <c r="F878" s="21"/>
      <c r="G878" s="16"/>
      <c r="H878" s="16"/>
      <c r="I878" s="22"/>
      <c r="J878" s="22"/>
      <c r="K878" s="16"/>
      <c r="L878" s="16"/>
      <c r="M878" s="16"/>
      <c r="N878" s="19"/>
      <c r="O878" s="19"/>
      <c r="P878" s="19"/>
      <c r="Q878" s="19"/>
      <c r="R878" s="19"/>
      <c r="S878" s="19"/>
      <c r="T878" s="19"/>
      <c r="U878" s="19"/>
      <c r="V878" s="59"/>
      <c r="W878" s="20"/>
      <c r="X878" s="43"/>
    </row>
    <row r="879" spans="1:24" ht="15.75" hidden="1" customHeight="1" x14ac:dyDescent="0.25">
      <c r="A879" s="16"/>
      <c r="B879" s="16"/>
      <c r="C879" s="16"/>
      <c r="D879" s="40"/>
      <c r="E879" s="17"/>
      <c r="F879" s="21"/>
      <c r="G879" s="16"/>
      <c r="H879" s="16"/>
      <c r="I879" s="22"/>
      <c r="J879" s="22"/>
      <c r="K879" s="16"/>
      <c r="L879" s="16"/>
      <c r="M879" s="16"/>
      <c r="N879" s="19"/>
      <c r="O879" s="19"/>
      <c r="P879" s="19"/>
      <c r="Q879" s="19"/>
      <c r="R879" s="19"/>
      <c r="S879" s="19"/>
      <c r="T879" s="19"/>
      <c r="U879" s="19"/>
      <c r="V879" s="59"/>
      <c r="W879" s="20"/>
      <c r="X879" s="43"/>
    </row>
    <row r="880" spans="1:24" ht="15.75" hidden="1" customHeight="1" x14ac:dyDescent="0.25">
      <c r="A880" s="16"/>
      <c r="B880" s="16"/>
      <c r="C880" s="16"/>
      <c r="D880" s="40"/>
      <c r="E880" s="17"/>
      <c r="F880" s="21"/>
      <c r="G880" s="16"/>
      <c r="H880" s="16"/>
      <c r="I880" s="22"/>
      <c r="J880" s="22"/>
      <c r="K880" s="16"/>
      <c r="L880" s="16"/>
      <c r="M880" s="16"/>
      <c r="N880" s="19"/>
      <c r="O880" s="19"/>
      <c r="P880" s="19"/>
      <c r="Q880" s="19"/>
      <c r="R880" s="19"/>
      <c r="S880" s="19"/>
      <c r="T880" s="19"/>
      <c r="U880" s="19"/>
      <c r="V880" s="59"/>
      <c r="W880" s="20"/>
      <c r="X880" s="43"/>
    </row>
    <row r="881" spans="1:24" ht="15.75" hidden="1" customHeight="1" x14ac:dyDescent="0.25">
      <c r="A881" s="16"/>
      <c r="B881" s="16"/>
      <c r="C881" s="16"/>
      <c r="D881" s="40"/>
      <c r="E881" s="17"/>
      <c r="F881" s="21"/>
      <c r="G881" s="16"/>
      <c r="H881" s="16"/>
      <c r="I881" s="22"/>
      <c r="J881" s="22"/>
      <c r="K881" s="16"/>
      <c r="L881" s="16"/>
      <c r="M881" s="16"/>
      <c r="N881" s="19"/>
      <c r="O881" s="19"/>
      <c r="P881" s="19"/>
      <c r="Q881" s="19"/>
      <c r="R881" s="19"/>
      <c r="S881" s="19"/>
      <c r="T881" s="19"/>
      <c r="U881" s="19"/>
      <c r="V881" s="59"/>
      <c r="W881" s="20"/>
      <c r="X881" s="43"/>
    </row>
    <row r="882" spans="1:24" ht="15.75" hidden="1" customHeight="1" x14ac:dyDescent="0.25">
      <c r="A882" s="16"/>
      <c r="B882" s="16"/>
      <c r="C882" s="16"/>
      <c r="D882" s="40"/>
      <c r="E882" s="17"/>
      <c r="F882" s="21"/>
      <c r="G882" s="16"/>
      <c r="H882" s="16"/>
      <c r="I882" s="22"/>
      <c r="J882" s="22"/>
      <c r="K882" s="16"/>
      <c r="L882" s="16"/>
      <c r="M882" s="16"/>
      <c r="N882" s="19"/>
      <c r="O882" s="19"/>
      <c r="P882" s="19"/>
      <c r="Q882" s="19"/>
      <c r="R882" s="19"/>
      <c r="S882" s="19"/>
      <c r="T882" s="19"/>
      <c r="U882" s="19"/>
      <c r="V882" s="59"/>
      <c r="W882" s="20"/>
      <c r="X882" s="43"/>
    </row>
    <row r="883" spans="1:24" ht="15.75" hidden="1" customHeight="1" x14ac:dyDescent="0.25">
      <c r="A883" s="16"/>
      <c r="B883" s="16"/>
      <c r="C883" s="16"/>
      <c r="D883" s="40"/>
      <c r="E883" s="17"/>
      <c r="F883" s="21"/>
      <c r="G883" s="16"/>
      <c r="H883" s="16"/>
      <c r="I883" s="22"/>
      <c r="J883" s="22"/>
      <c r="K883" s="16"/>
      <c r="L883" s="16"/>
      <c r="M883" s="16"/>
      <c r="N883" s="19"/>
      <c r="O883" s="19"/>
      <c r="P883" s="19"/>
      <c r="Q883" s="19"/>
      <c r="R883" s="19"/>
      <c r="S883" s="19"/>
      <c r="T883" s="19"/>
      <c r="U883" s="19"/>
      <c r="V883" s="59"/>
      <c r="W883" s="20"/>
      <c r="X883" s="43"/>
    </row>
    <row r="884" spans="1:24" ht="15.75" hidden="1" customHeight="1" x14ac:dyDescent="0.25">
      <c r="A884" s="16"/>
      <c r="B884" s="16"/>
      <c r="C884" s="16"/>
      <c r="D884" s="40"/>
      <c r="E884" s="17"/>
      <c r="F884" s="21"/>
      <c r="G884" s="16"/>
      <c r="H884" s="16"/>
      <c r="I884" s="22"/>
      <c r="J884" s="22"/>
      <c r="K884" s="16"/>
      <c r="L884" s="16"/>
      <c r="M884" s="16"/>
      <c r="N884" s="19"/>
      <c r="O884" s="19"/>
      <c r="P884" s="19"/>
      <c r="Q884" s="19"/>
      <c r="R884" s="19"/>
      <c r="S884" s="19"/>
      <c r="T884" s="19"/>
      <c r="U884" s="19"/>
      <c r="V884" s="59"/>
      <c r="W884" s="20"/>
      <c r="X884" s="43"/>
    </row>
    <row r="885" spans="1:24" ht="15.75" hidden="1" customHeight="1" x14ac:dyDescent="0.25">
      <c r="A885" s="16"/>
      <c r="B885" s="16"/>
      <c r="C885" s="16"/>
      <c r="D885" s="40"/>
      <c r="E885" s="17"/>
      <c r="F885" s="21"/>
      <c r="G885" s="16"/>
      <c r="H885" s="16"/>
      <c r="I885" s="22"/>
      <c r="J885" s="22"/>
      <c r="K885" s="16"/>
      <c r="L885" s="16"/>
      <c r="M885" s="16"/>
      <c r="N885" s="19"/>
      <c r="O885" s="19"/>
      <c r="P885" s="19"/>
      <c r="Q885" s="19"/>
      <c r="R885" s="19"/>
      <c r="S885" s="19"/>
      <c r="T885" s="19"/>
      <c r="U885" s="19"/>
      <c r="V885" s="59"/>
      <c r="W885" s="20"/>
      <c r="X885" s="43"/>
    </row>
    <row r="886" spans="1:24" ht="15.75" hidden="1" customHeight="1" x14ac:dyDescent="0.25">
      <c r="A886" s="16"/>
      <c r="B886" s="16"/>
      <c r="C886" s="16"/>
      <c r="D886" s="40"/>
      <c r="E886" s="17"/>
      <c r="F886" s="21"/>
      <c r="G886" s="16"/>
      <c r="H886" s="16"/>
      <c r="I886" s="22"/>
      <c r="J886" s="22"/>
      <c r="K886" s="16"/>
      <c r="L886" s="16"/>
      <c r="M886" s="16"/>
      <c r="N886" s="19"/>
      <c r="O886" s="19"/>
      <c r="P886" s="19"/>
      <c r="Q886" s="19"/>
      <c r="R886" s="19"/>
      <c r="S886" s="19"/>
      <c r="T886" s="19"/>
      <c r="U886" s="19"/>
      <c r="V886" s="59"/>
      <c r="W886" s="20"/>
      <c r="X886" s="43"/>
    </row>
    <row r="887" spans="1:24" ht="15.75" hidden="1" customHeight="1" x14ac:dyDescent="0.25">
      <c r="A887" s="16"/>
      <c r="B887" s="16"/>
      <c r="C887" s="16"/>
      <c r="D887" s="40"/>
      <c r="E887" s="17"/>
      <c r="F887" s="21"/>
      <c r="G887" s="16"/>
      <c r="H887" s="16"/>
      <c r="I887" s="22"/>
      <c r="J887" s="22"/>
      <c r="K887" s="16"/>
      <c r="L887" s="16"/>
      <c r="M887" s="16"/>
      <c r="N887" s="19"/>
      <c r="O887" s="19"/>
      <c r="P887" s="19"/>
      <c r="Q887" s="19"/>
      <c r="R887" s="19"/>
      <c r="S887" s="19"/>
      <c r="T887" s="19"/>
      <c r="U887" s="19"/>
      <c r="V887" s="59"/>
      <c r="W887" s="20"/>
      <c r="X887" s="43"/>
    </row>
    <row r="888" spans="1:24" ht="15.75" hidden="1" customHeight="1" x14ac:dyDescent="0.25">
      <c r="A888" s="16"/>
      <c r="B888" s="16"/>
      <c r="C888" s="16"/>
      <c r="D888" s="40"/>
      <c r="E888" s="17"/>
      <c r="F888" s="21"/>
      <c r="G888" s="16"/>
      <c r="H888" s="16"/>
      <c r="I888" s="22"/>
      <c r="J888" s="22"/>
      <c r="K888" s="16"/>
      <c r="L888" s="16"/>
      <c r="M888" s="16"/>
      <c r="N888" s="19"/>
      <c r="O888" s="19"/>
      <c r="P888" s="19"/>
      <c r="Q888" s="19"/>
      <c r="R888" s="19"/>
      <c r="S888" s="19"/>
      <c r="T888" s="19"/>
      <c r="U888" s="19"/>
      <c r="V888" s="59"/>
      <c r="W888" s="20"/>
      <c r="X888" s="43"/>
    </row>
    <row r="889" spans="1:24" ht="15.75" hidden="1" customHeight="1" x14ac:dyDescent="0.25">
      <c r="A889" s="16"/>
      <c r="B889" s="16"/>
      <c r="C889" s="16"/>
      <c r="D889" s="40"/>
      <c r="E889" s="17"/>
      <c r="F889" s="21"/>
      <c r="G889" s="16"/>
      <c r="H889" s="16"/>
      <c r="I889" s="22"/>
      <c r="J889" s="22"/>
      <c r="K889" s="16"/>
      <c r="L889" s="16"/>
      <c r="M889" s="16"/>
      <c r="N889" s="19"/>
      <c r="O889" s="19"/>
      <c r="P889" s="19"/>
      <c r="Q889" s="19"/>
      <c r="R889" s="19"/>
      <c r="S889" s="19"/>
      <c r="T889" s="19"/>
      <c r="U889" s="19"/>
      <c r="V889" s="59"/>
      <c r="W889" s="20"/>
      <c r="X889" s="43"/>
    </row>
    <row r="890" spans="1:24" ht="15.75" hidden="1" customHeight="1" x14ac:dyDescent="0.25">
      <c r="A890" s="16"/>
      <c r="B890" s="16"/>
      <c r="C890" s="16"/>
      <c r="D890" s="40"/>
      <c r="E890" s="17"/>
      <c r="F890" s="21"/>
      <c r="G890" s="16"/>
      <c r="H890" s="16"/>
      <c r="I890" s="22"/>
      <c r="J890" s="22"/>
      <c r="K890" s="16"/>
      <c r="L890" s="16"/>
      <c r="M890" s="16"/>
      <c r="N890" s="19"/>
      <c r="O890" s="19"/>
      <c r="P890" s="19"/>
      <c r="Q890" s="19"/>
      <c r="R890" s="19"/>
      <c r="S890" s="19"/>
      <c r="T890" s="19"/>
      <c r="U890" s="19"/>
      <c r="V890" s="59"/>
      <c r="W890" s="20"/>
      <c r="X890" s="43"/>
    </row>
    <row r="891" spans="1:24" ht="15.75" hidden="1" customHeight="1" x14ac:dyDescent="0.25">
      <c r="A891" s="16"/>
      <c r="B891" s="16"/>
      <c r="C891" s="16"/>
      <c r="D891" s="40"/>
      <c r="E891" s="17"/>
      <c r="F891" s="21"/>
      <c r="G891" s="16"/>
      <c r="H891" s="16"/>
      <c r="I891" s="22"/>
      <c r="J891" s="22"/>
      <c r="K891" s="16"/>
      <c r="L891" s="16"/>
      <c r="M891" s="16"/>
      <c r="N891" s="19"/>
      <c r="O891" s="19"/>
      <c r="P891" s="19"/>
      <c r="Q891" s="19"/>
      <c r="R891" s="19"/>
      <c r="S891" s="19"/>
      <c r="T891" s="19"/>
      <c r="U891" s="19"/>
      <c r="V891" s="59"/>
      <c r="W891" s="20"/>
      <c r="X891" s="43"/>
    </row>
    <row r="892" spans="1:24" ht="15.75" hidden="1" customHeight="1" x14ac:dyDescent="0.25">
      <c r="A892" s="16"/>
      <c r="B892" s="16"/>
      <c r="C892" s="16"/>
      <c r="D892" s="40"/>
      <c r="E892" s="17"/>
      <c r="F892" s="21"/>
      <c r="G892" s="16"/>
      <c r="H892" s="16"/>
      <c r="I892" s="22"/>
      <c r="J892" s="22"/>
      <c r="K892" s="16"/>
      <c r="L892" s="16"/>
      <c r="M892" s="16"/>
      <c r="N892" s="19"/>
      <c r="O892" s="19"/>
      <c r="P892" s="19"/>
      <c r="Q892" s="19"/>
      <c r="R892" s="19"/>
      <c r="S892" s="19"/>
      <c r="T892" s="19"/>
      <c r="U892" s="19"/>
      <c r="V892" s="59"/>
      <c r="W892" s="20"/>
      <c r="X892" s="43"/>
    </row>
    <row r="893" spans="1:24" ht="15.75" hidden="1" customHeight="1" x14ac:dyDescent="0.25">
      <c r="A893" s="16"/>
      <c r="B893" s="16"/>
      <c r="C893" s="16"/>
      <c r="D893" s="40"/>
      <c r="E893" s="17"/>
      <c r="F893" s="21"/>
      <c r="G893" s="16"/>
      <c r="H893" s="16"/>
      <c r="I893" s="22"/>
      <c r="J893" s="22"/>
      <c r="K893" s="16"/>
      <c r="L893" s="16"/>
      <c r="M893" s="16"/>
      <c r="N893" s="19"/>
      <c r="O893" s="19"/>
      <c r="P893" s="19"/>
      <c r="Q893" s="19"/>
      <c r="R893" s="19"/>
      <c r="S893" s="19"/>
      <c r="T893" s="19"/>
      <c r="U893" s="19"/>
      <c r="V893" s="59"/>
      <c r="W893" s="20"/>
      <c r="X893" s="43"/>
    </row>
    <row r="894" spans="1:24" ht="15.75" hidden="1" customHeight="1" x14ac:dyDescent="0.25">
      <c r="A894" s="16"/>
      <c r="B894" s="16"/>
      <c r="C894" s="16"/>
      <c r="D894" s="40"/>
      <c r="E894" s="17"/>
      <c r="F894" s="21"/>
      <c r="G894" s="16"/>
      <c r="H894" s="16"/>
      <c r="I894" s="22"/>
      <c r="J894" s="22"/>
      <c r="K894" s="16"/>
      <c r="L894" s="16"/>
      <c r="M894" s="16"/>
      <c r="N894" s="19"/>
      <c r="O894" s="19"/>
      <c r="P894" s="19"/>
      <c r="Q894" s="19"/>
      <c r="R894" s="19"/>
      <c r="S894" s="19"/>
      <c r="T894" s="19"/>
      <c r="U894" s="19"/>
      <c r="V894" s="59"/>
      <c r="W894" s="20"/>
      <c r="X894" s="43"/>
    </row>
    <row r="895" spans="1:24" ht="15.75" hidden="1" customHeight="1" x14ac:dyDescent="0.25">
      <c r="A895" s="16"/>
      <c r="B895" s="16"/>
      <c r="C895" s="16"/>
      <c r="D895" s="40"/>
      <c r="E895" s="17"/>
      <c r="F895" s="21"/>
      <c r="G895" s="16"/>
      <c r="H895" s="16"/>
      <c r="I895" s="22"/>
      <c r="J895" s="22"/>
      <c r="K895" s="16"/>
      <c r="L895" s="16"/>
      <c r="M895" s="16"/>
      <c r="N895" s="19"/>
      <c r="O895" s="19"/>
      <c r="P895" s="19"/>
      <c r="Q895" s="19"/>
      <c r="R895" s="19"/>
      <c r="S895" s="19"/>
      <c r="T895" s="19"/>
      <c r="U895" s="19"/>
      <c r="V895" s="59"/>
      <c r="W895" s="20"/>
      <c r="X895" s="43"/>
    </row>
    <row r="896" spans="1:24" ht="15.75" hidden="1" customHeight="1" x14ac:dyDescent="0.25">
      <c r="A896" s="16"/>
      <c r="B896" s="16"/>
      <c r="C896" s="16"/>
      <c r="D896" s="40"/>
      <c r="E896" s="17"/>
      <c r="F896" s="21"/>
      <c r="G896" s="16"/>
      <c r="H896" s="16"/>
      <c r="I896" s="22"/>
      <c r="J896" s="22"/>
      <c r="K896" s="16"/>
      <c r="L896" s="16"/>
      <c r="M896" s="16"/>
      <c r="N896" s="19"/>
      <c r="O896" s="19"/>
      <c r="P896" s="19"/>
      <c r="Q896" s="19"/>
      <c r="R896" s="19"/>
      <c r="S896" s="19"/>
      <c r="T896" s="19"/>
      <c r="U896" s="19"/>
      <c r="V896" s="59"/>
      <c r="W896" s="20"/>
      <c r="X896" s="43"/>
    </row>
    <row r="897" spans="1:24" ht="15.75" hidden="1" customHeight="1" x14ac:dyDescent="0.25">
      <c r="A897" s="16"/>
      <c r="B897" s="16"/>
      <c r="C897" s="16"/>
      <c r="D897" s="40"/>
      <c r="E897" s="17"/>
      <c r="F897" s="21"/>
      <c r="G897" s="16"/>
      <c r="H897" s="16"/>
      <c r="I897" s="22"/>
      <c r="J897" s="22"/>
      <c r="K897" s="16"/>
      <c r="L897" s="16"/>
      <c r="M897" s="16"/>
      <c r="N897" s="19"/>
      <c r="O897" s="19"/>
      <c r="P897" s="19"/>
      <c r="Q897" s="19"/>
      <c r="R897" s="19"/>
      <c r="S897" s="19"/>
      <c r="T897" s="19"/>
      <c r="U897" s="19"/>
      <c r="V897" s="59"/>
      <c r="W897" s="20"/>
      <c r="X897" s="43"/>
    </row>
    <row r="898" spans="1:24" ht="15.75" hidden="1" customHeight="1" x14ac:dyDescent="0.25">
      <c r="A898" s="16"/>
      <c r="B898" s="16"/>
      <c r="C898" s="16"/>
      <c r="D898" s="40"/>
      <c r="E898" s="17"/>
      <c r="F898" s="21"/>
      <c r="G898" s="16"/>
      <c r="H898" s="16"/>
      <c r="I898" s="22"/>
      <c r="J898" s="22"/>
      <c r="K898" s="16"/>
      <c r="L898" s="16"/>
      <c r="M898" s="16"/>
      <c r="N898" s="19"/>
      <c r="O898" s="19"/>
      <c r="P898" s="19"/>
      <c r="Q898" s="19"/>
      <c r="R898" s="19"/>
      <c r="S898" s="19"/>
      <c r="T898" s="19"/>
      <c r="U898" s="19"/>
      <c r="V898" s="59"/>
      <c r="W898" s="20"/>
      <c r="X898" s="43"/>
    </row>
    <row r="899" spans="1:24" ht="15.75" hidden="1" customHeight="1" x14ac:dyDescent="0.25">
      <c r="A899" s="16"/>
      <c r="B899" s="16"/>
      <c r="C899" s="16"/>
      <c r="D899" s="40"/>
      <c r="E899" s="17"/>
      <c r="F899" s="21"/>
      <c r="G899" s="16"/>
      <c r="H899" s="16"/>
      <c r="I899" s="22"/>
      <c r="J899" s="22"/>
      <c r="K899" s="16"/>
      <c r="L899" s="16"/>
      <c r="M899" s="16"/>
      <c r="N899" s="19"/>
      <c r="O899" s="19"/>
      <c r="P899" s="19"/>
      <c r="Q899" s="19"/>
      <c r="R899" s="19"/>
      <c r="S899" s="19"/>
      <c r="T899" s="19"/>
      <c r="U899" s="19"/>
      <c r="V899" s="59"/>
      <c r="W899" s="20"/>
      <c r="X899" s="43"/>
    </row>
    <row r="900" spans="1:24" ht="15.75" hidden="1" customHeight="1" x14ac:dyDescent="0.25">
      <c r="A900" s="16"/>
      <c r="B900" s="16"/>
      <c r="C900" s="16"/>
      <c r="D900" s="40"/>
      <c r="E900" s="17"/>
      <c r="F900" s="21"/>
      <c r="G900" s="16"/>
      <c r="H900" s="16"/>
      <c r="I900" s="22"/>
      <c r="J900" s="22"/>
      <c r="K900" s="16"/>
      <c r="L900" s="16"/>
      <c r="M900" s="16"/>
      <c r="N900" s="19"/>
      <c r="O900" s="19"/>
      <c r="P900" s="19"/>
      <c r="Q900" s="19"/>
      <c r="R900" s="19"/>
      <c r="S900" s="19"/>
      <c r="T900" s="19"/>
      <c r="U900" s="19"/>
      <c r="V900" s="59"/>
      <c r="W900" s="20"/>
      <c r="X900" s="43"/>
    </row>
    <row r="901" spans="1:24" ht="15.75" hidden="1" customHeight="1" x14ac:dyDescent="0.25">
      <c r="A901" s="16"/>
      <c r="B901" s="16"/>
      <c r="C901" s="16"/>
      <c r="D901" s="40"/>
      <c r="E901" s="17"/>
      <c r="F901" s="21"/>
      <c r="G901" s="16"/>
      <c r="H901" s="16"/>
      <c r="I901" s="22"/>
      <c r="J901" s="22"/>
      <c r="K901" s="16"/>
      <c r="L901" s="16"/>
      <c r="M901" s="16"/>
      <c r="N901" s="19"/>
      <c r="O901" s="19"/>
      <c r="P901" s="19"/>
      <c r="Q901" s="19"/>
      <c r="R901" s="19"/>
      <c r="S901" s="19"/>
      <c r="T901" s="19"/>
      <c r="U901" s="19"/>
      <c r="V901" s="59"/>
      <c r="W901" s="20"/>
      <c r="X901" s="43"/>
    </row>
    <row r="902" spans="1:24" ht="15.75" hidden="1" customHeight="1" x14ac:dyDescent="0.25">
      <c r="A902" s="16"/>
      <c r="B902" s="16"/>
      <c r="C902" s="16"/>
      <c r="D902" s="40"/>
      <c r="E902" s="17"/>
      <c r="F902" s="21"/>
      <c r="G902" s="16"/>
      <c r="H902" s="16"/>
      <c r="I902" s="22"/>
      <c r="J902" s="22"/>
      <c r="K902" s="16"/>
      <c r="L902" s="16"/>
      <c r="M902" s="16"/>
      <c r="N902" s="19"/>
      <c r="O902" s="19"/>
      <c r="P902" s="19"/>
      <c r="Q902" s="19"/>
      <c r="R902" s="19"/>
      <c r="S902" s="19"/>
      <c r="T902" s="19"/>
      <c r="U902" s="19"/>
      <c r="V902" s="59"/>
      <c r="W902" s="20"/>
      <c r="X902" s="43"/>
    </row>
    <row r="903" spans="1:24" ht="15.75" hidden="1" customHeight="1" x14ac:dyDescent="0.25">
      <c r="A903" s="16"/>
      <c r="B903" s="16"/>
      <c r="C903" s="16"/>
      <c r="D903" s="40"/>
      <c r="E903" s="17"/>
      <c r="F903" s="21"/>
      <c r="G903" s="16"/>
      <c r="H903" s="16"/>
      <c r="I903" s="22"/>
      <c r="J903" s="22"/>
      <c r="K903" s="16"/>
      <c r="L903" s="16"/>
      <c r="M903" s="16"/>
      <c r="N903" s="19"/>
      <c r="O903" s="19"/>
      <c r="P903" s="19"/>
      <c r="Q903" s="19"/>
      <c r="R903" s="19"/>
      <c r="S903" s="19"/>
      <c r="T903" s="19"/>
      <c r="U903" s="19"/>
      <c r="V903" s="59"/>
      <c r="W903" s="20"/>
      <c r="X903" s="43"/>
    </row>
    <row r="904" spans="1:24" ht="15.75" hidden="1" customHeight="1" x14ac:dyDescent="0.25">
      <c r="A904" s="16"/>
      <c r="B904" s="16"/>
      <c r="C904" s="16"/>
      <c r="D904" s="40"/>
      <c r="E904" s="17"/>
      <c r="F904" s="21"/>
      <c r="G904" s="16"/>
      <c r="H904" s="16"/>
      <c r="I904" s="22"/>
      <c r="J904" s="22"/>
      <c r="K904" s="16"/>
      <c r="L904" s="16"/>
      <c r="M904" s="16"/>
      <c r="N904" s="19"/>
      <c r="O904" s="19"/>
      <c r="P904" s="19"/>
      <c r="Q904" s="19"/>
      <c r="R904" s="19"/>
      <c r="S904" s="19"/>
      <c r="T904" s="19"/>
      <c r="U904" s="19"/>
      <c r="V904" s="59"/>
      <c r="W904" s="20"/>
      <c r="X904" s="43"/>
    </row>
    <row r="905" spans="1:24" ht="15.75" hidden="1" customHeight="1" x14ac:dyDescent="0.25">
      <c r="A905" s="16"/>
      <c r="B905" s="16"/>
      <c r="C905" s="16"/>
      <c r="D905" s="40"/>
      <c r="E905" s="17"/>
      <c r="F905" s="21"/>
      <c r="G905" s="16"/>
      <c r="H905" s="16"/>
      <c r="I905" s="22"/>
      <c r="J905" s="22"/>
      <c r="K905" s="16"/>
      <c r="L905" s="16"/>
      <c r="M905" s="16"/>
      <c r="N905" s="19"/>
      <c r="O905" s="19"/>
      <c r="P905" s="19"/>
      <c r="Q905" s="19"/>
      <c r="R905" s="19"/>
      <c r="S905" s="19"/>
      <c r="T905" s="19"/>
      <c r="U905" s="19"/>
      <c r="V905" s="59"/>
      <c r="W905" s="20"/>
      <c r="X905" s="43"/>
    </row>
    <row r="906" spans="1:24" ht="15.75" hidden="1" customHeight="1" x14ac:dyDescent="0.25">
      <c r="A906" s="16"/>
      <c r="B906" s="16"/>
      <c r="C906" s="16"/>
      <c r="D906" s="40"/>
      <c r="E906" s="17"/>
      <c r="F906" s="21"/>
      <c r="G906" s="16"/>
      <c r="H906" s="16"/>
      <c r="I906" s="22"/>
      <c r="J906" s="22"/>
      <c r="K906" s="16"/>
      <c r="L906" s="16"/>
      <c r="M906" s="16"/>
      <c r="N906" s="19"/>
      <c r="O906" s="19"/>
      <c r="P906" s="19"/>
      <c r="Q906" s="19"/>
      <c r="R906" s="19"/>
      <c r="S906" s="19"/>
      <c r="T906" s="19"/>
      <c r="U906" s="19"/>
      <c r="V906" s="59"/>
      <c r="W906" s="20"/>
      <c r="X906" s="43"/>
    </row>
    <row r="907" spans="1:24" ht="15.75" hidden="1" customHeight="1" x14ac:dyDescent="0.25">
      <c r="A907" s="16"/>
      <c r="B907" s="16"/>
      <c r="C907" s="16"/>
      <c r="D907" s="40"/>
      <c r="E907" s="17"/>
      <c r="F907" s="21"/>
      <c r="G907" s="16"/>
      <c r="H907" s="16"/>
      <c r="I907" s="22"/>
      <c r="J907" s="22"/>
      <c r="K907" s="16"/>
      <c r="L907" s="16"/>
      <c r="M907" s="16"/>
      <c r="N907" s="19"/>
      <c r="O907" s="19"/>
      <c r="P907" s="19"/>
      <c r="Q907" s="19"/>
      <c r="R907" s="19"/>
      <c r="S907" s="19"/>
      <c r="T907" s="19"/>
      <c r="U907" s="19"/>
      <c r="V907" s="59"/>
      <c r="W907" s="20"/>
      <c r="X907" s="43"/>
    </row>
    <row r="908" spans="1:24" ht="15.75" hidden="1" customHeight="1" x14ac:dyDescent="0.25">
      <c r="A908" s="16"/>
      <c r="B908" s="16"/>
      <c r="C908" s="16"/>
      <c r="D908" s="40"/>
      <c r="E908" s="17"/>
      <c r="F908" s="21"/>
      <c r="G908" s="16"/>
      <c r="H908" s="16"/>
      <c r="I908" s="22"/>
      <c r="J908" s="22"/>
      <c r="K908" s="16"/>
      <c r="L908" s="16"/>
      <c r="M908" s="16"/>
      <c r="N908" s="19"/>
      <c r="O908" s="19"/>
      <c r="P908" s="19"/>
      <c r="Q908" s="19"/>
      <c r="R908" s="19"/>
      <c r="S908" s="19"/>
      <c r="T908" s="19"/>
      <c r="U908" s="19"/>
      <c r="V908" s="59"/>
      <c r="W908" s="20"/>
      <c r="X908" s="43"/>
    </row>
    <row r="909" spans="1:24" ht="15.75" hidden="1" customHeight="1" x14ac:dyDescent="0.25">
      <c r="A909" s="16"/>
      <c r="B909" s="16"/>
      <c r="C909" s="16"/>
      <c r="D909" s="40"/>
      <c r="E909" s="17"/>
      <c r="F909" s="21"/>
      <c r="G909" s="16"/>
      <c r="H909" s="16"/>
      <c r="I909" s="22"/>
      <c r="J909" s="22"/>
      <c r="K909" s="16"/>
      <c r="L909" s="16"/>
      <c r="M909" s="16"/>
      <c r="N909" s="19"/>
      <c r="O909" s="19"/>
      <c r="P909" s="19"/>
      <c r="Q909" s="19"/>
      <c r="R909" s="19"/>
      <c r="S909" s="19"/>
      <c r="T909" s="19"/>
      <c r="U909" s="19"/>
      <c r="V909" s="59"/>
      <c r="W909" s="20"/>
      <c r="X909" s="43"/>
    </row>
    <row r="910" spans="1:24" ht="15.75" hidden="1" customHeight="1" x14ac:dyDescent="0.25">
      <c r="A910" s="16"/>
      <c r="B910" s="16"/>
      <c r="C910" s="16"/>
      <c r="D910" s="40"/>
      <c r="E910" s="17"/>
      <c r="F910" s="21"/>
      <c r="G910" s="16"/>
      <c r="H910" s="16"/>
      <c r="I910" s="22"/>
      <c r="J910" s="22"/>
      <c r="K910" s="16"/>
      <c r="L910" s="16"/>
      <c r="M910" s="16"/>
      <c r="N910" s="19"/>
      <c r="O910" s="19"/>
      <c r="P910" s="19"/>
      <c r="Q910" s="19"/>
      <c r="R910" s="19"/>
      <c r="S910" s="19"/>
      <c r="T910" s="19"/>
      <c r="U910" s="19"/>
      <c r="V910" s="59"/>
      <c r="W910" s="20"/>
      <c r="X910" s="43"/>
    </row>
    <row r="911" spans="1:24" ht="15.75" hidden="1" customHeight="1" x14ac:dyDescent="0.25">
      <c r="A911" s="16"/>
      <c r="B911" s="16"/>
      <c r="C911" s="16"/>
      <c r="D911" s="40"/>
      <c r="E911" s="17"/>
      <c r="F911" s="21"/>
      <c r="G911" s="16"/>
      <c r="H911" s="16"/>
      <c r="I911" s="22"/>
      <c r="J911" s="22"/>
      <c r="K911" s="16"/>
      <c r="L911" s="16"/>
      <c r="M911" s="16"/>
      <c r="N911" s="19"/>
      <c r="O911" s="19"/>
      <c r="P911" s="19"/>
      <c r="Q911" s="19"/>
      <c r="R911" s="19"/>
      <c r="S911" s="19"/>
      <c r="T911" s="19"/>
      <c r="U911" s="19"/>
      <c r="V911" s="59"/>
      <c r="W911" s="20"/>
      <c r="X911" s="43"/>
    </row>
    <row r="912" spans="1:24" ht="15.75" hidden="1" customHeight="1" x14ac:dyDescent="0.25">
      <c r="A912" s="16"/>
      <c r="B912" s="16"/>
      <c r="C912" s="16"/>
      <c r="D912" s="40"/>
      <c r="E912" s="17"/>
      <c r="F912" s="21"/>
      <c r="G912" s="16"/>
      <c r="H912" s="16"/>
      <c r="I912" s="22"/>
      <c r="J912" s="22"/>
      <c r="K912" s="16"/>
      <c r="L912" s="16"/>
      <c r="M912" s="16"/>
      <c r="N912" s="19"/>
      <c r="O912" s="19"/>
      <c r="P912" s="19"/>
      <c r="Q912" s="19"/>
      <c r="R912" s="19"/>
      <c r="S912" s="19"/>
      <c r="T912" s="19"/>
      <c r="U912" s="19"/>
      <c r="V912" s="59"/>
      <c r="W912" s="20"/>
      <c r="X912" s="43"/>
    </row>
    <row r="913" spans="1:24" ht="15.75" hidden="1" customHeight="1" x14ac:dyDescent="0.25">
      <c r="A913" s="16"/>
      <c r="B913" s="16"/>
      <c r="C913" s="16"/>
      <c r="D913" s="40"/>
      <c r="E913" s="17"/>
      <c r="F913" s="21"/>
      <c r="G913" s="16"/>
      <c r="H913" s="16"/>
      <c r="I913" s="22"/>
      <c r="J913" s="22"/>
      <c r="K913" s="16"/>
      <c r="L913" s="16"/>
      <c r="M913" s="16"/>
      <c r="N913" s="19"/>
      <c r="O913" s="19"/>
      <c r="P913" s="19"/>
      <c r="Q913" s="19"/>
      <c r="R913" s="19"/>
      <c r="S913" s="19"/>
      <c r="T913" s="19"/>
      <c r="U913" s="19"/>
      <c r="V913" s="59"/>
      <c r="W913" s="20"/>
      <c r="X913" s="43"/>
    </row>
    <row r="914" spans="1:24" ht="15.75" hidden="1" customHeight="1" x14ac:dyDescent="0.25">
      <c r="A914" s="16"/>
      <c r="B914" s="16"/>
      <c r="C914" s="16"/>
      <c r="D914" s="40"/>
      <c r="E914" s="17"/>
      <c r="F914" s="21"/>
      <c r="G914" s="16"/>
      <c r="H914" s="16"/>
      <c r="I914" s="22"/>
      <c r="J914" s="22"/>
      <c r="K914" s="16"/>
      <c r="L914" s="16"/>
      <c r="M914" s="16"/>
      <c r="N914" s="19"/>
      <c r="O914" s="19"/>
      <c r="P914" s="19"/>
      <c r="Q914" s="19"/>
      <c r="R914" s="19"/>
      <c r="S914" s="19"/>
      <c r="T914" s="19"/>
      <c r="U914" s="19"/>
      <c r="V914" s="59"/>
      <c r="W914" s="20"/>
      <c r="X914" s="43"/>
    </row>
    <row r="915" spans="1:24" ht="15.75" hidden="1" customHeight="1" x14ac:dyDescent="0.25">
      <c r="A915" s="16"/>
      <c r="B915" s="16"/>
      <c r="C915" s="16"/>
      <c r="D915" s="40"/>
      <c r="E915" s="17"/>
      <c r="F915" s="21"/>
      <c r="G915" s="16"/>
      <c r="H915" s="16"/>
      <c r="I915" s="22"/>
      <c r="J915" s="22"/>
      <c r="K915" s="16"/>
      <c r="L915" s="16"/>
      <c r="M915" s="16"/>
      <c r="N915" s="19"/>
      <c r="O915" s="19"/>
      <c r="P915" s="19"/>
      <c r="Q915" s="19"/>
      <c r="R915" s="19"/>
      <c r="S915" s="19"/>
      <c r="T915" s="19"/>
      <c r="U915" s="19"/>
      <c r="V915" s="59"/>
      <c r="W915" s="20"/>
      <c r="X915" s="43"/>
    </row>
    <row r="916" spans="1:24" ht="15.75" hidden="1" customHeight="1" x14ac:dyDescent="0.25">
      <c r="A916" s="16"/>
      <c r="B916" s="16"/>
      <c r="C916" s="16"/>
      <c r="D916" s="40"/>
      <c r="E916" s="17"/>
      <c r="F916" s="21"/>
      <c r="G916" s="16"/>
      <c r="H916" s="16"/>
      <c r="I916" s="22"/>
      <c r="J916" s="22"/>
      <c r="K916" s="16"/>
      <c r="L916" s="16"/>
      <c r="M916" s="16"/>
      <c r="N916" s="19"/>
      <c r="O916" s="19"/>
      <c r="P916" s="19"/>
      <c r="Q916" s="19"/>
      <c r="R916" s="19"/>
      <c r="S916" s="19"/>
      <c r="T916" s="19"/>
      <c r="U916" s="19"/>
      <c r="V916" s="59"/>
      <c r="W916" s="20"/>
      <c r="X916" s="43"/>
    </row>
    <row r="917" spans="1:24" ht="15.75" hidden="1" customHeight="1" x14ac:dyDescent="0.25">
      <c r="A917" s="16"/>
      <c r="B917" s="16"/>
      <c r="C917" s="16"/>
      <c r="D917" s="40"/>
      <c r="E917" s="17"/>
      <c r="F917" s="21"/>
      <c r="G917" s="16"/>
      <c r="H917" s="16"/>
      <c r="I917" s="22"/>
      <c r="J917" s="22"/>
      <c r="K917" s="16"/>
      <c r="L917" s="16"/>
      <c r="M917" s="16"/>
      <c r="N917" s="19"/>
      <c r="O917" s="19"/>
      <c r="P917" s="19"/>
      <c r="Q917" s="19"/>
      <c r="R917" s="19"/>
      <c r="S917" s="19"/>
      <c r="T917" s="19"/>
      <c r="U917" s="19"/>
      <c r="V917" s="59"/>
      <c r="W917" s="20"/>
      <c r="X917" s="43"/>
    </row>
    <row r="918" spans="1:24" ht="15.75" hidden="1" customHeight="1" x14ac:dyDescent="0.25">
      <c r="A918" s="16"/>
      <c r="B918" s="16"/>
      <c r="C918" s="16"/>
      <c r="D918" s="40"/>
      <c r="E918" s="17"/>
      <c r="F918" s="21"/>
      <c r="G918" s="16"/>
      <c r="H918" s="16"/>
      <c r="I918" s="22"/>
      <c r="J918" s="22"/>
      <c r="K918" s="16"/>
      <c r="L918" s="16"/>
      <c r="M918" s="16"/>
      <c r="N918" s="19"/>
      <c r="O918" s="19"/>
      <c r="P918" s="19"/>
      <c r="Q918" s="19"/>
      <c r="R918" s="19"/>
      <c r="S918" s="19"/>
      <c r="T918" s="19"/>
      <c r="U918" s="19"/>
      <c r="V918" s="59"/>
      <c r="W918" s="20"/>
      <c r="X918" s="43"/>
    </row>
    <row r="919" spans="1:24" ht="15.75" hidden="1" customHeight="1" x14ac:dyDescent="0.25">
      <c r="A919" s="16"/>
      <c r="B919" s="16"/>
      <c r="C919" s="16"/>
      <c r="D919" s="40"/>
      <c r="E919" s="17"/>
      <c r="F919" s="21"/>
      <c r="G919" s="16"/>
      <c r="H919" s="16"/>
      <c r="I919" s="22"/>
      <c r="J919" s="22"/>
      <c r="K919" s="16"/>
      <c r="L919" s="16"/>
      <c r="M919" s="16"/>
      <c r="N919" s="19"/>
      <c r="O919" s="19"/>
      <c r="P919" s="19"/>
      <c r="Q919" s="19"/>
      <c r="R919" s="19"/>
      <c r="S919" s="19"/>
      <c r="T919" s="19"/>
      <c r="U919" s="19"/>
      <c r="V919" s="59"/>
      <c r="W919" s="20"/>
      <c r="X919" s="43"/>
    </row>
    <row r="920" spans="1:24" ht="15.75" hidden="1" customHeight="1" x14ac:dyDescent="0.25">
      <c r="A920" s="16"/>
      <c r="B920" s="16"/>
      <c r="C920" s="16"/>
      <c r="D920" s="40"/>
      <c r="E920" s="17"/>
      <c r="F920" s="21"/>
      <c r="G920" s="16"/>
      <c r="H920" s="16"/>
      <c r="I920" s="22"/>
      <c r="J920" s="22"/>
      <c r="K920" s="16"/>
      <c r="L920" s="16"/>
      <c r="M920" s="16"/>
      <c r="N920" s="19"/>
      <c r="O920" s="19"/>
      <c r="P920" s="19"/>
      <c r="Q920" s="19"/>
      <c r="R920" s="19"/>
      <c r="S920" s="19"/>
      <c r="T920" s="19"/>
      <c r="U920" s="19"/>
      <c r="V920" s="59"/>
      <c r="W920" s="20"/>
      <c r="X920" s="43"/>
    </row>
    <row r="921" spans="1:24" ht="15.75" hidden="1" customHeight="1" x14ac:dyDescent="0.25">
      <c r="A921" s="16"/>
      <c r="B921" s="16"/>
      <c r="C921" s="16"/>
      <c r="D921" s="40"/>
      <c r="E921" s="17"/>
      <c r="F921" s="21"/>
      <c r="G921" s="16"/>
      <c r="H921" s="16"/>
      <c r="I921" s="22"/>
      <c r="J921" s="22"/>
      <c r="K921" s="16"/>
      <c r="L921" s="16"/>
      <c r="M921" s="16"/>
      <c r="N921" s="19"/>
      <c r="O921" s="19"/>
      <c r="P921" s="19"/>
      <c r="Q921" s="19"/>
      <c r="R921" s="19"/>
      <c r="S921" s="19"/>
      <c r="T921" s="19"/>
      <c r="U921" s="19"/>
      <c r="V921" s="59"/>
      <c r="W921" s="20"/>
      <c r="X921" s="43"/>
    </row>
    <row r="922" spans="1:24" ht="15.75" hidden="1" customHeight="1" x14ac:dyDescent="0.25">
      <c r="A922" s="16"/>
      <c r="B922" s="16"/>
      <c r="C922" s="16"/>
      <c r="D922" s="40"/>
      <c r="E922" s="17"/>
      <c r="F922" s="21"/>
      <c r="G922" s="16"/>
      <c r="H922" s="16"/>
      <c r="I922" s="22"/>
      <c r="J922" s="22"/>
      <c r="K922" s="16"/>
      <c r="L922" s="16"/>
      <c r="M922" s="16"/>
      <c r="N922" s="19"/>
      <c r="O922" s="19"/>
      <c r="P922" s="19"/>
      <c r="Q922" s="19"/>
      <c r="R922" s="19"/>
      <c r="S922" s="19"/>
      <c r="T922" s="19"/>
      <c r="U922" s="19"/>
      <c r="V922" s="59"/>
      <c r="W922" s="20"/>
      <c r="X922" s="43"/>
    </row>
    <row r="923" spans="1:24" ht="15.75" hidden="1" customHeight="1" x14ac:dyDescent="0.25">
      <c r="A923" s="16"/>
      <c r="B923" s="16"/>
      <c r="C923" s="16"/>
      <c r="D923" s="40"/>
      <c r="E923" s="17"/>
      <c r="F923" s="21"/>
      <c r="G923" s="16"/>
      <c r="H923" s="16"/>
      <c r="I923" s="22"/>
      <c r="J923" s="22"/>
      <c r="K923" s="16"/>
      <c r="L923" s="16"/>
      <c r="M923" s="16"/>
      <c r="N923" s="19"/>
      <c r="O923" s="19"/>
      <c r="P923" s="19"/>
      <c r="Q923" s="19"/>
      <c r="R923" s="19"/>
      <c r="S923" s="19"/>
      <c r="T923" s="19"/>
      <c r="U923" s="19"/>
      <c r="V923" s="59"/>
      <c r="W923" s="20"/>
      <c r="X923" s="43"/>
    </row>
    <row r="924" spans="1:24" ht="15.75" hidden="1" customHeight="1" x14ac:dyDescent="0.25">
      <c r="A924" s="16"/>
      <c r="B924" s="16"/>
      <c r="C924" s="16"/>
      <c r="D924" s="40"/>
      <c r="E924" s="17"/>
      <c r="F924" s="21"/>
      <c r="G924" s="16"/>
      <c r="H924" s="16"/>
      <c r="I924" s="22"/>
      <c r="J924" s="22"/>
      <c r="K924" s="16"/>
      <c r="L924" s="16"/>
      <c r="M924" s="16"/>
      <c r="N924" s="19"/>
      <c r="O924" s="19"/>
      <c r="P924" s="19"/>
      <c r="Q924" s="19"/>
      <c r="R924" s="19"/>
      <c r="S924" s="19"/>
      <c r="T924" s="19"/>
      <c r="U924" s="19"/>
      <c r="V924" s="59"/>
      <c r="W924" s="20"/>
      <c r="X924" s="43"/>
    </row>
    <row r="925" spans="1:24" ht="15.75" hidden="1" customHeight="1" x14ac:dyDescent="0.25">
      <c r="A925" s="16"/>
      <c r="B925" s="16"/>
      <c r="C925" s="16"/>
      <c r="D925" s="40"/>
      <c r="E925" s="17"/>
      <c r="F925" s="21"/>
      <c r="G925" s="16"/>
      <c r="H925" s="16"/>
      <c r="I925" s="22"/>
      <c r="J925" s="22"/>
      <c r="K925" s="16"/>
      <c r="L925" s="16"/>
      <c r="M925" s="16"/>
      <c r="N925" s="19"/>
      <c r="O925" s="19"/>
      <c r="P925" s="19"/>
      <c r="Q925" s="19"/>
      <c r="R925" s="19"/>
      <c r="S925" s="19"/>
      <c r="T925" s="19"/>
      <c r="U925" s="19"/>
      <c r="V925" s="59"/>
      <c r="W925" s="20"/>
      <c r="X925" s="43"/>
    </row>
    <row r="926" spans="1:24" ht="15.75" hidden="1" customHeight="1" x14ac:dyDescent="0.25">
      <c r="A926" s="16"/>
      <c r="B926" s="16"/>
      <c r="C926" s="16"/>
      <c r="D926" s="40"/>
      <c r="E926" s="17"/>
      <c r="F926" s="21"/>
      <c r="G926" s="16"/>
      <c r="H926" s="16"/>
      <c r="I926" s="22"/>
      <c r="J926" s="22"/>
      <c r="K926" s="16"/>
      <c r="L926" s="16"/>
      <c r="M926" s="16"/>
      <c r="N926" s="19"/>
      <c r="O926" s="19"/>
      <c r="P926" s="19"/>
      <c r="Q926" s="19"/>
      <c r="R926" s="19"/>
      <c r="S926" s="19"/>
      <c r="T926" s="19"/>
      <c r="U926" s="19"/>
      <c r="V926" s="59"/>
      <c r="W926" s="20"/>
      <c r="X926" s="43"/>
    </row>
    <row r="927" spans="1:24" ht="15.75" hidden="1" customHeight="1" x14ac:dyDescent="0.25">
      <c r="A927" s="16"/>
      <c r="B927" s="16"/>
      <c r="C927" s="16"/>
      <c r="D927" s="40"/>
      <c r="E927" s="17"/>
      <c r="F927" s="21"/>
      <c r="G927" s="16"/>
      <c r="H927" s="16"/>
      <c r="I927" s="22"/>
      <c r="J927" s="22"/>
      <c r="K927" s="16"/>
      <c r="L927" s="16"/>
      <c r="M927" s="16"/>
      <c r="N927" s="19"/>
      <c r="O927" s="19"/>
      <c r="P927" s="19"/>
      <c r="Q927" s="19"/>
      <c r="R927" s="19"/>
      <c r="S927" s="19"/>
      <c r="T927" s="19"/>
      <c r="U927" s="19"/>
      <c r="V927" s="59"/>
      <c r="W927" s="20"/>
      <c r="X927" s="43"/>
    </row>
    <row r="928" spans="1:24" ht="15.75" hidden="1" customHeight="1" x14ac:dyDescent="0.25">
      <c r="A928" s="16"/>
      <c r="B928" s="16"/>
      <c r="C928" s="16"/>
      <c r="D928" s="40"/>
      <c r="E928" s="17"/>
      <c r="F928" s="21"/>
      <c r="G928" s="16"/>
      <c r="H928" s="16"/>
      <c r="I928" s="22"/>
      <c r="J928" s="22"/>
      <c r="K928" s="16"/>
      <c r="L928" s="16"/>
      <c r="M928" s="16"/>
      <c r="N928" s="19"/>
      <c r="O928" s="19"/>
      <c r="P928" s="19"/>
      <c r="Q928" s="19"/>
      <c r="R928" s="19"/>
      <c r="S928" s="19"/>
      <c r="T928" s="19"/>
      <c r="U928" s="19"/>
      <c r="V928" s="59"/>
      <c r="W928" s="20"/>
      <c r="X928" s="43"/>
    </row>
    <row r="929" spans="1:24" ht="15.75" hidden="1" customHeight="1" x14ac:dyDescent="0.25">
      <c r="A929" s="16"/>
      <c r="B929" s="16"/>
      <c r="C929" s="16"/>
      <c r="D929" s="40"/>
      <c r="E929" s="17"/>
      <c r="F929" s="21"/>
      <c r="G929" s="16"/>
      <c r="H929" s="16"/>
      <c r="I929" s="22"/>
      <c r="J929" s="22"/>
      <c r="K929" s="16"/>
      <c r="L929" s="16"/>
      <c r="M929" s="16"/>
      <c r="N929" s="19"/>
      <c r="O929" s="19"/>
      <c r="P929" s="19"/>
      <c r="Q929" s="19"/>
      <c r="R929" s="19"/>
      <c r="S929" s="19"/>
      <c r="T929" s="19"/>
      <c r="U929" s="19"/>
      <c r="V929" s="59"/>
      <c r="W929" s="20"/>
      <c r="X929" s="43"/>
    </row>
    <row r="930" spans="1:24" ht="15.75" hidden="1" customHeight="1" x14ac:dyDescent="0.25">
      <c r="A930" s="16"/>
      <c r="B930" s="16"/>
      <c r="C930" s="16"/>
      <c r="D930" s="40"/>
      <c r="E930" s="17"/>
      <c r="F930" s="21"/>
      <c r="G930" s="16"/>
      <c r="H930" s="16"/>
      <c r="I930" s="22"/>
      <c r="J930" s="22"/>
      <c r="K930" s="16"/>
      <c r="L930" s="16"/>
      <c r="M930" s="16"/>
      <c r="N930" s="19"/>
      <c r="O930" s="19"/>
      <c r="P930" s="19"/>
      <c r="Q930" s="19"/>
      <c r="R930" s="19"/>
      <c r="S930" s="19"/>
      <c r="T930" s="19"/>
      <c r="U930" s="19"/>
      <c r="V930" s="59"/>
      <c r="W930" s="20"/>
      <c r="X930" s="43"/>
    </row>
    <row r="931" spans="1:24" ht="15.75" hidden="1" customHeight="1" x14ac:dyDescent="0.25">
      <c r="A931" s="16"/>
      <c r="B931" s="16"/>
      <c r="C931" s="16"/>
      <c r="D931" s="40"/>
      <c r="E931" s="17"/>
      <c r="F931" s="21"/>
      <c r="G931" s="16"/>
      <c r="H931" s="16"/>
      <c r="I931" s="22"/>
      <c r="J931" s="22"/>
      <c r="K931" s="16"/>
      <c r="L931" s="16"/>
      <c r="M931" s="16"/>
      <c r="N931" s="19"/>
      <c r="O931" s="19"/>
      <c r="P931" s="19"/>
      <c r="Q931" s="19"/>
      <c r="R931" s="19"/>
      <c r="S931" s="19"/>
      <c r="T931" s="19"/>
      <c r="U931" s="19"/>
      <c r="V931" s="59"/>
      <c r="W931" s="20"/>
      <c r="X931" s="43"/>
    </row>
    <row r="932" spans="1:24" ht="15.75" hidden="1" customHeight="1" x14ac:dyDescent="0.25">
      <c r="A932" s="16"/>
      <c r="B932" s="16"/>
      <c r="C932" s="16"/>
      <c r="D932" s="40"/>
      <c r="E932" s="17"/>
      <c r="F932" s="21"/>
      <c r="G932" s="16"/>
      <c r="H932" s="16"/>
      <c r="I932" s="22"/>
      <c r="J932" s="22"/>
      <c r="K932" s="16"/>
      <c r="L932" s="16"/>
      <c r="M932" s="16"/>
      <c r="N932" s="19"/>
      <c r="O932" s="19"/>
      <c r="P932" s="19"/>
      <c r="Q932" s="19"/>
      <c r="R932" s="19"/>
      <c r="S932" s="19"/>
      <c r="T932" s="19"/>
      <c r="U932" s="19"/>
      <c r="V932" s="59"/>
      <c r="W932" s="20"/>
      <c r="X932" s="43"/>
    </row>
    <row r="933" spans="1:24" ht="15.75" hidden="1" customHeight="1" x14ac:dyDescent="0.25">
      <c r="A933" s="16"/>
      <c r="B933" s="16"/>
      <c r="C933" s="16"/>
      <c r="D933" s="40"/>
      <c r="E933" s="17"/>
      <c r="F933" s="21"/>
      <c r="G933" s="16"/>
      <c r="H933" s="16"/>
      <c r="I933" s="22"/>
      <c r="J933" s="22"/>
      <c r="K933" s="16"/>
      <c r="L933" s="16"/>
      <c r="M933" s="16"/>
      <c r="N933" s="19"/>
      <c r="O933" s="19"/>
      <c r="P933" s="19"/>
      <c r="Q933" s="19"/>
      <c r="R933" s="19"/>
      <c r="S933" s="19"/>
      <c r="T933" s="19"/>
      <c r="U933" s="19"/>
      <c r="V933" s="59"/>
      <c r="W933" s="20"/>
      <c r="X933" s="43"/>
    </row>
    <row r="934" spans="1:24" ht="15.75" hidden="1" customHeight="1" x14ac:dyDescent="0.25">
      <c r="A934" s="16"/>
      <c r="B934" s="16"/>
      <c r="C934" s="16"/>
      <c r="D934" s="40"/>
      <c r="E934" s="17"/>
      <c r="F934" s="21"/>
      <c r="G934" s="16"/>
      <c r="H934" s="16"/>
      <c r="I934" s="22"/>
      <c r="J934" s="22"/>
      <c r="K934" s="16"/>
      <c r="L934" s="16"/>
      <c r="M934" s="16"/>
      <c r="N934" s="19"/>
      <c r="O934" s="19"/>
      <c r="P934" s="19"/>
      <c r="Q934" s="19"/>
      <c r="R934" s="19"/>
      <c r="S934" s="19"/>
      <c r="T934" s="19"/>
      <c r="U934" s="19"/>
      <c r="V934" s="59"/>
      <c r="W934" s="20"/>
      <c r="X934" s="43"/>
    </row>
    <row r="935" spans="1:24" ht="15.75" hidden="1" customHeight="1" x14ac:dyDescent="0.25">
      <c r="A935" s="16"/>
      <c r="B935" s="16"/>
      <c r="C935" s="16"/>
      <c r="D935" s="40"/>
      <c r="E935" s="17"/>
      <c r="F935" s="21"/>
      <c r="G935" s="16"/>
      <c r="H935" s="16"/>
      <c r="I935" s="22"/>
      <c r="J935" s="22"/>
      <c r="K935" s="16"/>
      <c r="L935" s="16"/>
      <c r="M935" s="16"/>
      <c r="N935" s="19"/>
      <c r="O935" s="19"/>
      <c r="P935" s="19"/>
      <c r="Q935" s="19"/>
      <c r="R935" s="19"/>
      <c r="S935" s="19"/>
      <c r="T935" s="19"/>
      <c r="U935" s="19"/>
      <c r="V935" s="59"/>
      <c r="W935" s="20"/>
      <c r="X935" s="43"/>
    </row>
    <row r="936" spans="1:24" ht="15.75" hidden="1" customHeight="1" x14ac:dyDescent="0.25">
      <c r="A936" s="16"/>
      <c r="B936" s="16"/>
      <c r="C936" s="16"/>
      <c r="D936" s="40"/>
      <c r="E936" s="17"/>
      <c r="F936" s="21"/>
      <c r="G936" s="16"/>
      <c r="H936" s="16"/>
      <c r="I936" s="22"/>
      <c r="J936" s="22"/>
      <c r="K936" s="16"/>
      <c r="L936" s="16"/>
      <c r="M936" s="16"/>
      <c r="N936" s="19"/>
      <c r="O936" s="19"/>
      <c r="P936" s="19"/>
      <c r="Q936" s="19"/>
      <c r="R936" s="19"/>
      <c r="S936" s="19"/>
      <c r="T936" s="19"/>
      <c r="U936" s="19"/>
      <c r="V936" s="59"/>
      <c r="W936" s="20"/>
      <c r="X936" s="43"/>
    </row>
    <row r="937" spans="1:24" ht="15.75" hidden="1" customHeight="1" x14ac:dyDescent="0.25">
      <c r="A937" s="16"/>
      <c r="B937" s="16"/>
      <c r="C937" s="16"/>
      <c r="D937" s="40"/>
      <c r="E937" s="17"/>
      <c r="F937" s="21"/>
      <c r="G937" s="16"/>
      <c r="H937" s="16"/>
      <c r="I937" s="22"/>
      <c r="J937" s="22"/>
      <c r="K937" s="16"/>
      <c r="L937" s="16"/>
      <c r="M937" s="16"/>
      <c r="N937" s="19"/>
      <c r="O937" s="19"/>
      <c r="P937" s="19"/>
      <c r="Q937" s="19"/>
      <c r="R937" s="19"/>
      <c r="S937" s="19"/>
      <c r="T937" s="19"/>
      <c r="U937" s="19"/>
      <c r="V937" s="59"/>
      <c r="W937" s="20"/>
      <c r="X937" s="43"/>
    </row>
    <row r="938" spans="1:24" ht="15.75" hidden="1" customHeight="1" x14ac:dyDescent="0.25">
      <c r="A938" s="16"/>
      <c r="B938" s="16"/>
      <c r="C938" s="16"/>
      <c r="D938" s="40"/>
      <c r="E938" s="17"/>
      <c r="F938" s="21"/>
      <c r="G938" s="16"/>
      <c r="H938" s="16"/>
      <c r="I938" s="22"/>
      <c r="J938" s="22"/>
      <c r="K938" s="16"/>
      <c r="L938" s="16"/>
      <c r="M938" s="16"/>
      <c r="N938" s="19"/>
      <c r="O938" s="19"/>
      <c r="P938" s="19"/>
      <c r="Q938" s="19"/>
      <c r="R938" s="19"/>
      <c r="S938" s="19"/>
      <c r="T938" s="19"/>
      <c r="U938" s="19"/>
      <c r="V938" s="59"/>
      <c r="W938" s="20"/>
      <c r="X938" s="43"/>
    </row>
    <row r="939" spans="1:24" ht="15.75" hidden="1" customHeight="1" x14ac:dyDescent="0.25">
      <c r="A939" s="16"/>
      <c r="B939" s="16"/>
      <c r="C939" s="16"/>
      <c r="D939" s="40"/>
      <c r="E939" s="17"/>
      <c r="F939" s="21"/>
      <c r="G939" s="16"/>
      <c r="H939" s="16"/>
      <c r="I939" s="22"/>
      <c r="J939" s="22"/>
      <c r="K939" s="16"/>
      <c r="L939" s="16"/>
      <c r="M939" s="16"/>
      <c r="N939" s="19"/>
      <c r="O939" s="19"/>
      <c r="P939" s="19"/>
      <c r="Q939" s="19"/>
      <c r="R939" s="19"/>
      <c r="S939" s="19"/>
      <c r="T939" s="19"/>
      <c r="U939" s="19"/>
      <c r="V939" s="59"/>
      <c r="W939" s="20"/>
      <c r="X939" s="43"/>
    </row>
    <row r="940" spans="1:24" ht="15.75" hidden="1" customHeight="1" x14ac:dyDescent="0.25">
      <c r="A940" s="16"/>
      <c r="B940" s="16"/>
      <c r="C940" s="16"/>
      <c r="D940" s="40"/>
      <c r="E940" s="17"/>
      <c r="F940" s="21"/>
      <c r="G940" s="16"/>
      <c r="H940" s="16"/>
      <c r="I940" s="22"/>
      <c r="J940" s="22"/>
      <c r="K940" s="16"/>
      <c r="L940" s="16"/>
      <c r="M940" s="16"/>
      <c r="N940" s="19"/>
      <c r="O940" s="19"/>
      <c r="P940" s="19"/>
      <c r="Q940" s="19"/>
      <c r="R940" s="19"/>
      <c r="S940" s="19"/>
      <c r="T940" s="19"/>
      <c r="U940" s="19"/>
      <c r="V940" s="59"/>
      <c r="W940" s="20"/>
      <c r="X940" s="43"/>
    </row>
    <row r="941" spans="1:24" ht="15.75" hidden="1" customHeight="1" x14ac:dyDescent="0.25">
      <c r="A941" s="16"/>
      <c r="B941" s="16"/>
      <c r="C941" s="16"/>
      <c r="D941" s="40"/>
      <c r="E941" s="17"/>
      <c r="F941" s="21"/>
      <c r="G941" s="16"/>
      <c r="H941" s="16"/>
      <c r="I941" s="22"/>
      <c r="J941" s="22"/>
      <c r="K941" s="16"/>
      <c r="L941" s="16"/>
      <c r="M941" s="16"/>
      <c r="N941" s="19"/>
      <c r="O941" s="19"/>
      <c r="P941" s="19"/>
      <c r="Q941" s="19"/>
      <c r="R941" s="19"/>
      <c r="S941" s="19"/>
      <c r="T941" s="19"/>
      <c r="U941" s="19"/>
      <c r="V941" s="59"/>
      <c r="W941" s="20"/>
      <c r="X941" s="43"/>
    </row>
    <row r="942" spans="1:24" ht="15.75" hidden="1" customHeight="1" x14ac:dyDescent="0.25">
      <c r="A942" s="16"/>
      <c r="B942" s="16"/>
      <c r="C942" s="16"/>
      <c r="D942" s="40"/>
      <c r="E942" s="17"/>
      <c r="F942" s="21"/>
      <c r="G942" s="16"/>
      <c r="H942" s="16"/>
      <c r="I942" s="22"/>
      <c r="J942" s="22"/>
      <c r="K942" s="16"/>
      <c r="L942" s="16"/>
      <c r="M942" s="16"/>
      <c r="N942" s="19"/>
      <c r="O942" s="19"/>
      <c r="P942" s="19"/>
      <c r="Q942" s="19"/>
      <c r="R942" s="19"/>
      <c r="S942" s="19"/>
      <c r="T942" s="19"/>
      <c r="U942" s="19"/>
      <c r="V942" s="59"/>
      <c r="W942" s="20"/>
      <c r="X942" s="43"/>
    </row>
    <row r="943" spans="1:24" ht="15.75" hidden="1" customHeight="1" x14ac:dyDescent="0.25">
      <c r="A943" s="16"/>
      <c r="B943" s="16"/>
      <c r="C943" s="16"/>
      <c r="D943" s="40"/>
      <c r="E943" s="17"/>
      <c r="F943" s="21"/>
      <c r="G943" s="16"/>
      <c r="H943" s="16"/>
      <c r="I943" s="22"/>
      <c r="J943" s="22"/>
      <c r="K943" s="16"/>
      <c r="L943" s="16"/>
      <c r="M943" s="16"/>
      <c r="N943" s="19"/>
      <c r="O943" s="19"/>
      <c r="P943" s="19"/>
      <c r="Q943" s="19"/>
      <c r="R943" s="19"/>
      <c r="S943" s="19"/>
      <c r="T943" s="19"/>
      <c r="U943" s="19"/>
      <c r="V943" s="59"/>
      <c r="W943" s="20"/>
      <c r="X943" s="43"/>
    </row>
    <row r="944" spans="1:24" ht="15.75" hidden="1" customHeight="1" x14ac:dyDescent="0.25">
      <c r="A944" s="16"/>
      <c r="B944" s="16"/>
      <c r="C944" s="16"/>
      <c r="D944" s="40"/>
      <c r="E944" s="17"/>
      <c r="F944" s="21"/>
      <c r="G944" s="16"/>
      <c r="H944" s="16"/>
      <c r="I944" s="22"/>
      <c r="J944" s="22"/>
      <c r="K944" s="16"/>
      <c r="L944" s="16"/>
      <c r="M944" s="16"/>
      <c r="N944" s="19"/>
      <c r="O944" s="19"/>
      <c r="P944" s="19"/>
      <c r="Q944" s="19"/>
      <c r="R944" s="19"/>
      <c r="S944" s="19"/>
      <c r="T944" s="19"/>
      <c r="U944" s="19"/>
      <c r="V944" s="59"/>
      <c r="W944" s="20"/>
      <c r="X944" s="43"/>
    </row>
    <row r="945" spans="1:24" ht="15.75" hidden="1" customHeight="1" x14ac:dyDescent="0.25">
      <c r="A945" s="16"/>
      <c r="B945" s="16"/>
      <c r="C945" s="16"/>
      <c r="D945" s="40"/>
      <c r="E945" s="17"/>
      <c r="F945" s="21"/>
      <c r="G945" s="16"/>
      <c r="H945" s="16"/>
      <c r="I945" s="22"/>
      <c r="J945" s="22"/>
      <c r="K945" s="16"/>
      <c r="L945" s="16"/>
      <c r="M945" s="16"/>
      <c r="N945" s="19"/>
      <c r="O945" s="19"/>
      <c r="P945" s="19"/>
      <c r="Q945" s="19"/>
      <c r="R945" s="19"/>
      <c r="S945" s="19"/>
      <c r="T945" s="19"/>
      <c r="U945" s="19"/>
      <c r="V945" s="59"/>
      <c r="W945" s="20"/>
      <c r="X945" s="43"/>
    </row>
    <row r="946" spans="1:24" ht="15.75" hidden="1" customHeight="1" x14ac:dyDescent="0.25">
      <c r="A946" s="16"/>
      <c r="B946" s="16"/>
      <c r="C946" s="16"/>
      <c r="D946" s="40"/>
      <c r="E946" s="17"/>
      <c r="F946" s="21"/>
      <c r="G946" s="16"/>
      <c r="H946" s="16"/>
      <c r="I946" s="22"/>
      <c r="J946" s="22"/>
      <c r="K946" s="16"/>
      <c r="L946" s="16"/>
      <c r="M946" s="16"/>
      <c r="N946" s="19"/>
      <c r="O946" s="19"/>
      <c r="P946" s="19"/>
      <c r="Q946" s="19"/>
      <c r="R946" s="19"/>
      <c r="S946" s="19"/>
      <c r="T946" s="19"/>
      <c r="U946" s="19"/>
      <c r="V946" s="59"/>
      <c r="W946" s="20"/>
      <c r="X946" s="43"/>
    </row>
    <row r="947" spans="1:24" ht="15.75" hidden="1" customHeight="1" x14ac:dyDescent="0.25">
      <c r="A947" s="16"/>
      <c r="B947" s="16"/>
      <c r="C947" s="16"/>
      <c r="D947" s="40"/>
      <c r="E947" s="17"/>
      <c r="F947" s="21"/>
      <c r="G947" s="16"/>
      <c r="H947" s="16"/>
      <c r="I947" s="22"/>
      <c r="J947" s="22"/>
      <c r="K947" s="16"/>
      <c r="L947" s="16"/>
      <c r="M947" s="16"/>
      <c r="N947" s="19"/>
      <c r="O947" s="19"/>
      <c r="P947" s="19"/>
      <c r="Q947" s="19"/>
      <c r="R947" s="19"/>
      <c r="S947" s="19"/>
      <c r="T947" s="19"/>
      <c r="U947" s="19"/>
      <c r="V947" s="59"/>
      <c r="W947" s="20"/>
      <c r="X947" s="43"/>
    </row>
    <row r="948" spans="1:24" ht="15.75" hidden="1" customHeight="1" x14ac:dyDescent="0.25">
      <c r="A948" s="16"/>
      <c r="B948" s="16"/>
      <c r="C948" s="16"/>
      <c r="D948" s="40"/>
      <c r="E948" s="17"/>
      <c r="F948" s="21"/>
      <c r="G948" s="16"/>
      <c r="H948" s="16"/>
      <c r="I948" s="22"/>
      <c r="J948" s="22"/>
      <c r="K948" s="16"/>
      <c r="L948" s="16"/>
      <c r="M948" s="16"/>
      <c r="N948" s="19"/>
      <c r="O948" s="19"/>
      <c r="P948" s="19"/>
      <c r="Q948" s="19"/>
      <c r="R948" s="19"/>
      <c r="S948" s="19"/>
      <c r="T948" s="19"/>
      <c r="U948" s="19"/>
      <c r="V948" s="59"/>
      <c r="W948" s="20"/>
      <c r="X948" s="43"/>
    </row>
    <row r="949" spans="1:24" ht="15.75" hidden="1" customHeight="1" x14ac:dyDescent="0.25">
      <c r="A949" s="16"/>
      <c r="B949" s="16"/>
      <c r="C949" s="16"/>
      <c r="D949" s="40"/>
      <c r="E949" s="17"/>
      <c r="F949" s="21"/>
      <c r="G949" s="16"/>
      <c r="H949" s="16"/>
      <c r="I949" s="22"/>
      <c r="J949" s="22"/>
      <c r="K949" s="16"/>
      <c r="L949" s="16"/>
      <c r="M949" s="16"/>
      <c r="N949" s="19"/>
      <c r="O949" s="19"/>
      <c r="P949" s="19"/>
      <c r="Q949" s="19"/>
      <c r="R949" s="19"/>
      <c r="S949" s="19"/>
      <c r="T949" s="19"/>
      <c r="U949" s="19"/>
      <c r="V949" s="59"/>
      <c r="W949" s="20"/>
      <c r="X949" s="43"/>
    </row>
    <row r="950" spans="1:24" ht="15.75" hidden="1" customHeight="1" x14ac:dyDescent="0.25">
      <c r="A950" s="16"/>
      <c r="B950" s="16"/>
      <c r="C950" s="16"/>
      <c r="D950" s="40"/>
      <c r="E950" s="17"/>
      <c r="F950" s="21"/>
      <c r="G950" s="16"/>
      <c r="H950" s="16"/>
      <c r="I950" s="22"/>
      <c r="J950" s="22"/>
      <c r="K950" s="16"/>
      <c r="L950" s="16"/>
      <c r="M950" s="16"/>
      <c r="N950" s="19"/>
      <c r="O950" s="19"/>
      <c r="P950" s="19"/>
      <c r="Q950" s="19"/>
      <c r="R950" s="19"/>
      <c r="S950" s="19"/>
      <c r="T950" s="19"/>
      <c r="U950" s="19"/>
      <c r="V950" s="59"/>
      <c r="W950" s="20"/>
      <c r="X950" s="43"/>
    </row>
    <row r="951" spans="1:24" ht="15.75" hidden="1" customHeight="1" x14ac:dyDescent="0.25">
      <c r="A951" s="16"/>
      <c r="B951" s="16"/>
      <c r="C951" s="16"/>
      <c r="D951" s="40"/>
      <c r="E951" s="17"/>
      <c r="F951" s="21"/>
      <c r="G951" s="16"/>
      <c r="H951" s="16"/>
      <c r="I951" s="22"/>
      <c r="J951" s="22"/>
      <c r="K951" s="16"/>
      <c r="L951" s="16"/>
      <c r="M951" s="16"/>
      <c r="N951" s="19"/>
      <c r="O951" s="19"/>
      <c r="P951" s="19"/>
      <c r="Q951" s="19"/>
      <c r="R951" s="19"/>
      <c r="S951" s="19"/>
      <c r="T951" s="19"/>
      <c r="U951" s="19"/>
      <c r="V951" s="59"/>
      <c r="W951" s="20"/>
      <c r="X951" s="43"/>
    </row>
    <row r="952" spans="1:24" ht="15.75" hidden="1" customHeight="1" x14ac:dyDescent="0.25">
      <c r="A952" s="16"/>
      <c r="B952" s="16"/>
      <c r="C952" s="16"/>
      <c r="D952" s="40"/>
      <c r="E952" s="17"/>
      <c r="F952" s="21"/>
      <c r="G952" s="16"/>
      <c r="H952" s="16"/>
      <c r="I952" s="22"/>
      <c r="J952" s="22"/>
      <c r="K952" s="16"/>
      <c r="L952" s="16"/>
      <c r="M952" s="16"/>
      <c r="N952" s="19"/>
      <c r="O952" s="19"/>
      <c r="P952" s="19"/>
      <c r="Q952" s="19"/>
      <c r="R952" s="19"/>
      <c r="S952" s="19"/>
      <c r="T952" s="19"/>
      <c r="U952" s="19"/>
      <c r="V952" s="59"/>
      <c r="W952" s="20"/>
      <c r="X952" s="43"/>
    </row>
    <row r="953" spans="1:24" ht="15.75" hidden="1" customHeight="1" x14ac:dyDescent="0.25">
      <c r="A953" s="16"/>
      <c r="B953" s="16"/>
      <c r="C953" s="16"/>
      <c r="D953" s="40"/>
      <c r="E953" s="17"/>
      <c r="F953" s="21"/>
      <c r="G953" s="16"/>
      <c r="H953" s="16"/>
      <c r="I953" s="22"/>
      <c r="J953" s="22"/>
      <c r="K953" s="16"/>
      <c r="L953" s="16"/>
      <c r="M953" s="16"/>
      <c r="N953" s="19"/>
      <c r="O953" s="19"/>
      <c r="P953" s="19"/>
      <c r="Q953" s="19"/>
      <c r="R953" s="19"/>
      <c r="S953" s="19"/>
      <c r="T953" s="19"/>
      <c r="U953" s="19"/>
      <c r="V953" s="59"/>
      <c r="W953" s="20"/>
      <c r="X953" s="43"/>
    </row>
    <row r="954" spans="1:24" ht="15.75" hidden="1" customHeight="1" x14ac:dyDescent="0.25">
      <c r="A954" s="16"/>
      <c r="B954" s="16"/>
      <c r="C954" s="16"/>
      <c r="D954" s="40"/>
      <c r="E954" s="17"/>
      <c r="F954" s="21"/>
      <c r="G954" s="16"/>
      <c r="H954" s="16"/>
      <c r="I954" s="22"/>
      <c r="J954" s="22"/>
      <c r="K954" s="16"/>
      <c r="L954" s="16"/>
      <c r="M954" s="16"/>
      <c r="N954" s="19"/>
      <c r="O954" s="19"/>
      <c r="P954" s="19"/>
      <c r="Q954" s="19"/>
      <c r="R954" s="19"/>
      <c r="S954" s="19"/>
      <c r="T954" s="19"/>
      <c r="U954" s="19"/>
      <c r="V954" s="59"/>
      <c r="W954" s="20"/>
      <c r="X954" s="43"/>
    </row>
    <row r="955" spans="1:24" ht="15.75" hidden="1" customHeight="1" x14ac:dyDescent="0.25">
      <c r="A955" s="16"/>
      <c r="B955" s="16"/>
      <c r="C955" s="16"/>
      <c r="D955" s="40"/>
      <c r="E955" s="17"/>
      <c r="F955" s="21"/>
      <c r="G955" s="16"/>
      <c r="H955" s="16"/>
      <c r="I955" s="22"/>
      <c r="J955" s="22"/>
      <c r="K955" s="16"/>
      <c r="L955" s="16"/>
      <c r="M955" s="16"/>
      <c r="N955" s="19"/>
      <c r="O955" s="19"/>
      <c r="P955" s="19"/>
      <c r="Q955" s="19"/>
      <c r="R955" s="19"/>
      <c r="S955" s="19"/>
      <c r="T955" s="19"/>
      <c r="U955" s="19"/>
      <c r="V955" s="59"/>
      <c r="W955" s="20"/>
      <c r="X955" s="43"/>
    </row>
    <row r="956" spans="1:24" ht="15.75" hidden="1" customHeight="1" x14ac:dyDescent="0.25">
      <c r="A956" s="16"/>
      <c r="B956" s="16"/>
      <c r="C956" s="16"/>
      <c r="D956" s="40"/>
      <c r="E956" s="17"/>
      <c r="F956" s="21"/>
      <c r="G956" s="16"/>
      <c r="H956" s="16"/>
      <c r="I956" s="22"/>
      <c r="J956" s="22"/>
      <c r="K956" s="16"/>
      <c r="L956" s="16"/>
      <c r="M956" s="16"/>
      <c r="N956" s="19"/>
      <c r="O956" s="19"/>
      <c r="P956" s="19"/>
      <c r="Q956" s="19"/>
      <c r="R956" s="19"/>
      <c r="S956" s="19"/>
      <c r="T956" s="19"/>
      <c r="U956" s="19"/>
      <c r="V956" s="59"/>
      <c r="W956" s="20"/>
      <c r="X956" s="43"/>
    </row>
    <row r="957" spans="1:24" ht="15.75" hidden="1" customHeight="1" x14ac:dyDescent="0.25">
      <c r="A957" s="16"/>
      <c r="B957" s="16"/>
      <c r="C957" s="16"/>
      <c r="D957" s="40"/>
      <c r="E957" s="17"/>
      <c r="F957" s="21"/>
      <c r="G957" s="16"/>
      <c r="H957" s="16"/>
      <c r="I957" s="22"/>
      <c r="J957" s="22"/>
      <c r="K957" s="16"/>
      <c r="L957" s="16"/>
      <c r="M957" s="16"/>
      <c r="N957" s="19"/>
      <c r="O957" s="19"/>
      <c r="P957" s="19"/>
      <c r="Q957" s="19"/>
      <c r="R957" s="19"/>
      <c r="S957" s="19"/>
      <c r="T957" s="19"/>
      <c r="U957" s="19"/>
      <c r="V957" s="59"/>
      <c r="W957" s="20"/>
      <c r="X957" s="43"/>
    </row>
    <row r="958" spans="1:24" ht="15.75" hidden="1" customHeight="1" x14ac:dyDescent="0.25">
      <c r="A958" s="16"/>
      <c r="B958" s="16"/>
      <c r="C958" s="16"/>
      <c r="D958" s="40"/>
      <c r="E958" s="17"/>
      <c r="F958" s="21"/>
      <c r="G958" s="16"/>
      <c r="H958" s="16"/>
      <c r="I958" s="22"/>
      <c r="J958" s="22"/>
      <c r="K958" s="16"/>
      <c r="L958" s="16"/>
      <c r="M958" s="16"/>
      <c r="N958" s="19"/>
      <c r="O958" s="19"/>
      <c r="P958" s="19"/>
      <c r="Q958" s="19"/>
      <c r="R958" s="19"/>
      <c r="S958" s="19"/>
      <c r="T958" s="19"/>
      <c r="U958" s="19"/>
      <c r="V958" s="59"/>
      <c r="W958" s="20"/>
      <c r="X958" s="43"/>
    </row>
    <row r="959" spans="1:24" ht="15.75" hidden="1" customHeight="1" x14ac:dyDescent="0.25">
      <c r="A959" s="16"/>
      <c r="B959" s="16"/>
      <c r="C959" s="16"/>
      <c r="D959" s="40"/>
      <c r="E959" s="17"/>
      <c r="F959" s="21"/>
      <c r="G959" s="16"/>
      <c r="H959" s="16"/>
      <c r="I959" s="22"/>
      <c r="J959" s="22"/>
      <c r="K959" s="16"/>
      <c r="L959" s="16"/>
      <c r="M959" s="16"/>
      <c r="N959" s="19"/>
      <c r="O959" s="19"/>
      <c r="P959" s="19"/>
      <c r="Q959" s="19"/>
      <c r="R959" s="19"/>
      <c r="S959" s="19"/>
      <c r="T959" s="19"/>
      <c r="U959" s="19"/>
      <c r="V959" s="59"/>
      <c r="W959" s="20"/>
      <c r="X959" s="43"/>
    </row>
    <row r="960" spans="1:24" ht="15.75" hidden="1" customHeight="1" x14ac:dyDescent="0.25">
      <c r="A960" s="16"/>
      <c r="B960" s="16"/>
      <c r="C960" s="16"/>
      <c r="D960" s="40"/>
      <c r="E960" s="17"/>
      <c r="F960" s="21"/>
      <c r="G960" s="16"/>
      <c r="H960" s="16"/>
      <c r="I960" s="22"/>
      <c r="J960" s="22"/>
      <c r="K960" s="16"/>
      <c r="L960" s="16"/>
      <c r="M960" s="16"/>
      <c r="N960" s="19"/>
      <c r="O960" s="19"/>
      <c r="P960" s="19"/>
      <c r="Q960" s="19"/>
      <c r="R960" s="19"/>
      <c r="S960" s="19"/>
      <c r="T960" s="19"/>
      <c r="U960" s="19"/>
      <c r="V960" s="59"/>
      <c r="W960" s="20"/>
      <c r="X960" s="43"/>
    </row>
    <row r="961" spans="1:24" ht="15.75" hidden="1" customHeight="1" x14ac:dyDescent="0.25">
      <c r="A961" s="16"/>
      <c r="B961" s="16"/>
      <c r="C961" s="16"/>
      <c r="D961" s="40"/>
      <c r="E961" s="17"/>
      <c r="F961" s="21"/>
      <c r="G961" s="16"/>
      <c r="H961" s="16"/>
      <c r="I961" s="22"/>
      <c r="J961" s="22"/>
      <c r="K961" s="16"/>
      <c r="L961" s="16"/>
      <c r="M961" s="16"/>
      <c r="N961" s="19"/>
      <c r="O961" s="19"/>
      <c r="P961" s="19"/>
      <c r="Q961" s="19"/>
      <c r="R961" s="19"/>
      <c r="S961" s="19"/>
      <c r="T961" s="19"/>
      <c r="U961" s="19"/>
      <c r="V961" s="59"/>
      <c r="W961" s="20"/>
      <c r="X961" s="43"/>
    </row>
    <row r="962" spans="1:24" ht="15.75" hidden="1" customHeight="1" x14ac:dyDescent="0.25">
      <c r="A962" s="16"/>
      <c r="B962" s="16"/>
      <c r="C962" s="16"/>
      <c r="D962" s="40"/>
      <c r="E962" s="17"/>
      <c r="F962" s="21"/>
      <c r="G962" s="16"/>
      <c r="H962" s="16"/>
      <c r="I962" s="22"/>
      <c r="J962" s="22"/>
      <c r="K962" s="16"/>
      <c r="L962" s="16"/>
      <c r="M962" s="16"/>
      <c r="N962" s="19"/>
      <c r="O962" s="19"/>
      <c r="P962" s="19"/>
      <c r="Q962" s="19"/>
      <c r="R962" s="19"/>
      <c r="S962" s="19"/>
      <c r="T962" s="19"/>
      <c r="U962" s="19"/>
      <c r="V962" s="59"/>
      <c r="W962" s="20"/>
      <c r="X962" s="43"/>
    </row>
    <row r="963" spans="1:24" ht="15.75" hidden="1" customHeight="1" x14ac:dyDescent="0.25">
      <c r="A963" s="16"/>
      <c r="B963" s="16"/>
      <c r="C963" s="16"/>
      <c r="D963" s="40"/>
      <c r="E963" s="17"/>
      <c r="F963" s="21"/>
      <c r="G963" s="16"/>
      <c r="H963" s="16"/>
      <c r="I963" s="22"/>
      <c r="J963" s="22"/>
      <c r="K963" s="16"/>
      <c r="L963" s="16"/>
      <c r="M963" s="16"/>
      <c r="N963" s="19"/>
      <c r="O963" s="19"/>
      <c r="P963" s="19"/>
      <c r="Q963" s="19"/>
      <c r="R963" s="19"/>
      <c r="S963" s="19"/>
      <c r="T963" s="19"/>
      <c r="U963" s="19"/>
      <c r="V963" s="59"/>
      <c r="W963" s="20"/>
      <c r="X963" s="43"/>
    </row>
    <row r="964" spans="1:24" ht="15.75" hidden="1" customHeight="1" x14ac:dyDescent="0.25">
      <c r="A964" s="16"/>
      <c r="B964" s="16"/>
      <c r="C964" s="16"/>
      <c r="D964" s="40"/>
      <c r="E964" s="17"/>
      <c r="F964" s="21"/>
      <c r="G964" s="16"/>
      <c r="H964" s="16"/>
      <c r="I964" s="22"/>
      <c r="J964" s="22"/>
      <c r="K964" s="16"/>
      <c r="L964" s="16"/>
      <c r="M964" s="16"/>
      <c r="N964" s="19"/>
      <c r="O964" s="19"/>
      <c r="P964" s="19"/>
      <c r="Q964" s="19"/>
      <c r="R964" s="19"/>
      <c r="S964" s="19"/>
      <c r="T964" s="19"/>
      <c r="U964" s="19"/>
      <c r="V964" s="59"/>
      <c r="W964" s="20"/>
      <c r="X964" s="43"/>
    </row>
    <row r="965" spans="1:24" ht="15.75" hidden="1" customHeight="1" x14ac:dyDescent="0.25">
      <c r="A965" s="16"/>
      <c r="B965" s="16"/>
      <c r="C965" s="16"/>
      <c r="D965" s="40"/>
      <c r="E965" s="17"/>
      <c r="F965" s="21"/>
      <c r="G965" s="16"/>
      <c r="H965" s="16"/>
      <c r="I965" s="22"/>
      <c r="J965" s="22"/>
      <c r="K965" s="16"/>
      <c r="L965" s="16"/>
      <c r="M965" s="16"/>
      <c r="N965" s="19"/>
      <c r="O965" s="19"/>
      <c r="P965" s="19"/>
      <c r="Q965" s="19"/>
      <c r="R965" s="19"/>
      <c r="S965" s="19"/>
      <c r="T965" s="19"/>
      <c r="U965" s="19"/>
      <c r="V965" s="59"/>
      <c r="W965" s="20"/>
      <c r="X965" s="43"/>
    </row>
    <row r="966" spans="1:24" ht="15.75" hidden="1" customHeight="1" x14ac:dyDescent="0.25">
      <c r="A966" s="16"/>
      <c r="B966" s="16"/>
      <c r="C966" s="16"/>
      <c r="D966" s="40"/>
      <c r="E966" s="17"/>
      <c r="F966" s="21"/>
      <c r="G966" s="16"/>
      <c r="H966" s="16"/>
      <c r="I966" s="22"/>
      <c r="J966" s="22"/>
      <c r="K966" s="16"/>
      <c r="L966" s="16"/>
      <c r="M966" s="16"/>
      <c r="N966" s="19"/>
      <c r="O966" s="19"/>
      <c r="P966" s="19"/>
      <c r="Q966" s="19"/>
      <c r="R966" s="19"/>
      <c r="S966" s="19"/>
      <c r="T966" s="19"/>
      <c r="U966" s="19"/>
      <c r="V966" s="59"/>
      <c r="W966" s="20"/>
      <c r="X966" s="43"/>
    </row>
    <row r="967" spans="1:24" ht="15.75" hidden="1" customHeight="1" x14ac:dyDescent="0.25">
      <c r="A967" s="16"/>
      <c r="B967" s="16"/>
      <c r="C967" s="16"/>
      <c r="D967" s="40"/>
      <c r="E967" s="17"/>
      <c r="F967" s="21"/>
      <c r="G967" s="16"/>
      <c r="H967" s="16"/>
      <c r="I967" s="22"/>
      <c r="J967" s="22"/>
      <c r="K967" s="16"/>
      <c r="L967" s="16"/>
      <c r="M967" s="16"/>
      <c r="N967" s="19"/>
      <c r="O967" s="19"/>
      <c r="P967" s="19"/>
      <c r="Q967" s="19"/>
      <c r="R967" s="19"/>
      <c r="S967" s="19"/>
      <c r="T967" s="19"/>
      <c r="U967" s="19"/>
      <c r="V967" s="59"/>
      <c r="W967" s="20"/>
      <c r="X967" s="43"/>
    </row>
    <row r="968" spans="1:24" ht="15.75" hidden="1" customHeight="1" x14ac:dyDescent="0.25">
      <c r="A968" s="16"/>
      <c r="B968" s="16"/>
      <c r="C968" s="16"/>
      <c r="D968" s="40"/>
      <c r="E968" s="17"/>
      <c r="F968" s="21"/>
      <c r="G968" s="16"/>
      <c r="H968" s="16"/>
      <c r="I968" s="22"/>
      <c r="J968" s="22"/>
      <c r="K968" s="16"/>
      <c r="L968" s="16"/>
      <c r="M968" s="16"/>
      <c r="N968" s="19"/>
      <c r="O968" s="19"/>
      <c r="P968" s="19"/>
      <c r="Q968" s="19"/>
      <c r="R968" s="19"/>
      <c r="S968" s="19"/>
      <c r="T968" s="19"/>
      <c r="U968" s="19"/>
      <c r="V968" s="59"/>
      <c r="W968" s="20"/>
      <c r="X968" s="43"/>
    </row>
    <row r="969" spans="1:24" ht="15.75" hidden="1" customHeight="1" x14ac:dyDescent="0.25">
      <c r="A969" s="16"/>
      <c r="B969" s="16"/>
      <c r="C969" s="16"/>
      <c r="D969" s="40"/>
      <c r="E969" s="17"/>
      <c r="F969" s="21"/>
      <c r="G969" s="16"/>
      <c r="H969" s="16"/>
      <c r="I969" s="22"/>
      <c r="J969" s="22"/>
      <c r="K969" s="16"/>
      <c r="L969" s="16"/>
      <c r="M969" s="16"/>
      <c r="N969" s="19"/>
      <c r="O969" s="19"/>
      <c r="P969" s="19"/>
      <c r="Q969" s="19"/>
      <c r="R969" s="19"/>
      <c r="S969" s="19"/>
      <c r="T969" s="19"/>
      <c r="U969" s="19"/>
      <c r="V969" s="59"/>
      <c r="W969" s="20"/>
      <c r="X969" s="43"/>
    </row>
    <row r="970" spans="1:24" ht="15.75" hidden="1" customHeight="1" x14ac:dyDescent="0.25">
      <c r="A970" s="16"/>
      <c r="B970" s="16"/>
      <c r="C970" s="16"/>
      <c r="D970" s="40"/>
      <c r="E970" s="17"/>
      <c r="F970" s="21"/>
      <c r="G970" s="16"/>
      <c r="H970" s="16"/>
      <c r="I970" s="22"/>
      <c r="J970" s="22"/>
      <c r="K970" s="16"/>
      <c r="L970" s="16"/>
      <c r="M970" s="16"/>
      <c r="N970" s="19"/>
      <c r="O970" s="19"/>
      <c r="P970" s="19"/>
      <c r="Q970" s="19"/>
      <c r="R970" s="19"/>
      <c r="S970" s="19"/>
      <c r="T970" s="19"/>
      <c r="U970" s="19"/>
      <c r="V970" s="59"/>
      <c r="W970" s="20"/>
      <c r="X970" s="43"/>
    </row>
    <row r="971" spans="1:24" ht="15.75" hidden="1" customHeight="1" x14ac:dyDescent="0.25">
      <c r="A971" s="16"/>
      <c r="B971" s="16"/>
      <c r="C971" s="16"/>
      <c r="D971" s="40"/>
      <c r="E971" s="17"/>
      <c r="F971" s="21"/>
      <c r="G971" s="16"/>
      <c r="H971" s="16"/>
      <c r="I971" s="22"/>
      <c r="J971" s="22"/>
      <c r="K971" s="16"/>
      <c r="L971" s="16"/>
      <c r="M971" s="16"/>
      <c r="N971" s="19"/>
      <c r="O971" s="19"/>
      <c r="P971" s="19"/>
      <c r="Q971" s="19"/>
      <c r="R971" s="19"/>
      <c r="S971" s="19"/>
      <c r="T971" s="19"/>
      <c r="U971" s="19"/>
      <c r="V971" s="59"/>
      <c r="W971" s="20"/>
      <c r="X971" s="43"/>
    </row>
    <row r="972" spans="1:24" ht="15.75" hidden="1" customHeight="1" x14ac:dyDescent="0.25">
      <c r="A972" s="16"/>
      <c r="B972" s="16"/>
      <c r="C972" s="16"/>
      <c r="D972" s="40"/>
      <c r="E972" s="17"/>
      <c r="F972" s="21"/>
      <c r="G972" s="16"/>
      <c r="H972" s="16"/>
      <c r="I972" s="22"/>
      <c r="J972" s="22"/>
      <c r="K972" s="16"/>
      <c r="L972" s="16"/>
      <c r="M972" s="16"/>
      <c r="N972" s="19"/>
      <c r="O972" s="19"/>
      <c r="P972" s="19"/>
      <c r="Q972" s="19"/>
      <c r="R972" s="19"/>
      <c r="S972" s="19"/>
      <c r="T972" s="19"/>
      <c r="U972" s="19"/>
      <c r="V972" s="59"/>
      <c r="W972" s="20"/>
      <c r="X972" s="43"/>
    </row>
    <row r="973" spans="1:24" ht="15.75" hidden="1" customHeight="1" x14ac:dyDescent="0.25">
      <c r="A973" s="16"/>
      <c r="B973" s="16"/>
      <c r="C973" s="16"/>
      <c r="D973" s="40"/>
      <c r="E973" s="17"/>
      <c r="F973" s="21"/>
      <c r="G973" s="16"/>
      <c r="H973" s="16"/>
      <c r="I973" s="22"/>
      <c r="J973" s="22"/>
      <c r="K973" s="16"/>
      <c r="L973" s="16"/>
      <c r="M973" s="16"/>
      <c r="N973" s="19"/>
      <c r="O973" s="19"/>
      <c r="P973" s="19"/>
      <c r="Q973" s="19"/>
      <c r="R973" s="19"/>
      <c r="S973" s="19"/>
      <c r="T973" s="19"/>
      <c r="U973" s="19"/>
      <c r="V973" s="59"/>
      <c r="W973" s="20"/>
      <c r="X973" s="43"/>
    </row>
    <row r="974" spans="1:24" ht="15.75" hidden="1" customHeight="1" x14ac:dyDescent="0.25">
      <c r="A974" s="16"/>
      <c r="B974" s="16"/>
      <c r="C974" s="16"/>
      <c r="D974" s="40"/>
      <c r="E974" s="17"/>
      <c r="F974" s="21"/>
      <c r="G974" s="16"/>
      <c r="H974" s="16"/>
      <c r="I974" s="22"/>
      <c r="J974" s="22"/>
      <c r="K974" s="16"/>
      <c r="L974" s="16"/>
      <c r="M974" s="16"/>
      <c r="N974" s="19"/>
      <c r="O974" s="19"/>
      <c r="P974" s="19"/>
      <c r="Q974" s="19"/>
      <c r="R974" s="19"/>
      <c r="S974" s="19"/>
      <c r="T974" s="19"/>
      <c r="U974" s="19"/>
      <c r="V974" s="59"/>
      <c r="W974" s="20"/>
      <c r="X974" s="43"/>
    </row>
    <row r="975" spans="1:24" ht="15.75" hidden="1" customHeight="1" x14ac:dyDescent="0.25">
      <c r="A975" s="16"/>
      <c r="B975" s="16"/>
      <c r="C975" s="16"/>
      <c r="D975" s="40"/>
      <c r="E975" s="17"/>
      <c r="F975" s="21"/>
      <c r="G975" s="16"/>
      <c r="H975" s="16"/>
      <c r="I975" s="22"/>
      <c r="J975" s="22"/>
      <c r="K975" s="16"/>
      <c r="L975" s="16"/>
      <c r="M975" s="16"/>
      <c r="N975" s="19"/>
      <c r="O975" s="19"/>
      <c r="P975" s="19"/>
      <c r="Q975" s="19"/>
      <c r="R975" s="19"/>
      <c r="S975" s="19"/>
      <c r="T975" s="19"/>
      <c r="U975" s="19"/>
      <c r="V975" s="59"/>
      <c r="W975" s="20"/>
      <c r="X975" s="43"/>
    </row>
    <row r="976" spans="1:24" ht="15.75" hidden="1" customHeight="1" x14ac:dyDescent="0.25">
      <c r="A976" s="16"/>
      <c r="B976" s="16"/>
      <c r="C976" s="16"/>
      <c r="D976" s="40"/>
      <c r="E976" s="17"/>
      <c r="F976" s="21"/>
      <c r="G976" s="16"/>
      <c r="H976" s="16"/>
      <c r="I976" s="22"/>
      <c r="J976" s="22"/>
      <c r="K976" s="16"/>
      <c r="L976" s="16"/>
      <c r="M976" s="16"/>
      <c r="N976" s="19"/>
      <c r="O976" s="19"/>
      <c r="P976" s="19"/>
      <c r="Q976" s="19"/>
      <c r="R976" s="19"/>
      <c r="S976" s="19"/>
      <c r="T976" s="19"/>
      <c r="U976" s="19"/>
      <c r="V976" s="59"/>
      <c r="W976" s="20"/>
      <c r="X976" s="43"/>
    </row>
    <row r="977" spans="1:24" ht="15.75" hidden="1" customHeight="1" x14ac:dyDescent="0.25">
      <c r="A977" s="16"/>
      <c r="B977" s="16"/>
      <c r="C977" s="16"/>
      <c r="D977" s="40"/>
      <c r="E977" s="17"/>
      <c r="F977" s="21"/>
      <c r="G977" s="16"/>
      <c r="H977" s="16"/>
      <c r="I977" s="22"/>
      <c r="J977" s="22"/>
      <c r="K977" s="16"/>
      <c r="L977" s="16"/>
      <c r="M977" s="16"/>
      <c r="N977" s="19"/>
      <c r="O977" s="19"/>
      <c r="P977" s="19"/>
      <c r="Q977" s="19"/>
      <c r="R977" s="19"/>
      <c r="S977" s="19"/>
      <c r="T977" s="19"/>
      <c r="U977" s="19"/>
      <c r="V977" s="59"/>
      <c r="W977" s="20"/>
      <c r="X977" s="43"/>
    </row>
    <row r="978" spans="1:24" ht="15.75" hidden="1" customHeight="1" x14ac:dyDescent="0.25">
      <c r="A978" s="16"/>
      <c r="B978" s="16"/>
      <c r="C978" s="16"/>
      <c r="D978" s="40"/>
      <c r="E978" s="17"/>
      <c r="F978" s="21"/>
      <c r="G978" s="16"/>
      <c r="H978" s="16"/>
      <c r="I978" s="22"/>
      <c r="J978" s="22"/>
      <c r="K978" s="16"/>
      <c r="L978" s="16"/>
      <c r="M978" s="16"/>
      <c r="N978" s="19"/>
      <c r="O978" s="19"/>
      <c r="P978" s="19"/>
      <c r="Q978" s="19"/>
      <c r="R978" s="19"/>
      <c r="S978" s="19"/>
      <c r="T978" s="19"/>
      <c r="U978" s="19"/>
      <c r="V978" s="59"/>
      <c r="W978" s="20"/>
      <c r="X978" s="43"/>
    </row>
    <row r="979" spans="1:24" ht="15.75" hidden="1" customHeight="1" x14ac:dyDescent="0.25">
      <c r="A979" s="16"/>
      <c r="B979" s="16"/>
      <c r="C979" s="16"/>
      <c r="D979" s="40"/>
      <c r="E979" s="17"/>
      <c r="F979" s="21"/>
      <c r="G979" s="16"/>
      <c r="H979" s="16"/>
      <c r="I979" s="22"/>
      <c r="J979" s="22"/>
      <c r="K979" s="16"/>
      <c r="L979" s="16"/>
      <c r="M979" s="16"/>
      <c r="N979" s="19"/>
      <c r="O979" s="19"/>
      <c r="P979" s="19"/>
      <c r="Q979" s="19"/>
      <c r="R979" s="19"/>
      <c r="S979" s="19"/>
      <c r="T979" s="19"/>
      <c r="U979" s="19"/>
      <c r="V979" s="59"/>
      <c r="W979" s="20"/>
      <c r="X979" s="43"/>
    </row>
    <row r="980" spans="1:24" ht="15.75" hidden="1" customHeight="1" x14ac:dyDescent="0.25">
      <c r="A980" s="16"/>
      <c r="B980" s="16"/>
      <c r="C980" s="16"/>
      <c r="D980" s="40"/>
      <c r="E980" s="17"/>
      <c r="F980" s="21"/>
      <c r="G980" s="16"/>
      <c r="H980" s="16"/>
      <c r="I980" s="22"/>
      <c r="J980" s="22"/>
      <c r="K980" s="16"/>
      <c r="L980" s="16"/>
      <c r="M980" s="16"/>
      <c r="N980" s="19"/>
      <c r="O980" s="19"/>
      <c r="P980" s="19"/>
      <c r="Q980" s="19"/>
      <c r="R980" s="19"/>
      <c r="S980" s="19"/>
      <c r="T980" s="19"/>
      <c r="U980" s="19"/>
      <c r="V980" s="59"/>
      <c r="W980" s="20"/>
      <c r="X980" s="43"/>
    </row>
    <row r="981" spans="1:24" ht="15.75" hidden="1" customHeight="1" x14ac:dyDescent="0.25">
      <c r="A981" s="16"/>
      <c r="B981" s="16"/>
      <c r="C981" s="16"/>
      <c r="D981" s="40"/>
      <c r="E981" s="17"/>
      <c r="F981" s="21"/>
      <c r="G981" s="16"/>
      <c r="H981" s="16"/>
      <c r="I981" s="22"/>
      <c r="J981" s="22"/>
      <c r="K981" s="16"/>
      <c r="L981" s="16"/>
      <c r="M981" s="16"/>
      <c r="N981" s="19"/>
      <c r="O981" s="19"/>
      <c r="P981" s="19"/>
      <c r="Q981" s="19"/>
      <c r="R981" s="19"/>
      <c r="S981" s="19"/>
      <c r="T981" s="19"/>
      <c r="U981" s="19"/>
      <c r="V981" s="59"/>
      <c r="W981" s="20"/>
      <c r="X981" s="43"/>
    </row>
    <row r="982" spans="1:24" ht="15.75" hidden="1" customHeight="1" x14ac:dyDescent="0.25">
      <c r="A982" s="16"/>
      <c r="B982" s="16"/>
      <c r="C982" s="16"/>
      <c r="D982" s="40"/>
      <c r="E982" s="17"/>
      <c r="F982" s="21"/>
      <c r="G982" s="16"/>
      <c r="H982" s="16"/>
      <c r="I982" s="22"/>
      <c r="J982" s="22"/>
      <c r="K982" s="16"/>
      <c r="L982" s="16"/>
      <c r="M982" s="16"/>
      <c r="N982" s="19"/>
      <c r="O982" s="19"/>
      <c r="P982" s="19"/>
      <c r="Q982" s="19"/>
      <c r="R982" s="19"/>
      <c r="S982" s="19"/>
      <c r="T982" s="19"/>
      <c r="U982" s="19"/>
      <c r="V982" s="59"/>
      <c r="W982" s="20"/>
      <c r="X982" s="43"/>
    </row>
    <row r="983" spans="1:24" ht="15.75" hidden="1" customHeight="1" x14ac:dyDescent="0.25">
      <c r="A983" s="16"/>
      <c r="B983" s="16"/>
      <c r="C983" s="16"/>
      <c r="D983" s="40"/>
      <c r="E983" s="17"/>
      <c r="F983" s="21"/>
      <c r="G983" s="16"/>
      <c r="H983" s="16"/>
      <c r="I983" s="22"/>
      <c r="J983" s="22"/>
      <c r="K983" s="16"/>
      <c r="L983" s="16"/>
      <c r="M983" s="16"/>
      <c r="N983" s="19"/>
      <c r="O983" s="19"/>
      <c r="P983" s="19"/>
      <c r="Q983" s="19"/>
      <c r="R983" s="19"/>
      <c r="S983" s="19"/>
      <c r="T983" s="19"/>
      <c r="U983" s="19"/>
      <c r="V983" s="59"/>
      <c r="W983" s="20"/>
      <c r="X983" s="43"/>
    </row>
    <row r="984" spans="1:24" ht="15.75" hidden="1" customHeight="1" x14ac:dyDescent="0.25">
      <c r="A984" s="16"/>
      <c r="B984" s="16"/>
      <c r="C984" s="16"/>
      <c r="D984" s="40"/>
      <c r="E984" s="17"/>
      <c r="F984" s="21"/>
      <c r="G984" s="16"/>
      <c r="H984" s="16"/>
      <c r="I984" s="22"/>
      <c r="J984" s="22"/>
      <c r="K984" s="16"/>
      <c r="L984" s="16"/>
      <c r="M984" s="16"/>
      <c r="N984" s="19"/>
      <c r="O984" s="19"/>
      <c r="P984" s="19"/>
      <c r="Q984" s="19"/>
      <c r="R984" s="19"/>
      <c r="S984" s="19"/>
      <c r="T984" s="19"/>
      <c r="U984" s="19"/>
      <c r="V984" s="59"/>
      <c r="W984" s="20"/>
      <c r="X984" s="43"/>
    </row>
    <row r="985" spans="1:24" ht="15.75" hidden="1" customHeight="1" x14ac:dyDescent="0.25">
      <c r="A985" s="16"/>
      <c r="B985" s="16"/>
      <c r="C985" s="16"/>
      <c r="D985" s="40"/>
      <c r="E985" s="17"/>
      <c r="F985" s="21"/>
      <c r="G985" s="16"/>
      <c r="H985" s="16"/>
      <c r="I985" s="22"/>
      <c r="J985" s="22"/>
      <c r="K985" s="16"/>
      <c r="L985" s="16"/>
      <c r="M985" s="16"/>
      <c r="N985" s="19"/>
      <c r="O985" s="19"/>
      <c r="P985" s="19"/>
      <c r="Q985" s="19"/>
      <c r="R985" s="19"/>
      <c r="S985" s="19"/>
      <c r="T985" s="19"/>
      <c r="U985" s="19"/>
      <c r="V985" s="59"/>
      <c r="W985" s="20"/>
      <c r="X985" s="43"/>
    </row>
    <row r="986" spans="1:24" ht="15.75" hidden="1" customHeight="1" x14ac:dyDescent="0.25">
      <c r="A986" s="16"/>
      <c r="B986" s="16"/>
      <c r="C986" s="16"/>
      <c r="D986" s="40"/>
      <c r="E986" s="17"/>
      <c r="F986" s="21"/>
      <c r="G986" s="16"/>
      <c r="H986" s="16"/>
      <c r="I986" s="22"/>
      <c r="J986" s="22"/>
      <c r="K986" s="16"/>
      <c r="L986" s="16"/>
      <c r="M986" s="16"/>
      <c r="N986" s="19"/>
      <c r="O986" s="19"/>
      <c r="P986" s="19"/>
      <c r="Q986" s="19"/>
      <c r="R986" s="19"/>
      <c r="S986" s="19"/>
      <c r="T986" s="19"/>
      <c r="U986" s="19"/>
      <c r="V986" s="59"/>
      <c r="W986" s="20"/>
      <c r="X986" s="43"/>
    </row>
    <row r="987" spans="1:24" ht="15.75" hidden="1" customHeight="1" x14ac:dyDescent="0.25">
      <c r="A987" s="16"/>
      <c r="B987" s="16"/>
      <c r="C987" s="16"/>
      <c r="D987" s="40"/>
      <c r="E987" s="17"/>
      <c r="F987" s="21"/>
      <c r="G987" s="16"/>
      <c r="H987" s="16"/>
      <c r="I987" s="22"/>
      <c r="J987" s="22"/>
      <c r="K987" s="16"/>
      <c r="L987" s="16"/>
      <c r="M987" s="16"/>
      <c r="N987" s="19"/>
      <c r="O987" s="19"/>
      <c r="P987" s="19"/>
      <c r="Q987" s="19"/>
      <c r="R987" s="19"/>
      <c r="S987" s="19"/>
      <c r="T987" s="19"/>
      <c r="U987" s="19"/>
      <c r="V987" s="59"/>
      <c r="W987" s="20"/>
      <c r="X987" s="43"/>
    </row>
    <row r="988" spans="1:24" ht="15.75" hidden="1" customHeight="1" x14ac:dyDescent="0.25">
      <c r="A988" s="16"/>
      <c r="B988" s="16"/>
      <c r="C988" s="16"/>
      <c r="D988" s="40"/>
      <c r="E988" s="17"/>
      <c r="F988" s="21"/>
      <c r="G988" s="16"/>
      <c r="H988" s="16"/>
      <c r="I988" s="22"/>
      <c r="J988" s="22"/>
      <c r="K988" s="16"/>
      <c r="L988" s="16"/>
      <c r="M988" s="16"/>
      <c r="N988" s="19"/>
      <c r="O988" s="19"/>
      <c r="P988" s="19"/>
      <c r="Q988" s="19"/>
      <c r="R988" s="19"/>
      <c r="S988" s="19"/>
      <c r="T988" s="19"/>
      <c r="U988" s="19"/>
      <c r="V988" s="59"/>
      <c r="W988" s="20"/>
      <c r="X988" s="43"/>
    </row>
    <row r="989" spans="1:24" ht="15.75" hidden="1" customHeight="1" x14ac:dyDescent="0.25">
      <c r="A989" s="16"/>
      <c r="B989" s="16"/>
      <c r="C989" s="16"/>
      <c r="D989" s="40"/>
      <c r="E989" s="17"/>
      <c r="F989" s="21"/>
      <c r="G989" s="16"/>
      <c r="H989" s="16"/>
      <c r="I989" s="22"/>
      <c r="J989" s="22"/>
      <c r="K989" s="16"/>
      <c r="L989" s="16"/>
      <c r="M989" s="16"/>
      <c r="N989" s="19"/>
      <c r="O989" s="19"/>
      <c r="P989" s="19"/>
      <c r="Q989" s="19"/>
      <c r="R989" s="19"/>
      <c r="S989" s="19"/>
      <c r="T989" s="19"/>
      <c r="U989" s="19"/>
      <c r="V989" s="59"/>
      <c r="W989" s="20"/>
      <c r="X989" s="43"/>
    </row>
    <row r="990" spans="1:24" ht="15.75" hidden="1" customHeight="1" x14ac:dyDescent="0.25">
      <c r="A990" s="16"/>
      <c r="B990" s="16"/>
      <c r="C990" s="16"/>
      <c r="D990" s="40"/>
      <c r="E990" s="17"/>
      <c r="F990" s="21"/>
      <c r="G990" s="16"/>
      <c r="H990" s="16"/>
      <c r="I990" s="22"/>
      <c r="J990" s="22"/>
      <c r="K990" s="16"/>
      <c r="L990" s="16"/>
      <c r="M990" s="16"/>
      <c r="N990" s="19"/>
      <c r="O990" s="19"/>
      <c r="P990" s="19"/>
      <c r="Q990" s="19"/>
      <c r="R990" s="19"/>
      <c r="S990" s="19"/>
      <c r="T990" s="19"/>
      <c r="U990" s="19"/>
      <c r="V990" s="59"/>
      <c r="W990" s="20"/>
      <c r="X990" s="43"/>
    </row>
    <row r="991" spans="1:24" ht="15.75" hidden="1" customHeight="1" x14ac:dyDescent="0.25">
      <c r="A991" s="16"/>
      <c r="B991" s="16"/>
      <c r="C991" s="16"/>
      <c r="D991" s="40"/>
      <c r="E991" s="17"/>
      <c r="F991" s="21"/>
      <c r="G991" s="16"/>
      <c r="H991" s="16"/>
      <c r="I991" s="22"/>
      <c r="J991" s="22"/>
      <c r="K991" s="16"/>
      <c r="L991" s="16"/>
      <c r="M991" s="16"/>
      <c r="N991" s="19"/>
      <c r="O991" s="19"/>
      <c r="P991" s="19"/>
      <c r="Q991" s="19"/>
      <c r="R991" s="19"/>
      <c r="S991" s="19"/>
      <c r="T991" s="19"/>
      <c r="U991" s="19"/>
      <c r="V991" s="59"/>
      <c r="W991" s="20"/>
      <c r="X991" s="43"/>
    </row>
    <row r="992" spans="1:24" ht="15.75" hidden="1" customHeight="1" x14ac:dyDescent="0.25">
      <c r="A992" s="16"/>
      <c r="B992" s="16"/>
      <c r="C992" s="16"/>
      <c r="D992" s="40"/>
      <c r="E992" s="17"/>
      <c r="F992" s="21"/>
      <c r="G992" s="16"/>
      <c r="H992" s="16"/>
      <c r="I992" s="22"/>
      <c r="J992" s="22"/>
      <c r="K992" s="16"/>
      <c r="L992" s="16"/>
      <c r="M992" s="16"/>
      <c r="N992" s="19"/>
      <c r="O992" s="19"/>
      <c r="P992" s="19"/>
      <c r="Q992" s="19"/>
      <c r="R992" s="19"/>
      <c r="S992" s="19"/>
      <c r="T992" s="19"/>
      <c r="U992" s="19"/>
      <c r="V992" s="59"/>
      <c r="W992" s="20"/>
      <c r="X992" s="43"/>
    </row>
    <row r="993" spans="1:24" ht="15.75" hidden="1" customHeight="1" x14ac:dyDescent="0.25">
      <c r="A993" s="16"/>
      <c r="B993" s="16"/>
      <c r="C993" s="16"/>
      <c r="D993" s="40"/>
      <c r="E993" s="17"/>
      <c r="F993" s="21"/>
      <c r="G993" s="16"/>
      <c r="H993" s="16"/>
      <c r="I993" s="22"/>
      <c r="J993" s="22"/>
      <c r="K993" s="16"/>
      <c r="L993" s="16"/>
      <c r="M993" s="16"/>
      <c r="N993" s="19"/>
      <c r="O993" s="19"/>
      <c r="P993" s="19"/>
      <c r="Q993" s="19"/>
      <c r="R993" s="19"/>
      <c r="S993" s="19"/>
      <c r="T993" s="19"/>
      <c r="U993" s="19"/>
      <c r="V993" s="59"/>
      <c r="W993" s="20"/>
      <c r="X993" s="43"/>
    </row>
    <row r="994" spans="1:24" ht="15.75" hidden="1" customHeight="1" x14ac:dyDescent="0.25">
      <c r="A994" s="16"/>
      <c r="B994" s="16"/>
      <c r="C994" s="16"/>
      <c r="D994" s="40"/>
      <c r="E994" s="17"/>
      <c r="F994" s="21"/>
      <c r="G994" s="16"/>
      <c r="H994" s="16"/>
      <c r="I994" s="22"/>
      <c r="J994" s="22"/>
      <c r="K994" s="16"/>
      <c r="L994" s="16"/>
      <c r="M994" s="16"/>
      <c r="N994" s="19"/>
      <c r="O994" s="19"/>
      <c r="P994" s="19"/>
      <c r="Q994" s="19"/>
      <c r="R994" s="19"/>
      <c r="S994" s="19"/>
      <c r="T994" s="19"/>
      <c r="U994" s="19"/>
      <c r="V994" s="59"/>
      <c r="W994" s="20"/>
      <c r="X994" s="43"/>
    </row>
    <row r="995" spans="1:24" ht="15.75" hidden="1" customHeight="1" x14ac:dyDescent="0.25">
      <c r="A995" s="16"/>
      <c r="B995" s="16"/>
      <c r="C995" s="16"/>
      <c r="D995" s="40"/>
      <c r="E995" s="17"/>
      <c r="F995" s="21"/>
      <c r="G995" s="16"/>
      <c r="H995" s="16"/>
      <c r="I995" s="22"/>
      <c r="J995" s="22"/>
      <c r="K995" s="16"/>
      <c r="L995" s="16"/>
      <c r="M995" s="16"/>
      <c r="N995" s="19"/>
      <c r="O995" s="19"/>
      <c r="P995" s="19"/>
      <c r="Q995" s="19"/>
      <c r="R995" s="19"/>
      <c r="S995" s="19"/>
      <c r="T995" s="19"/>
      <c r="U995" s="19"/>
      <c r="V995" s="59"/>
      <c r="W995" s="20"/>
      <c r="X995" s="43"/>
    </row>
    <row r="996" spans="1:24" ht="15.75" hidden="1" customHeight="1" x14ac:dyDescent="0.25">
      <c r="A996" s="16"/>
      <c r="B996" s="16"/>
      <c r="C996" s="16"/>
      <c r="D996" s="40"/>
      <c r="E996" s="17"/>
      <c r="F996" s="21"/>
      <c r="G996" s="16"/>
      <c r="H996" s="16"/>
      <c r="I996" s="22"/>
      <c r="J996" s="22"/>
      <c r="K996" s="16"/>
      <c r="L996" s="16"/>
      <c r="M996" s="16"/>
      <c r="N996" s="19"/>
      <c r="O996" s="19"/>
      <c r="P996" s="19"/>
      <c r="Q996" s="19"/>
      <c r="R996" s="19"/>
      <c r="S996" s="19"/>
      <c r="T996" s="19"/>
      <c r="U996" s="19"/>
      <c r="V996" s="59"/>
      <c r="W996" s="20"/>
      <c r="X996" s="43"/>
    </row>
    <row r="997" spans="1:24" ht="15.75" hidden="1" customHeight="1" x14ac:dyDescent="0.25">
      <c r="A997" s="16"/>
      <c r="B997" s="16"/>
      <c r="C997" s="16"/>
      <c r="D997" s="40"/>
      <c r="E997" s="17"/>
      <c r="F997" s="21"/>
      <c r="G997" s="16"/>
      <c r="H997" s="16"/>
      <c r="I997" s="22"/>
      <c r="J997" s="22"/>
      <c r="K997" s="16"/>
      <c r="L997" s="16"/>
      <c r="M997" s="16"/>
      <c r="N997" s="19"/>
      <c r="O997" s="19"/>
      <c r="P997" s="19"/>
      <c r="Q997" s="19"/>
      <c r="R997" s="19"/>
      <c r="S997" s="19"/>
      <c r="T997" s="19"/>
      <c r="U997" s="19"/>
      <c r="V997" s="59"/>
      <c r="W997" s="20"/>
      <c r="X997" s="43"/>
    </row>
    <row r="998" spans="1:24" ht="15.75" hidden="1" customHeight="1" x14ac:dyDescent="0.25">
      <c r="A998" s="16"/>
      <c r="B998" s="16"/>
      <c r="C998" s="16"/>
      <c r="D998" s="40"/>
      <c r="E998" s="17"/>
      <c r="F998" s="21"/>
      <c r="G998" s="16"/>
      <c r="H998" s="16"/>
      <c r="I998" s="22"/>
      <c r="J998" s="22"/>
      <c r="K998" s="16"/>
      <c r="L998" s="16"/>
      <c r="M998" s="16"/>
      <c r="N998" s="19"/>
      <c r="O998" s="19"/>
      <c r="P998" s="19"/>
      <c r="Q998" s="19"/>
      <c r="R998" s="19"/>
      <c r="S998" s="19"/>
      <c r="T998" s="19"/>
      <c r="U998" s="19"/>
      <c r="V998" s="59"/>
      <c r="W998" s="20"/>
      <c r="X998" s="43"/>
    </row>
    <row r="999" spans="1:24" ht="15.75" hidden="1" customHeight="1" x14ac:dyDescent="0.25">
      <c r="A999" s="16"/>
      <c r="B999" s="16"/>
      <c r="C999" s="16"/>
      <c r="D999" s="40"/>
      <c r="E999" s="17"/>
      <c r="F999" s="21"/>
      <c r="G999" s="16"/>
      <c r="H999" s="16"/>
      <c r="I999" s="22"/>
      <c r="J999" s="22"/>
      <c r="K999" s="16"/>
      <c r="L999" s="16"/>
      <c r="M999" s="16"/>
      <c r="N999" s="19"/>
      <c r="O999" s="19"/>
      <c r="P999" s="19"/>
      <c r="Q999" s="19"/>
      <c r="R999" s="19"/>
      <c r="S999" s="19"/>
      <c r="T999" s="19"/>
      <c r="U999" s="19"/>
      <c r="V999" s="59"/>
      <c r="W999" s="20"/>
      <c r="X999" s="43"/>
    </row>
    <row r="1000" spans="1:24" ht="15.75" hidden="1" customHeight="1" x14ac:dyDescent="0.25">
      <c r="A1000" s="16"/>
      <c r="B1000" s="16"/>
      <c r="C1000" s="16"/>
      <c r="D1000" s="40"/>
      <c r="E1000" s="17"/>
      <c r="F1000" s="21"/>
      <c r="G1000" s="16"/>
      <c r="H1000" s="16"/>
      <c r="I1000" s="22"/>
      <c r="J1000" s="22"/>
      <c r="K1000" s="16"/>
      <c r="L1000" s="16"/>
      <c r="M1000" s="16"/>
      <c r="N1000" s="19"/>
      <c r="O1000" s="19"/>
      <c r="P1000" s="19"/>
      <c r="Q1000" s="19"/>
      <c r="R1000" s="19"/>
      <c r="S1000" s="19"/>
      <c r="T1000" s="19"/>
      <c r="U1000" s="19"/>
      <c r="V1000" s="59"/>
      <c r="W1000" s="20"/>
      <c r="X1000" s="43"/>
    </row>
    <row r="1001" spans="1:24" ht="15.75" hidden="1" customHeight="1" x14ac:dyDescent="0.25">
      <c r="A1001" s="16"/>
      <c r="B1001" s="16"/>
      <c r="C1001" s="16"/>
      <c r="D1001" s="40"/>
      <c r="E1001" s="17"/>
      <c r="F1001" s="21"/>
      <c r="G1001" s="16"/>
      <c r="H1001" s="16"/>
      <c r="I1001" s="22"/>
      <c r="J1001" s="22"/>
      <c r="K1001" s="16"/>
      <c r="L1001" s="16"/>
      <c r="M1001" s="16"/>
      <c r="N1001" s="19"/>
      <c r="O1001" s="19"/>
      <c r="P1001" s="19"/>
      <c r="Q1001" s="19"/>
      <c r="R1001" s="19"/>
      <c r="S1001" s="19"/>
      <c r="T1001" s="19"/>
      <c r="U1001" s="19"/>
      <c r="V1001" s="59"/>
      <c r="W1001" s="20"/>
      <c r="X1001" s="43"/>
    </row>
    <row r="1002" spans="1:24" ht="15.75" hidden="1" customHeight="1" x14ac:dyDescent="0.25">
      <c r="A1002" s="16"/>
      <c r="B1002" s="16"/>
      <c r="C1002" s="16"/>
      <c r="D1002" s="40"/>
      <c r="E1002" s="17"/>
      <c r="F1002" s="21"/>
      <c r="G1002" s="16"/>
      <c r="H1002" s="16"/>
      <c r="I1002" s="22"/>
      <c r="J1002" s="22"/>
      <c r="K1002" s="16"/>
      <c r="L1002" s="16"/>
      <c r="M1002" s="16"/>
      <c r="N1002" s="19"/>
      <c r="O1002" s="19"/>
      <c r="P1002" s="19"/>
      <c r="Q1002" s="19"/>
      <c r="R1002" s="19"/>
      <c r="S1002" s="19"/>
      <c r="T1002" s="19"/>
      <c r="U1002" s="19"/>
      <c r="V1002" s="59"/>
      <c r="W1002" s="20"/>
      <c r="X1002" s="43"/>
    </row>
    <row r="1003" spans="1:24" ht="15.75" hidden="1" customHeight="1" x14ac:dyDescent="0.25">
      <c r="A1003" s="16"/>
      <c r="B1003" s="16"/>
      <c r="C1003" s="16"/>
      <c r="D1003" s="40"/>
      <c r="E1003" s="17"/>
      <c r="F1003" s="21"/>
      <c r="G1003" s="16"/>
      <c r="H1003" s="16"/>
      <c r="I1003" s="22"/>
      <c r="J1003" s="22"/>
      <c r="K1003" s="16"/>
      <c r="L1003" s="16"/>
      <c r="M1003" s="16"/>
      <c r="N1003" s="19"/>
      <c r="O1003" s="19"/>
      <c r="P1003" s="19"/>
      <c r="Q1003" s="19"/>
      <c r="R1003" s="19"/>
      <c r="S1003" s="19"/>
      <c r="T1003" s="19"/>
      <c r="U1003" s="19"/>
      <c r="V1003" s="59"/>
      <c r="W1003" s="20"/>
      <c r="X1003" s="43"/>
    </row>
    <row r="1004" spans="1:24" ht="15.75" hidden="1" customHeight="1" x14ac:dyDescent="0.25">
      <c r="A1004" s="16"/>
      <c r="B1004" s="16"/>
      <c r="C1004" s="16"/>
      <c r="D1004" s="40"/>
      <c r="E1004" s="17"/>
      <c r="F1004" s="21"/>
      <c r="G1004" s="16"/>
      <c r="H1004" s="16"/>
      <c r="I1004" s="22"/>
      <c r="J1004" s="22"/>
      <c r="K1004" s="16"/>
      <c r="L1004" s="16"/>
      <c r="M1004" s="16"/>
      <c r="N1004" s="19"/>
      <c r="O1004" s="19"/>
      <c r="P1004" s="19"/>
      <c r="Q1004" s="19"/>
      <c r="R1004" s="19"/>
      <c r="S1004" s="19"/>
      <c r="T1004" s="19"/>
      <c r="U1004" s="19"/>
      <c r="V1004" s="59"/>
      <c r="W1004" s="20"/>
      <c r="X1004" s="43"/>
    </row>
    <row r="1005" spans="1:24" ht="15.75" hidden="1" customHeight="1" x14ac:dyDescent="0.25">
      <c r="A1005" s="16"/>
      <c r="B1005" s="16"/>
      <c r="C1005" s="16"/>
      <c r="D1005" s="40"/>
      <c r="E1005" s="17"/>
      <c r="F1005" s="21"/>
      <c r="G1005" s="16"/>
      <c r="H1005" s="16"/>
      <c r="I1005" s="22"/>
      <c r="J1005" s="22"/>
      <c r="K1005" s="16"/>
      <c r="L1005" s="16"/>
      <c r="M1005" s="16"/>
      <c r="N1005" s="19"/>
      <c r="O1005" s="19"/>
      <c r="P1005" s="19"/>
      <c r="Q1005" s="19"/>
      <c r="R1005" s="19"/>
      <c r="S1005" s="19"/>
      <c r="T1005" s="19"/>
      <c r="U1005" s="19"/>
      <c r="V1005" s="59"/>
      <c r="W1005" s="20"/>
      <c r="X1005" s="43"/>
    </row>
    <row r="1006" spans="1:24" ht="15.75" hidden="1" customHeight="1" x14ac:dyDescent="0.25">
      <c r="A1006" s="16"/>
      <c r="B1006" s="16"/>
      <c r="C1006" s="16"/>
      <c r="D1006" s="40"/>
      <c r="E1006" s="17"/>
      <c r="F1006" s="21"/>
      <c r="G1006" s="16"/>
      <c r="H1006" s="16"/>
      <c r="I1006" s="22"/>
      <c r="J1006" s="22"/>
      <c r="K1006" s="16"/>
      <c r="L1006" s="16"/>
      <c r="M1006" s="16"/>
      <c r="N1006" s="19"/>
      <c r="O1006" s="19"/>
      <c r="P1006" s="19"/>
      <c r="Q1006" s="19"/>
      <c r="R1006" s="19"/>
      <c r="S1006" s="19"/>
      <c r="T1006" s="19"/>
      <c r="U1006" s="19"/>
      <c r="V1006" s="59"/>
      <c r="W1006" s="20"/>
      <c r="X1006" s="43"/>
    </row>
    <row r="1007" spans="1:24" ht="15.75" hidden="1" customHeight="1" x14ac:dyDescent="0.25">
      <c r="A1007" s="16"/>
      <c r="B1007" s="16"/>
      <c r="C1007" s="16"/>
      <c r="D1007" s="40"/>
      <c r="E1007" s="17"/>
      <c r="F1007" s="21"/>
      <c r="G1007" s="16"/>
      <c r="H1007" s="16"/>
      <c r="I1007" s="22"/>
      <c r="J1007" s="22"/>
      <c r="K1007" s="16"/>
      <c r="L1007" s="16"/>
      <c r="M1007" s="16"/>
      <c r="N1007" s="19"/>
      <c r="O1007" s="19"/>
      <c r="P1007" s="19"/>
      <c r="Q1007" s="19"/>
      <c r="R1007" s="19"/>
      <c r="S1007" s="19"/>
      <c r="T1007" s="19"/>
      <c r="U1007" s="19"/>
      <c r="V1007" s="59"/>
      <c r="W1007" s="20"/>
      <c r="X1007" s="43"/>
    </row>
    <row r="1008" spans="1:24" ht="15.75" hidden="1" customHeight="1" x14ac:dyDescent="0.25">
      <c r="A1008" s="16"/>
      <c r="B1008" s="16"/>
      <c r="C1008" s="16"/>
      <c r="D1008" s="40"/>
      <c r="E1008" s="17"/>
      <c r="F1008" s="21"/>
      <c r="G1008" s="16"/>
      <c r="H1008" s="16"/>
      <c r="I1008" s="22"/>
      <c r="J1008" s="22"/>
      <c r="K1008" s="16"/>
      <c r="L1008" s="16"/>
      <c r="M1008" s="16"/>
      <c r="N1008" s="19"/>
      <c r="O1008" s="19"/>
      <c r="P1008" s="19"/>
      <c r="Q1008" s="19"/>
      <c r="R1008" s="19"/>
      <c r="S1008" s="19"/>
      <c r="T1008" s="19"/>
      <c r="U1008" s="19"/>
      <c r="V1008" s="59"/>
      <c r="W1008" s="20"/>
      <c r="X1008" s="43"/>
    </row>
    <row r="1009" spans="1:24" ht="15.75" hidden="1" customHeight="1" x14ac:dyDescent="0.25">
      <c r="A1009" s="16"/>
      <c r="B1009" s="16"/>
      <c r="C1009" s="16"/>
      <c r="D1009" s="40"/>
      <c r="E1009" s="17"/>
      <c r="F1009" s="21"/>
      <c r="G1009" s="16"/>
      <c r="H1009" s="16"/>
      <c r="I1009" s="22"/>
      <c r="J1009" s="22"/>
      <c r="K1009" s="16"/>
      <c r="L1009" s="16"/>
      <c r="M1009" s="16"/>
      <c r="N1009" s="19"/>
      <c r="O1009" s="19"/>
      <c r="P1009" s="19"/>
      <c r="Q1009" s="19"/>
      <c r="R1009" s="19"/>
      <c r="S1009" s="19"/>
      <c r="T1009" s="19"/>
      <c r="U1009" s="19"/>
      <c r="V1009" s="59"/>
      <c r="W1009" s="20"/>
      <c r="X1009" s="43"/>
    </row>
    <row r="1010" spans="1:24" ht="15.75" hidden="1" customHeight="1" x14ac:dyDescent="0.25">
      <c r="A1010" s="16"/>
      <c r="B1010" s="16"/>
      <c r="C1010" s="16"/>
      <c r="D1010" s="40"/>
      <c r="E1010" s="17"/>
      <c r="F1010" s="21"/>
      <c r="G1010" s="16"/>
      <c r="H1010" s="16"/>
      <c r="I1010" s="22"/>
      <c r="J1010" s="22"/>
      <c r="K1010" s="16"/>
      <c r="L1010" s="16"/>
      <c r="M1010" s="16"/>
      <c r="N1010" s="19"/>
      <c r="O1010" s="19"/>
      <c r="P1010" s="19"/>
      <c r="Q1010" s="19"/>
      <c r="R1010" s="19"/>
      <c r="S1010" s="19"/>
      <c r="T1010" s="19"/>
      <c r="U1010" s="19"/>
      <c r="V1010" s="59"/>
      <c r="W1010" s="20"/>
      <c r="X1010" s="43"/>
    </row>
    <row r="1011" spans="1:24" ht="15.75" hidden="1" customHeight="1" x14ac:dyDescent="0.25">
      <c r="A1011" s="16"/>
      <c r="B1011" s="16"/>
      <c r="C1011" s="16"/>
      <c r="D1011" s="40"/>
      <c r="E1011" s="17"/>
      <c r="F1011" s="21"/>
      <c r="G1011" s="16"/>
      <c r="H1011" s="16"/>
      <c r="I1011" s="22"/>
      <c r="J1011" s="22"/>
      <c r="K1011" s="16"/>
      <c r="L1011" s="16"/>
      <c r="M1011" s="16"/>
      <c r="N1011" s="19"/>
      <c r="O1011" s="19"/>
      <c r="P1011" s="19"/>
      <c r="Q1011" s="19"/>
      <c r="R1011" s="19"/>
      <c r="S1011" s="19"/>
      <c r="T1011" s="19"/>
      <c r="U1011" s="19"/>
      <c r="V1011" s="59"/>
      <c r="W1011" s="20"/>
      <c r="X1011" s="43"/>
    </row>
    <row r="1012" spans="1:24" ht="15.75" hidden="1" customHeight="1" x14ac:dyDescent="0.25">
      <c r="A1012" s="16"/>
      <c r="B1012" s="16"/>
      <c r="C1012" s="16"/>
      <c r="D1012" s="40"/>
      <c r="E1012" s="17"/>
      <c r="F1012" s="21"/>
      <c r="G1012" s="16"/>
      <c r="H1012" s="16"/>
      <c r="I1012" s="22"/>
      <c r="J1012" s="22"/>
      <c r="K1012" s="16"/>
      <c r="L1012" s="16"/>
      <c r="M1012" s="16"/>
      <c r="N1012" s="19"/>
      <c r="O1012" s="19"/>
      <c r="P1012" s="19"/>
      <c r="Q1012" s="19"/>
      <c r="R1012" s="19"/>
      <c r="S1012" s="19"/>
      <c r="T1012" s="19"/>
      <c r="U1012" s="19"/>
      <c r="V1012" s="59"/>
      <c r="W1012" s="20"/>
      <c r="X1012" s="43"/>
    </row>
    <row r="1013" spans="1:24" ht="15.75" hidden="1" customHeight="1" x14ac:dyDescent="0.25">
      <c r="A1013" s="16"/>
      <c r="B1013" s="16"/>
      <c r="C1013" s="16"/>
      <c r="D1013" s="40"/>
      <c r="E1013" s="17"/>
      <c r="F1013" s="21"/>
      <c r="G1013" s="16"/>
      <c r="H1013" s="16"/>
      <c r="I1013" s="22"/>
      <c r="J1013" s="22"/>
      <c r="K1013" s="16"/>
      <c r="L1013" s="16"/>
      <c r="M1013" s="16"/>
      <c r="N1013" s="19"/>
      <c r="O1013" s="19"/>
      <c r="P1013" s="19"/>
      <c r="Q1013" s="19"/>
      <c r="R1013" s="19"/>
      <c r="S1013" s="19"/>
      <c r="T1013" s="19"/>
      <c r="U1013" s="19"/>
      <c r="V1013" s="59"/>
      <c r="W1013" s="20"/>
    </row>
    <row r="1014" spans="1:24" ht="15.75" hidden="1" customHeight="1" x14ac:dyDescent="0.25">
      <c r="A1014" s="16"/>
      <c r="B1014" s="16"/>
      <c r="C1014" s="16"/>
      <c r="D1014" s="40"/>
      <c r="E1014" s="17"/>
      <c r="F1014" s="21"/>
      <c r="G1014" s="16"/>
      <c r="H1014" s="16"/>
      <c r="I1014" s="22"/>
      <c r="J1014" s="22"/>
      <c r="K1014" s="16"/>
      <c r="L1014" s="16"/>
      <c r="M1014" s="16"/>
      <c r="N1014" s="19"/>
      <c r="O1014" s="19"/>
      <c r="P1014" s="19"/>
      <c r="Q1014" s="19"/>
      <c r="R1014" s="19"/>
      <c r="S1014" s="19"/>
      <c r="T1014" s="19"/>
      <c r="U1014" s="19"/>
      <c r="V1014" s="59"/>
      <c r="W1014" s="20"/>
    </row>
    <row r="1015" spans="1:24" ht="15.75" hidden="1" customHeight="1" x14ac:dyDescent="0.25">
      <c r="A1015" s="16"/>
      <c r="B1015" s="16"/>
      <c r="C1015" s="16"/>
      <c r="D1015" s="40"/>
      <c r="E1015" s="17"/>
      <c r="F1015" s="21"/>
      <c r="G1015" s="16"/>
      <c r="H1015" s="16"/>
      <c r="I1015" s="22"/>
      <c r="J1015" s="22"/>
      <c r="K1015" s="16"/>
      <c r="L1015" s="16"/>
      <c r="M1015" s="16"/>
      <c r="N1015" s="19"/>
      <c r="O1015" s="19"/>
      <c r="P1015" s="19"/>
      <c r="Q1015" s="19"/>
      <c r="R1015" s="19"/>
      <c r="S1015" s="19"/>
      <c r="T1015" s="19"/>
      <c r="U1015" s="19"/>
      <c r="V1015" s="59"/>
      <c r="W1015" s="20"/>
    </row>
    <row r="1016" spans="1:24" ht="15.75" hidden="1" customHeight="1" x14ac:dyDescent="0.25">
      <c r="A1016" s="16"/>
      <c r="B1016" s="16"/>
      <c r="C1016" s="16"/>
      <c r="D1016" s="40"/>
      <c r="E1016" s="17"/>
      <c r="F1016" s="21"/>
      <c r="G1016" s="16"/>
      <c r="H1016" s="16"/>
      <c r="I1016" s="22"/>
      <c r="J1016" s="22"/>
      <c r="K1016" s="16"/>
      <c r="L1016" s="16"/>
      <c r="M1016" s="16"/>
      <c r="N1016" s="19"/>
      <c r="O1016" s="19"/>
      <c r="P1016" s="19"/>
      <c r="Q1016" s="19"/>
      <c r="R1016" s="19"/>
      <c r="S1016" s="19"/>
      <c r="T1016" s="19"/>
      <c r="U1016" s="19"/>
      <c r="V1016" s="59"/>
      <c r="W1016" s="20"/>
    </row>
    <row r="1017" spans="1:24" ht="15.75" hidden="1" customHeight="1" x14ac:dyDescent="0.25">
      <c r="A1017" s="16"/>
      <c r="B1017" s="16"/>
      <c r="C1017" s="16"/>
      <c r="D1017" s="40"/>
      <c r="E1017" s="17"/>
      <c r="F1017" s="21"/>
      <c r="G1017" s="16"/>
      <c r="H1017" s="16"/>
      <c r="I1017" s="22"/>
      <c r="J1017" s="22"/>
      <c r="K1017" s="16"/>
      <c r="L1017" s="16"/>
      <c r="M1017" s="16"/>
      <c r="N1017" s="19"/>
      <c r="O1017" s="19"/>
      <c r="P1017" s="19"/>
      <c r="Q1017" s="19"/>
      <c r="R1017" s="19"/>
      <c r="S1017" s="19"/>
      <c r="T1017" s="19"/>
      <c r="U1017" s="19"/>
      <c r="V1017" s="59"/>
      <c r="W1017" s="20"/>
    </row>
    <row r="1018" spans="1:24" ht="15.75" hidden="1" customHeight="1" x14ac:dyDescent="0.25">
      <c r="A1018" s="16"/>
      <c r="B1018" s="16"/>
      <c r="C1018" s="16"/>
      <c r="D1018" s="40"/>
      <c r="E1018" s="17"/>
      <c r="F1018" s="21"/>
      <c r="G1018" s="16"/>
      <c r="H1018" s="16"/>
      <c r="I1018" s="22"/>
      <c r="J1018" s="22"/>
      <c r="K1018" s="16"/>
      <c r="L1018" s="16"/>
      <c r="M1018" s="16"/>
      <c r="N1018" s="19"/>
      <c r="O1018" s="19"/>
      <c r="P1018" s="19"/>
      <c r="Q1018" s="19"/>
      <c r="R1018" s="19"/>
      <c r="S1018" s="19"/>
      <c r="T1018" s="19"/>
      <c r="U1018" s="19"/>
      <c r="V1018" s="59"/>
      <c r="W1018" s="20"/>
    </row>
    <row r="1019" spans="1:24" ht="15.75" hidden="1" customHeight="1" x14ac:dyDescent="0.25">
      <c r="A1019" s="16"/>
      <c r="B1019" s="16"/>
      <c r="C1019" s="16"/>
      <c r="D1019" s="40"/>
      <c r="E1019" s="17"/>
      <c r="F1019" s="21"/>
      <c r="G1019" s="16"/>
      <c r="H1019" s="16"/>
      <c r="I1019" s="22"/>
      <c r="J1019" s="22"/>
      <c r="K1019" s="16"/>
      <c r="L1019" s="16"/>
      <c r="M1019" s="16"/>
      <c r="N1019" s="19"/>
      <c r="O1019" s="19"/>
      <c r="P1019" s="19"/>
      <c r="Q1019" s="19"/>
      <c r="R1019" s="19"/>
      <c r="S1019" s="19"/>
      <c r="T1019" s="19"/>
      <c r="U1019" s="19"/>
      <c r="V1019" s="59"/>
      <c r="W1019" s="20"/>
    </row>
    <row r="1020" spans="1:24" ht="15.75" hidden="1" customHeight="1" x14ac:dyDescent="0.25">
      <c r="A1020" s="16"/>
      <c r="B1020" s="16"/>
      <c r="C1020" s="16"/>
      <c r="D1020" s="40"/>
      <c r="E1020" s="17"/>
      <c r="F1020" s="21"/>
      <c r="G1020" s="16"/>
      <c r="H1020" s="16"/>
      <c r="I1020" s="22"/>
      <c r="J1020" s="22"/>
      <c r="K1020" s="16"/>
      <c r="L1020" s="16"/>
      <c r="M1020" s="16"/>
      <c r="N1020" s="19"/>
      <c r="O1020" s="19"/>
      <c r="P1020" s="19"/>
      <c r="Q1020" s="19"/>
      <c r="R1020" s="19"/>
      <c r="S1020" s="19"/>
      <c r="T1020" s="19"/>
      <c r="U1020" s="19"/>
      <c r="V1020" s="59"/>
      <c r="W1020" s="20"/>
    </row>
    <row r="1021" spans="1:24" ht="15.75" hidden="1" customHeight="1" x14ac:dyDescent="0.25">
      <c r="A1021" s="16"/>
      <c r="B1021" s="16"/>
      <c r="C1021" s="16"/>
      <c r="D1021" s="40"/>
      <c r="E1021" s="17"/>
      <c r="F1021" s="21"/>
      <c r="G1021" s="16"/>
      <c r="H1021" s="16"/>
      <c r="I1021" s="22"/>
      <c r="J1021" s="22"/>
      <c r="K1021" s="16"/>
      <c r="L1021" s="16"/>
      <c r="M1021" s="16"/>
      <c r="N1021" s="19"/>
      <c r="O1021" s="19"/>
      <c r="P1021" s="19"/>
      <c r="Q1021" s="19"/>
      <c r="R1021" s="19"/>
      <c r="S1021" s="19"/>
      <c r="T1021" s="19"/>
      <c r="U1021" s="19"/>
      <c r="V1021" s="59"/>
      <c r="W1021" s="20"/>
    </row>
    <row r="1022" spans="1:24" ht="15.75" hidden="1" customHeight="1" x14ac:dyDescent="0.25">
      <c r="A1022" s="16"/>
      <c r="B1022" s="16"/>
      <c r="C1022" s="16"/>
      <c r="D1022" s="40"/>
      <c r="E1022" s="17"/>
      <c r="F1022" s="21"/>
      <c r="G1022" s="16"/>
      <c r="H1022" s="16"/>
      <c r="I1022" s="22"/>
      <c r="J1022" s="22"/>
      <c r="K1022" s="16"/>
      <c r="L1022" s="16"/>
      <c r="M1022" s="16"/>
      <c r="N1022" s="19"/>
      <c r="O1022" s="19"/>
      <c r="P1022" s="19"/>
      <c r="Q1022" s="19"/>
      <c r="R1022" s="19"/>
      <c r="S1022" s="19"/>
      <c r="T1022" s="19"/>
      <c r="U1022" s="19"/>
      <c r="V1022" s="59"/>
      <c r="W1022" s="20"/>
    </row>
    <row r="1023" spans="1:24" ht="15.75" customHeight="1" x14ac:dyDescent="0.25">
      <c r="A1023" s="23"/>
      <c r="B1023" s="23"/>
      <c r="C1023" s="23"/>
      <c r="D1023" s="44"/>
      <c r="E1023" s="60"/>
      <c r="F1023" s="61"/>
      <c r="G1023" s="23"/>
      <c r="H1023" s="23"/>
      <c r="I1023" s="25"/>
      <c r="J1023" s="25"/>
      <c r="K1023" s="23"/>
      <c r="L1023" s="23"/>
      <c r="M1023" s="23"/>
      <c r="N1023" s="26"/>
      <c r="O1023" s="26"/>
      <c r="P1023" s="26"/>
      <c r="Q1023" s="26"/>
      <c r="R1023" s="26"/>
      <c r="S1023" s="26"/>
      <c r="T1023" s="26"/>
      <c r="U1023" s="26"/>
      <c r="V1023" s="62"/>
      <c r="W1023" s="27"/>
    </row>
    <row r="1024" spans="1:24" ht="15.75" customHeight="1" x14ac:dyDescent="0.25">
      <c r="A1024" s="23"/>
      <c r="B1024" s="23"/>
      <c r="C1024" s="23"/>
      <c r="D1024" s="44"/>
      <c r="E1024" s="60"/>
      <c r="F1024" s="61"/>
      <c r="G1024" s="23"/>
      <c r="H1024" s="23"/>
      <c r="I1024" s="25"/>
      <c r="J1024" s="25"/>
      <c r="K1024" s="23"/>
      <c r="L1024" s="23"/>
      <c r="M1024" s="23"/>
      <c r="N1024" s="26"/>
      <c r="O1024" s="26"/>
      <c r="P1024" s="26"/>
      <c r="Q1024" s="26"/>
      <c r="R1024" s="26"/>
      <c r="S1024" s="26"/>
      <c r="T1024" s="26"/>
      <c r="U1024" s="26"/>
      <c r="V1024" s="62"/>
      <c r="W1024" s="27"/>
    </row>
    <row r="1025" spans="1:26" ht="23.25" customHeight="1" x14ac:dyDescent="0.25">
      <c r="A1025" s="63" t="s">
        <v>33</v>
      </c>
      <c r="B1025" s="63"/>
      <c r="C1025" s="63"/>
      <c r="D1025" s="63"/>
      <c r="E1025" s="64"/>
      <c r="F1025" s="63">
        <f ca="1">SUM(F22:F1022)</f>
        <v>19732084014</v>
      </c>
      <c r="G1025" s="63"/>
      <c r="H1025" s="63">
        <f ca="1">SUM(H22:H1022)</f>
        <v>6437247280</v>
      </c>
      <c r="I1025" s="63"/>
      <c r="J1025" s="63">
        <f t="shared" ref="J1025:W1025" ca="1" si="1">SUM(J22:J1022)</f>
        <v>0</v>
      </c>
      <c r="K1025" s="63">
        <f t="shared" ca="1" si="1"/>
        <v>149403452</v>
      </c>
      <c r="L1025" s="63">
        <f t="shared" ca="1" si="1"/>
        <v>373715655</v>
      </c>
      <c r="M1025" s="63">
        <f t="shared" ca="1" si="1"/>
        <v>1111984031</v>
      </c>
      <c r="N1025" s="63">
        <f t="shared" ca="1" si="1"/>
        <v>1315989963</v>
      </c>
      <c r="O1025" s="63">
        <f t="shared" ca="1" si="1"/>
        <v>1693761220</v>
      </c>
      <c r="P1025" s="63">
        <f t="shared" ca="1" si="1"/>
        <v>514826011</v>
      </c>
      <c r="Q1025" s="63">
        <f t="shared" ca="1" si="1"/>
        <v>1277566948</v>
      </c>
      <c r="R1025" s="63">
        <f t="shared" ca="1" si="1"/>
        <v>0</v>
      </c>
      <c r="S1025" s="63">
        <f t="shared" ca="1" si="1"/>
        <v>0</v>
      </c>
      <c r="T1025" s="63">
        <f t="shared" ca="1" si="1"/>
        <v>0</v>
      </c>
      <c r="U1025" s="63">
        <f t="shared" ca="1" si="1"/>
        <v>0</v>
      </c>
      <c r="V1025" s="63">
        <f t="shared" ca="1" si="1"/>
        <v>6437247280</v>
      </c>
      <c r="W1025" s="63">
        <f t="shared" si="1"/>
        <v>0</v>
      </c>
      <c r="X1025" s="65"/>
      <c r="Y1025" s="66"/>
      <c r="Z1025" s="66"/>
    </row>
    <row r="1026" spans="1:26" ht="15.75" customHeight="1" x14ac:dyDescent="0.25">
      <c r="A1026" s="23"/>
      <c r="B1026" s="23"/>
      <c r="C1026" s="23"/>
      <c r="D1026" s="44"/>
      <c r="E1026" s="60"/>
      <c r="F1026" s="61"/>
      <c r="G1026" s="23"/>
      <c r="H1026" s="23"/>
      <c r="I1026" s="25"/>
      <c r="J1026" s="25"/>
      <c r="K1026" s="23"/>
      <c r="L1026" s="23"/>
      <c r="M1026" s="23"/>
      <c r="N1026" s="26"/>
      <c r="O1026" s="26"/>
      <c r="P1026" s="26"/>
      <c r="Q1026" s="26"/>
      <c r="R1026" s="26"/>
      <c r="S1026" s="26"/>
      <c r="T1026" s="26"/>
      <c r="U1026" s="26"/>
      <c r="V1026" s="62"/>
      <c r="W1026" s="27"/>
    </row>
    <row r="1027" spans="1:26" ht="15.75" customHeight="1" x14ac:dyDescent="0.25">
      <c r="A1027" s="23"/>
      <c r="B1027" s="23"/>
      <c r="C1027" s="33" t="s">
        <v>34</v>
      </c>
      <c r="D1027" s="44"/>
      <c r="E1027" s="60"/>
      <c r="F1027" s="61"/>
      <c r="G1027" s="23"/>
      <c r="H1027" s="23"/>
      <c r="I1027" s="25"/>
      <c r="J1027" s="25"/>
      <c r="K1027" s="23"/>
      <c r="L1027" s="23"/>
      <c r="M1027" s="23"/>
      <c r="N1027" s="26"/>
      <c r="O1027" s="26"/>
      <c r="P1027" s="26"/>
      <c r="Q1027" s="26"/>
      <c r="R1027" s="26"/>
      <c r="S1027" s="26"/>
      <c r="T1027" s="26"/>
      <c r="U1027" s="26"/>
      <c r="V1027" s="62"/>
      <c r="W1027" s="27"/>
    </row>
  </sheetData>
  <mergeCells count="14">
    <mergeCell ref="I20:I21"/>
    <mergeCell ref="A13:B15"/>
    <mergeCell ref="C13:V15"/>
    <mergeCell ref="A16:B16"/>
    <mergeCell ref="C16:V16"/>
    <mergeCell ref="A20:A21"/>
    <mergeCell ref="B20:B21"/>
    <mergeCell ref="C20:C21"/>
    <mergeCell ref="J20:V20"/>
    <mergeCell ref="D20:D21"/>
    <mergeCell ref="E20:E21"/>
    <mergeCell ref="F20:F21"/>
    <mergeCell ref="G20:G21"/>
    <mergeCell ref="H20:H21"/>
  </mergeCells>
  <dataValidations count="1">
    <dataValidation type="list" allowBlank="1" showErrorMessage="1" sqref="I22:I83" xr:uid="{1B2A4C18-6C45-4279-8C01-E5825B0C3506}">
      <formula1>$N$8:$O$8</formula1>
    </dataValidation>
  </dataValidations>
  <pageMargins left="0.7" right="0.7" top="0.75" bottom="0.75" header="0" footer="0"/>
  <pageSetup paperSize="5" scale="35" orientation="landscape" r:id="rId1"/>
  <ignoredErrors>
    <ignoredError sqref="D71:H80 A8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Z1008"/>
  <sheetViews>
    <sheetView showGridLines="0" zoomScale="70" zoomScaleNormal="70" workbookViewId="0">
      <pane ySplit="21" topLeftCell="A22" activePane="bottomLeft" state="frozen"/>
      <selection pane="bottomLeft" activeCell="A13" sqref="A13:B15"/>
    </sheetView>
  </sheetViews>
  <sheetFormatPr baseColWidth="10" defaultColWidth="14.42578125" defaultRowHeight="15" customHeight="1" x14ac:dyDescent="0.25"/>
  <cols>
    <col min="1" max="1" width="22.42578125" customWidth="1"/>
    <col min="2" max="2" width="17.85546875" customWidth="1"/>
    <col min="3" max="3" width="54.42578125" customWidth="1"/>
    <col min="4" max="4" width="23" customWidth="1"/>
    <col min="5" max="5" width="16.5703125" customWidth="1"/>
    <col min="6" max="6" width="20.85546875" customWidth="1"/>
    <col min="7" max="7" width="28" customWidth="1"/>
    <col min="8" max="8" width="22" customWidth="1"/>
    <col min="9" max="9" width="47.140625" bestFit="1" customWidth="1"/>
    <col min="10" max="10" width="10.7109375" customWidth="1"/>
    <col min="11" max="11" width="14" customWidth="1"/>
    <col min="12" max="12" width="10.7109375" customWidth="1"/>
    <col min="13" max="13" width="11.42578125" customWidth="1"/>
    <col min="14" max="14" width="10.28515625" customWidth="1"/>
    <col min="15" max="15" width="11.42578125" customWidth="1"/>
    <col min="16" max="16" width="11.85546875" customWidth="1"/>
    <col min="17" max="17" width="16.7109375" customWidth="1"/>
    <col min="18" max="18" width="15.85546875" hidden="1" customWidth="1"/>
    <col min="19" max="19" width="11.42578125" hidden="1" customWidth="1"/>
    <col min="20" max="20" width="15.28515625" hidden="1" customWidth="1"/>
    <col min="21" max="21" width="14.28515625" hidden="1" customWidth="1"/>
    <col min="22" max="22" width="16.7109375" customWidth="1"/>
    <col min="23" max="24" width="10.7109375" hidden="1" customWidth="1"/>
    <col min="25" max="26" width="10.7109375" customWidth="1"/>
  </cols>
  <sheetData>
    <row r="1" spans="1:26" x14ac:dyDescent="0.25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5" t="str">
        <f>'05.05.03.33.03.005 - PMU'!A7</f>
        <v>AGOSTO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8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82" t="s">
        <v>46</v>
      </c>
      <c r="B11" s="1"/>
      <c r="C11" s="5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3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90" t="s">
        <v>6</v>
      </c>
      <c r="B13" s="91"/>
      <c r="C13" s="96" t="s">
        <v>7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1"/>
      <c r="W13" s="1"/>
      <c r="X13" s="1"/>
      <c r="Y13" s="1"/>
      <c r="Z13" s="1"/>
    </row>
    <row r="14" spans="1:26" ht="12.75" customHeight="1" x14ac:dyDescent="0.25">
      <c r="A14" s="92"/>
      <c r="B14" s="93"/>
      <c r="C14" s="9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3"/>
      <c r="W14" s="1"/>
      <c r="X14" s="1"/>
      <c r="Y14" s="1"/>
      <c r="Z14" s="1"/>
    </row>
    <row r="15" spans="1:26" ht="28.5" customHeight="1" x14ac:dyDescent="0.25">
      <c r="A15" s="94"/>
      <c r="B15" s="95"/>
      <c r="C15" s="94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5"/>
      <c r="W15" s="1"/>
      <c r="X15" s="1"/>
      <c r="Y15" s="1"/>
      <c r="Z15" s="1"/>
    </row>
    <row r="16" spans="1:26" x14ac:dyDescent="0.25">
      <c r="A16" s="100" t="s">
        <v>8</v>
      </c>
      <c r="B16" s="89"/>
      <c r="C16" s="101" t="s">
        <v>9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9"/>
      <c r="W16" s="1"/>
      <c r="X16" s="1"/>
      <c r="Y16" s="1"/>
      <c r="Z16" s="1"/>
    </row>
    <row r="20" spans="1:24" ht="15" customHeight="1" x14ac:dyDescent="0.25">
      <c r="A20" s="84" t="s">
        <v>10</v>
      </c>
      <c r="B20" s="84" t="s">
        <v>11</v>
      </c>
      <c r="C20" s="84" t="s">
        <v>12</v>
      </c>
      <c r="D20" s="84" t="s">
        <v>14</v>
      </c>
      <c r="E20" s="84" t="s">
        <v>15</v>
      </c>
      <c r="F20" s="84" t="s">
        <v>16</v>
      </c>
      <c r="G20" s="84" t="s">
        <v>17</v>
      </c>
      <c r="H20" s="84" t="s">
        <v>18</v>
      </c>
      <c r="I20" s="84" t="s">
        <v>19</v>
      </c>
      <c r="J20" s="87" t="s">
        <v>20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</row>
    <row r="21" spans="1:24" ht="25.5" customHeight="1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12" t="s">
        <v>21</v>
      </c>
      <c r="K21" s="12" t="s">
        <v>22</v>
      </c>
      <c r="L21" s="12" t="s">
        <v>23</v>
      </c>
      <c r="M21" s="12" t="s">
        <v>24</v>
      </c>
      <c r="N21" s="12" t="s">
        <v>25</v>
      </c>
      <c r="O21" s="12" t="s">
        <v>26</v>
      </c>
      <c r="P21" s="12" t="s">
        <v>27</v>
      </c>
      <c r="Q21" s="12" t="s">
        <v>0</v>
      </c>
      <c r="R21" s="12" t="s">
        <v>28</v>
      </c>
      <c r="S21" s="12" t="s">
        <v>29</v>
      </c>
      <c r="T21" s="12" t="s">
        <v>30</v>
      </c>
      <c r="U21" s="12" t="s">
        <v>31</v>
      </c>
      <c r="V21" s="15" t="s">
        <v>32</v>
      </c>
    </row>
    <row r="22" spans="1:24" ht="20.100000000000001" customHeight="1" x14ac:dyDescent="0.25">
      <c r="A22" s="67" t="str">
        <f ca="1">IFERROR(__xludf.DUMMYFUNCTION("IMPORTRANGE(""https://docs.google.com/spreadsheets/d/1326rdUM6oOTA_5T6U_eA-Yqy4OMk6d_RGd_Z1bKVaC8/edit#gid=1459860096"",""'33.03.112 PREAVS'!g10:g30"")"),"REGIÓN DEL BIOBÍO")</f>
        <v>REGIÓN DEL BIOBÍO</v>
      </c>
      <c r="B22" s="67" t="str">
        <f t="shared" ref="B22:B43" ca="1" si="0">MID(X22,17,30)</f>
        <v xml:space="preserve"> CONCEPCIÓN</v>
      </c>
      <c r="C22" s="67" t="str">
        <f ca="1">IFERROR(__xludf.DUMMYFUNCTION("IMPORTRANGE(""https://docs.google.com/spreadsheets/d/1326rdUM6oOTA_5T6U_eA-Yqy4OMk6d_RGd_Z1bKVaC8/edit#gid=1459860096"",""'33.03.112 PREAVS'!i10:i30"")"),"MEJORAMIENTO PLAZA PERÚ DE CONCEPCIÓN")</f>
        <v>MEJORAMIENTO PLAZA PERÚ DE CONCEPCIÓN</v>
      </c>
      <c r="D22" s="67" t="str">
        <f ca="1">IFERROR(__xludf.DUMMYFUNCTION("IMPORTRANGE(""https://docs.google.com/spreadsheets/d/1326rdUM6oOTA_5T6U_eA-Yqy4OMk6d_RGd_Z1bKVaC8/edit#gid=1459860096"",""'33.03.112 PREAVS'!n10:n30"")"),"Ejecución")</f>
        <v>Ejecución</v>
      </c>
      <c r="E22" s="68">
        <f ca="1">IFERROR(__xludf.DUMMYFUNCTION("IMPORTRANGE(""https://docs.google.com/spreadsheets/d/1326rdUM6oOTA_5T6U_eA-Yqy4OMk6d_RGd_Z1bKVaC8/edit#gid=1459860096"",""'33.03.112 PREAVS'!m10:m30"")"),45477)</f>
        <v>45477</v>
      </c>
      <c r="F22" s="69">
        <f ca="1">IFERROR(__xludf.DUMMYFUNCTION("IMPORTRANGE(""https://docs.google.com/spreadsheets/d/1326rdUM6oOTA_5T6U_eA-Yqy4OMk6d_RGd_Z1bKVaC8/edit#gid=1459860096"",""'33.03.112 PREAVS'!p10:p30"")"),1241981000)</f>
        <v>1241981000</v>
      </c>
      <c r="G22" s="67" t="str">
        <f ca="1">IFERROR(__xludf.DUMMYFUNCTION("IMPORTRANGE(""https://docs.google.com/spreadsheets/d/1326rdUM6oOTA_5T6U_eA-Yqy4OMk6d_RGd_Z1bKVaC8/edit#gid=1459860096"",""'33.03.112 PREAVS'!n10:n30"")"),"Ejecución")</f>
        <v>Ejecución</v>
      </c>
      <c r="H22" s="70">
        <f ca="1">IFERROR(__xludf.DUMMYFUNCTION("IMPORTRANGE(""https://docs.google.com/spreadsheets/d/1326rdUM6oOTA_5T6U_eA-Yqy4OMk6d_RGd_Z1bKVaC8/edit#gid=1459860096"",""'33.03.112 PREAVS'!ad10:ad30"")"),620990500)</f>
        <v>620990500</v>
      </c>
      <c r="I22" s="83" t="s">
        <v>48</v>
      </c>
      <c r="J22" s="72" t="str">
        <f ca="1">IFERROR(__xludf.DUMMYFUNCTION("IMPORTRANGE(""https://docs.google.com/spreadsheets/d/1326rdUM6oOTA_5T6U_eA-Yqy4OMk6d_RGd_Z1bKVaC8/edit#gid=1459860096"",""'33.03.112 PREAVS'!r10:r30"")"),"")</f>
        <v/>
      </c>
      <c r="K22" s="72" t="str">
        <f ca="1">IFERROR(__xludf.DUMMYFUNCTION("IMPORTRANGE(""https://docs.google.com/spreadsheets/d/1326rdUM6oOTA_5T6U_eA-Yqy4OMk6d_RGd_Z1bKVaC8/edit#gid=1459860096"",""'33.03.112 PREAVS'!s10:s30"")"),"")</f>
        <v/>
      </c>
      <c r="L22" s="72" t="str">
        <f ca="1">IFERROR(__xludf.DUMMYFUNCTION("IMPORTRANGE(""https://docs.google.com/spreadsheets/d/1326rdUM6oOTA_5T6U_eA-Yqy4OMk6d_RGd_Z1bKVaC8/edit#gid=1459860096"",""'33.03.112 PREAVS'!t10:t30"")"),"")</f>
        <v/>
      </c>
      <c r="M22" s="72" t="str">
        <f ca="1">IFERROR(__xludf.DUMMYFUNCTION("IMPORTRANGE(""https://docs.google.com/spreadsheets/d/1326rdUM6oOTA_5T6U_eA-Yqy4OMk6d_RGd_Z1bKVaC8/edit#gid=1459860096"",""'33.03.112 PREAVS'!u10:u30"")"),"")</f>
        <v/>
      </c>
      <c r="N22" s="72" t="str">
        <f ca="1">IFERROR(__xludf.DUMMYFUNCTION("IMPORTRANGE(""https://docs.google.com/spreadsheets/d/1326rdUM6oOTA_5T6U_eA-Yqy4OMk6d_RGd_Z1bKVaC8/edit#gid=1459860096"",""'33.03.112 PREAVS'!v10:v30"")"),"")</f>
        <v/>
      </c>
      <c r="O22" s="72" t="str">
        <f ca="1">IFERROR(__xludf.DUMMYFUNCTION("IMPORTRANGE(""https://docs.google.com/spreadsheets/d/1326rdUM6oOTA_5T6U_eA-Yqy4OMk6d_RGd_Z1bKVaC8/edit#gid=1459860096"",""'33.03.112 PREAVS'!w10:w30"")"),"")</f>
        <v/>
      </c>
      <c r="P22" s="72" t="str">
        <f ca="1">IFERROR(__xludf.DUMMYFUNCTION("IMPORTRANGE(""https://docs.google.com/spreadsheets/d/1326rdUM6oOTA_5T6U_eA-Yqy4OMk6d_RGd_Z1bKVaC8/edit#gid=1459860096"",""'33.03.112 PREAVS'!x10:x30"")"),"")</f>
        <v/>
      </c>
      <c r="Q22" s="70">
        <f ca="1">IFERROR(__xludf.DUMMYFUNCTION("IMPORTRANGE(""https://docs.google.com/spreadsheets/d/1326rdUM6oOTA_5T6U_eA-Yqy4OMk6d_RGd_Z1bKVaC8/edit#gid=1459860096"",""'33.03.112 PREAVS'!y10:y30"")"),620990500)</f>
        <v>620990500</v>
      </c>
      <c r="R22" s="72" t="str">
        <f ca="1">IFERROR(__xludf.DUMMYFUNCTION("IMPORTRANGE(""https://docs.google.com/spreadsheets/d/1326rdUM6oOTA_5T6U_eA-Yqy4OMk6d_RGd_Z1bKVaC8/edit#gid=1459860096"",""'33.03.112 PREAVS'!z10:z30"")"),"")</f>
        <v/>
      </c>
      <c r="S22" s="72" t="str">
        <f ca="1">IFERROR(__xludf.DUMMYFUNCTION("IMPORTRANGE(""https://docs.google.com/spreadsheets/d/1326rdUM6oOTA_5T6U_eA-Yqy4OMk6d_RGd_Z1bKVaC8/edit#gid=1459860096"",""'33.03.112 PREAVS'!aa10:aa30"")"),"")</f>
        <v/>
      </c>
      <c r="T22" s="72" t="str">
        <f ca="1">IFERROR(__xludf.DUMMYFUNCTION("IMPORTRANGE(""https://docs.google.com/spreadsheets/d/1326rdUM6oOTA_5T6U_eA-Yqy4OMk6d_RGd_Z1bKVaC8/edit#gid=1459860096"",""'33.03.112 PREAVS'!ab10:ab30"")"),"")</f>
        <v/>
      </c>
      <c r="U22" s="72" t="str">
        <f ca="1">IFERROR(__xludf.DUMMYFUNCTION("IMPORTRANGE(""https://docs.google.com/spreadsheets/d/1326rdUM6oOTA_5T6U_eA-Yqy4OMk6d_RGd_Z1bKVaC8/edit#gid=1459860096"",""'33.03.112 PREAVS'!ac10:ac30"")"),"")</f>
        <v/>
      </c>
      <c r="V22" s="73">
        <f ca="1">IFERROR(__xludf.DUMMYFUNCTION("IMPORTRANGE(""https://docs.google.com/spreadsheets/d/1326rdUM6oOTA_5T6U_eA-Yqy4OMk6d_RGd_Z1bKVaC8/edit#gid=1459860096"",""'33.03.112 PREAVS'!ad10:ad30"")"),620990500)</f>
        <v>620990500</v>
      </c>
      <c r="X22" s="74" t="str">
        <f ca="1">IFERROR(__xludf.DUMMYFUNCTION("IMPORTRANGE(""https://docs.google.com/spreadsheets/d/1326rdUM6oOTA_5T6U_eA-Yqy4OMk6d_RGd_Z1bKVaC8/edit#gid=1459860096"",""'33.03.112 PREAVS'!f10:f30"")"),"MUNICIPALIDAD DE CONCEPCIÓN")</f>
        <v>MUNICIPALIDAD DE CONCEPCIÓN</v>
      </c>
    </row>
    <row r="23" spans="1:24" ht="20.100000000000001" customHeight="1" x14ac:dyDescent="0.25">
      <c r="A23" s="67" t="str">
        <f ca="1">IFERROR(__xludf.DUMMYFUNCTION("""COMPUTED_VALUE"""),"REGIÓN DEL BIOBÍO")</f>
        <v>REGIÓN DEL BIOBÍO</v>
      </c>
      <c r="B23" s="67" t="str">
        <f t="shared" ca="1" si="0"/>
        <v xml:space="preserve"> CORONEL</v>
      </c>
      <c r="C23" s="67" t="str">
        <f ca="1">IFERROR(__xludf.DUMMYFUNCTION("""COMPUTED_VALUE"""),"MEJORAMIENTO PLAZA CÍVICA CORONEL")</f>
        <v>MEJORAMIENTO PLAZA CÍVICA CORONEL</v>
      </c>
      <c r="D23" s="67" t="str">
        <f ca="1">IFERROR(__xludf.DUMMYFUNCTION("""COMPUTED_VALUE"""),"Ejecución")</f>
        <v>Ejecución</v>
      </c>
      <c r="E23" s="68">
        <f ca="1">IFERROR(__xludf.DUMMYFUNCTION("""COMPUTED_VALUE"""),45477)</f>
        <v>45477</v>
      </c>
      <c r="F23" s="69">
        <f ca="1">IFERROR(__xludf.DUMMYFUNCTION("""COMPUTED_VALUE"""),1199992289)</f>
        <v>1199992289</v>
      </c>
      <c r="G23" s="67" t="str">
        <f ca="1">IFERROR(__xludf.DUMMYFUNCTION("""COMPUTED_VALUE"""),"Ejecución")</f>
        <v>Ejecución</v>
      </c>
      <c r="H23" s="70">
        <f ca="1">IFERROR(__xludf.DUMMYFUNCTION("""COMPUTED_VALUE"""),620993500)</f>
        <v>620993500</v>
      </c>
      <c r="I23" s="83" t="s">
        <v>48</v>
      </c>
      <c r="J23" s="72"/>
      <c r="K23" s="72"/>
      <c r="L23" s="72"/>
      <c r="M23" s="72"/>
      <c r="N23" s="70"/>
      <c r="O23" s="72"/>
      <c r="P23" s="72"/>
      <c r="Q23" s="70">
        <f ca="1">IFERROR(__xludf.DUMMYFUNCTION("""COMPUTED_VALUE"""),620993500)</f>
        <v>620993500</v>
      </c>
      <c r="R23" s="72"/>
      <c r="S23" s="72"/>
      <c r="T23" s="72"/>
      <c r="U23" s="72"/>
      <c r="V23" s="73">
        <f ca="1">IFERROR(__xludf.DUMMYFUNCTION("""COMPUTED_VALUE"""),620993500)</f>
        <v>620993500</v>
      </c>
      <c r="X23" s="43" t="str">
        <f ca="1">IFERROR(__xludf.DUMMYFUNCTION("""COMPUTED_VALUE"""),"MUNICIPALIDAD DE CORONEL")</f>
        <v>MUNICIPALIDAD DE CORONEL</v>
      </c>
    </row>
    <row r="24" spans="1:24" ht="15.75" customHeight="1" x14ac:dyDescent="0.25">
      <c r="A24" s="67"/>
      <c r="B24" s="67" t="str">
        <f t="shared" si="0"/>
        <v/>
      </c>
      <c r="C24" s="67"/>
      <c r="D24" s="67"/>
      <c r="E24" s="68"/>
      <c r="F24" s="69"/>
      <c r="G24" s="67"/>
      <c r="H24" s="70"/>
      <c r="I24" s="71"/>
      <c r="J24" s="72"/>
      <c r="K24" s="72"/>
      <c r="L24" s="72"/>
      <c r="M24" s="72"/>
      <c r="N24" s="70"/>
      <c r="O24" s="72"/>
      <c r="P24" s="72"/>
      <c r="Q24" s="72"/>
      <c r="R24" s="72"/>
      <c r="S24" s="72"/>
      <c r="T24" s="72"/>
      <c r="U24" s="72"/>
      <c r="V24" s="73"/>
      <c r="X24" s="43"/>
    </row>
    <row r="25" spans="1:24" ht="15.75" customHeight="1" x14ac:dyDescent="0.25">
      <c r="A25" s="67"/>
      <c r="B25" s="67" t="str">
        <f t="shared" si="0"/>
        <v/>
      </c>
      <c r="C25" s="67"/>
      <c r="D25" s="67"/>
      <c r="E25" s="68"/>
      <c r="F25" s="69"/>
      <c r="G25" s="67"/>
      <c r="H25" s="70"/>
      <c r="I25" s="71"/>
      <c r="J25" s="72"/>
      <c r="K25" s="72"/>
      <c r="L25" s="72"/>
      <c r="M25" s="72"/>
      <c r="N25" s="70"/>
      <c r="O25" s="72"/>
      <c r="P25" s="72"/>
      <c r="Q25" s="72"/>
      <c r="R25" s="72"/>
      <c r="S25" s="72"/>
      <c r="T25" s="72"/>
      <c r="U25" s="72"/>
      <c r="V25" s="73"/>
      <c r="X25" s="43"/>
    </row>
    <row r="26" spans="1:24" ht="15.75" hidden="1" customHeight="1" x14ac:dyDescent="0.25">
      <c r="A26" s="67"/>
      <c r="B26" s="67" t="str">
        <f t="shared" si="0"/>
        <v/>
      </c>
      <c r="C26" s="67"/>
      <c r="D26" s="67"/>
      <c r="E26" s="68"/>
      <c r="F26" s="69"/>
      <c r="G26" s="67"/>
      <c r="H26" s="70"/>
      <c r="I26" s="71"/>
      <c r="J26" s="72"/>
      <c r="K26" s="72"/>
      <c r="L26" s="72"/>
      <c r="M26" s="72"/>
      <c r="N26" s="70"/>
      <c r="O26" s="72"/>
      <c r="P26" s="72"/>
      <c r="Q26" s="72"/>
      <c r="R26" s="72"/>
      <c r="S26" s="72"/>
      <c r="T26" s="72"/>
      <c r="U26" s="72"/>
      <c r="V26" s="73"/>
      <c r="X26" s="43"/>
    </row>
    <row r="27" spans="1:24" ht="15.75" hidden="1" customHeight="1" x14ac:dyDescent="0.25">
      <c r="A27" s="67"/>
      <c r="B27" s="67" t="str">
        <f t="shared" si="0"/>
        <v/>
      </c>
      <c r="C27" s="67"/>
      <c r="D27" s="67"/>
      <c r="E27" s="68"/>
      <c r="F27" s="69"/>
      <c r="G27" s="67"/>
      <c r="H27" s="70"/>
      <c r="I27" s="71"/>
      <c r="J27" s="72"/>
      <c r="K27" s="72"/>
      <c r="L27" s="72"/>
      <c r="M27" s="72"/>
      <c r="N27" s="70"/>
      <c r="O27" s="72"/>
      <c r="P27" s="72"/>
      <c r="Q27" s="72"/>
      <c r="R27" s="72"/>
      <c r="S27" s="72"/>
      <c r="T27" s="72"/>
      <c r="U27" s="72"/>
      <c r="V27" s="73"/>
      <c r="X27" s="43"/>
    </row>
    <row r="28" spans="1:24" ht="15.75" hidden="1" customHeight="1" x14ac:dyDescent="0.25">
      <c r="A28" s="67"/>
      <c r="B28" s="67" t="str">
        <f t="shared" si="0"/>
        <v/>
      </c>
      <c r="C28" s="67"/>
      <c r="D28" s="67"/>
      <c r="E28" s="68"/>
      <c r="F28" s="69"/>
      <c r="G28" s="67"/>
      <c r="H28" s="70"/>
      <c r="I28" s="71"/>
      <c r="J28" s="72"/>
      <c r="K28" s="72"/>
      <c r="L28" s="72"/>
      <c r="M28" s="72"/>
      <c r="N28" s="70"/>
      <c r="O28" s="72"/>
      <c r="P28" s="72"/>
      <c r="Q28" s="72"/>
      <c r="R28" s="72"/>
      <c r="S28" s="72"/>
      <c r="T28" s="72"/>
      <c r="U28" s="72"/>
      <c r="V28" s="73"/>
      <c r="X28" s="43"/>
    </row>
    <row r="29" spans="1:24" ht="15.75" hidden="1" customHeight="1" x14ac:dyDescent="0.25">
      <c r="A29" s="67"/>
      <c r="B29" s="67" t="str">
        <f t="shared" si="0"/>
        <v/>
      </c>
      <c r="C29" s="67"/>
      <c r="D29" s="67"/>
      <c r="E29" s="68"/>
      <c r="F29" s="69"/>
      <c r="G29" s="67"/>
      <c r="H29" s="70"/>
      <c r="I29" s="71"/>
      <c r="J29" s="72"/>
      <c r="K29" s="72"/>
      <c r="L29" s="72"/>
      <c r="M29" s="72"/>
      <c r="N29" s="70"/>
      <c r="O29" s="72"/>
      <c r="P29" s="72"/>
      <c r="Q29" s="72"/>
      <c r="R29" s="72"/>
      <c r="S29" s="72"/>
      <c r="T29" s="72"/>
      <c r="U29" s="72"/>
      <c r="V29" s="73"/>
      <c r="X29" s="43"/>
    </row>
    <row r="30" spans="1:24" ht="15.75" hidden="1" customHeight="1" x14ac:dyDescent="0.25">
      <c r="A30" s="67"/>
      <c r="B30" s="67" t="str">
        <f t="shared" si="0"/>
        <v/>
      </c>
      <c r="C30" s="67"/>
      <c r="D30" s="67"/>
      <c r="E30" s="68"/>
      <c r="F30" s="69"/>
      <c r="G30" s="67"/>
      <c r="H30" s="70"/>
      <c r="I30" s="71"/>
      <c r="J30" s="72"/>
      <c r="K30" s="72"/>
      <c r="L30" s="72"/>
      <c r="M30" s="72"/>
      <c r="N30" s="70"/>
      <c r="O30" s="72"/>
      <c r="P30" s="72"/>
      <c r="Q30" s="72"/>
      <c r="R30" s="72"/>
      <c r="S30" s="72"/>
      <c r="T30" s="72"/>
      <c r="U30" s="72"/>
      <c r="V30" s="73"/>
      <c r="X30" s="43"/>
    </row>
    <row r="31" spans="1:24" ht="15.75" hidden="1" customHeight="1" x14ac:dyDescent="0.25">
      <c r="A31" s="67"/>
      <c r="B31" s="67" t="str">
        <f t="shared" si="0"/>
        <v/>
      </c>
      <c r="C31" s="67"/>
      <c r="D31" s="67"/>
      <c r="E31" s="68"/>
      <c r="F31" s="69"/>
      <c r="G31" s="67"/>
      <c r="H31" s="70"/>
      <c r="I31" s="71"/>
      <c r="J31" s="72"/>
      <c r="K31" s="72"/>
      <c r="L31" s="72"/>
      <c r="M31" s="72"/>
      <c r="N31" s="70"/>
      <c r="O31" s="72"/>
      <c r="P31" s="72"/>
      <c r="Q31" s="72"/>
      <c r="R31" s="72"/>
      <c r="S31" s="72"/>
      <c r="T31" s="72"/>
      <c r="U31" s="72"/>
      <c r="V31" s="73"/>
      <c r="X31" s="43"/>
    </row>
    <row r="32" spans="1:24" ht="15.75" hidden="1" customHeight="1" x14ac:dyDescent="0.25">
      <c r="A32" s="67"/>
      <c r="B32" s="67" t="str">
        <f t="shared" si="0"/>
        <v/>
      </c>
      <c r="C32" s="67"/>
      <c r="D32" s="67"/>
      <c r="E32" s="68"/>
      <c r="F32" s="69"/>
      <c r="G32" s="67"/>
      <c r="H32" s="70"/>
      <c r="I32" s="71"/>
      <c r="J32" s="72"/>
      <c r="K32" s="72"/>
      <c r="L32" s="72"/>
      <c r="M32" s="72"/>
      <c r="N32" s="70"/>
      <c r="O32" s="72"/>
      <c r="P32" s="72"/>
      <c r="Q32" s="72"/>
      <c r="R32" s="72"/>
      <c r="S32" s="72"/>
      <c r="T32" s="72"/>
      <c r="U32" s="72"/>
      <c r="V32" s="73"/>
      <c r="X32" s="43"/>
    </row>
    <row r="33" spans="1:26" ht="15.75" hidden="1" customHeight="1" x14ac:dyDescent="0.25">
      <c r="A33" s="67"/>
      <c r="B33" s="67" t="str">
        <f t="shared" si="0"/>
        <v/>
      </c>
      <c r="C33" s="67"/>
      <c r="D33" s="67"/>
      <c r="E33" s="68"/>
      <c r="F33" s="69"/>
      <c r="G33" s="67"/>
      <c r="H33" s="70"/>
      <c r="I33" s="71"/>
      <c r="J33" s="72"/>
      <c r="K33" s="72"/>
      <c r="L33" s="72"/>
      <c r="M33" s="72"/>
      <c r="N33" s="70"/>
      <c r="O33" s="72"/>
      <c r="P33" s="72"/>
      <c r="Q33" s="72"/>
      <c r="R33" s="72"/>
      <c r="S33" s="72"/>
      <c r="T33" s="72"/>
      <c r="U33" s="72"/>
      <c r="V33" s="73"/>
      <c r="X33" s="43"/>
    </row>
    <row r="34" spans="1:26" ht="15.75" hidden="1" customHeight="1" x14ac:dyDescent="0.25">
      <c r="A34" s="67"/>
      <c r="B34" s="67" t="str">
        <f t="shared" si="0"/>
        <v/>
      </c>
      <c r="C34" s="67"/>
      <c r="D34" s="67"/>
      <c r="E34" s="68"/>
      <c r="F34" s="69"/>
      <c r="G34" s="67"/>
      <c r="H34" s="70"/>
      <c r="I34" s="71"/>
      <c r="J34" s="72"/>
      <c r="K34" s="72"/>
      <c r="L34" s="72"/>
      <c r="M34" s="72"/>
      <c r="N34" s="70"/>
      <c r="O34" s="72"/>
      <c r="P34" s="72"/>
      <c r="Q34" s="72"/>
      <c r="R34" s="72"/>
      <c r="S34" s="72"/>
      <c r="T34" s="72"/>
      <c r="U34" s="72"/>
      <c r="V34" s="73"/>
      <c r="X34" s="43"/>
    </row>
    <row r="35" spans="1:26" ht="15.75" hidden="1" customHeight="1" x14ac:dyDescent="0.25">
      <c r="A35" s="67"/>
      <c r="B35" s="67" t="str">
        <f t="shared" si="0"/>
        <v/>
      </c>
      <c r="C35" s="67"/>
      <c r="D35" s="67"/>
      <c r="E35" s="68"/>
      <c r="F35" s="69"/>
      <c r="G35" s="67"/>
      <c r="H35" s="70"/>
      <c r="I35" s="71"/>
      <c r="J35" s="72"/>
      <c r="K35" s="72"/>
      <c r="L35" s="72"/>
      <c r="M35" s="72"/>
      <c r="N35" s="70"/>
      <c r="O35" s="72"/>
      <c r="P35" s="72"/>
      <c r="Q35" s="72"/>
      <c r="R35" s="72"/>
      <c r="S35" s="72"/>
      <c r="T35" s="72"/>
      <c r="U35" s="72"/>
      <c r="V35" s="73"/>
      <c r="X35" s="43"/>
    </row>
    <row r="36" spans="1:26" ht="15.75" hidden="1" customHeight="1" x14ac:dyDescent="0.25">
      <c r="A36" s="67"/>
      <c r="B36" s="67" t="str">
        <f t="shared" si="0"/>
        <v/>
      </c>
      <c r="C36" s="67"/>
      <c r="D36" s="67"/>
      <c r="E36" s="68"/>
      <c r="F36" s="69"/>
      <c r="G36" s="67"/>
      <c r="H36" s="70"/>
      <c r="I36" s="71"/>
      <c r="J36" s="72"/>
      <c r="K36" s="72"/>
      <c r="L36" s="72"/>
      <c r="M36" s="72"/>
      <c r="N36" s="70"/>
      <c r="O36" s="72"/>
      <c r="P36" s="72"/>
      <c r="Q36" s="72"/>
      <c r="R36" s="72"/>
      <c r="S36" s="72"/>
      <c r="T36" s="72"/>
      <c r="U36" s="72"/>
      <c r="V36" s="73"/>
      <c r="X36" s="43"/>
    </row>
    <row r="37" spans="1:26" ht="15.75" hidden="1" customHeight="1" x14ac:dyDescent="0.25">
      <c r="A37" s="67"/>
      <c r="B37" s="67" t="str">
        <f t="shared" si="0"/>
        <v/>
      </c>
      <c r="C37" s="67"/>
      <c r="D37" s="67"/>
      <c r="E37" s="68"/>
      <c r="F37" s="69"/>
      <c r="G37" s="67"/>
      <c r="H37" s="70"/>
      <c r="I37" s="71"/>
      <c r="J37" s="72"/>
      <c r="K37" s="72"/>
      <c r="L37" s="72"/>
      <c r="M37" s="72"/>
      <c r="N37" s="70"/>
      <c r="O37" s="72"/>
      <c r="P37" s="72"/>
      <c r="Q37" s="72"/>
      <c r="R37" s="72"/>
      <c r="S37" s="72"/>
      <c r="T37" s="72"/>
      <c r="U37" s="72"/>
      <c r="V37" s="73"/>
      <c r="X37" s="43"/>
    </row>
    <row r="38" spans="1:26" ht="15.75" hidden="1" customHeight="1" x14ac:dyDescent="0.25">
      <c r="A38" s="67"/>
      <c r="B38" s="67" t="str">
        <f t="shared" si="0"/>
        <v/>
      </c>
      <c r="C38" s="67"/>
      <c r="D38" s="67"/>
      <c r="E38" s="68"/>
      <c r="F38" s="69"/>
      <c r="G38" s="67"/>
      <c r="H38" s="70"/>
      <c r="I38" s="71"/>
      <c r="J38" s="72"/>
      <c r="K38" s="72"/>
      <c r="L38" s="72"/>
      <c r="M38" s="72"/>
      <c r="N38" s="70"/>
      <c r="O38" s="72"/>
      <c r="P38" s="72"/>
      <c r="Q38" s="72"/>
      <c r="R38" s="72"/>
      <c r="S38" s="72"/>
      <c r="T38" s="72"/>
      <c r="U38" s="72"/>
      <c r="V38" s="73"/>
      <c r="X38" s="43"/>
    </row>
    <row r="39" spans="1:26" ht="15.75" hidden="1" customHeight="1" x14ac:dyDescent="0.25">
      <c r="A39" s="67"/>
      <c r="B39" s="67" t="str">
        <f t="shared" si="0"/>
        <v/>
      </c>
      <c r="C39" s="67"/>
      <c r="D39" s="67"/>
      <c r="E39" s="68"/>
      <c r="F39" s="69"/>
      <c r="G39" s="67"/>
      <c r="H39" s="70"/>
      <c r="I39" s="71"/>
      <c r="J39" s="72"/>
      <c r="K39" s="72"/>
      <c r="L39" s="72"/>
      <c r="M39" s="72"/>
      <c r="N39" s="70"/>
      <c r="O39" s="72"/>
      <c r="P39" s="72"/>
      <c r="Q39" s="72"/>
      <c r="R39" s="72"/>
      <c r="S39" s="72"/>
      <c r="T39" s="72"/>
      <c r="U39" s="72"/>
      <c r="V39" s="73"/>
      <c r="X39" s="43"/>
    </row>
    <row r="40" spans="1:26" ht="15.75" hidden="1" customHeight="1" x14ac:dyDescent="0.25">
      <c r="A40" s="67"/>
      <c r="B40" s="67" t="str">
        <f t="shared" si="0"/>
        <v/>
      </c>
      <c r="C40" s="67"/>
      <c r="D40" s="67"/>
      <c r="E40" s="68"/>
      <c r="F40" s="69"/>
      <c r="G40" s="67"/>
      <c r="H40" s="70"/>
      <c r="I40" s="71"/>
      <c r="J40" s="72"/>
      <c r="K40" s="72"/>
      <c r="L40" s="72"/>
      <c r="M40" s="72"/>
      <c r="N40" s="70"/>
      <c r="O40" s="72"/>
      <c r="P40" s="72"/>
      <c r="Q40" s="72"/>
      <c r="R40" s="72"/>
      <c r="S40" s="72"/>
      <c r="T40" s="72"/>
      <c r="U40" s="72"/>
      <c r="V40" s="73"/>
      <c r="X40" s="43"/>
    </row>
    <row r="41" spans="1:26" ht="15.75" hidden="1" customHeight="1" x14ac:dyDescent="0.25">
      <c r="A41" s="67"/>
      <c r="B41" s="67" t="str">
        <f t="shared" si="0"/>
        <v/>
      </c>
      <c r="C41" s="67"/>
      <c r="D41" s="67"/>
      <c r="E41" s="68"/>
      <c r="F41" s="69"/>
      <c r="G41" s="67"/>
      <c r="H41" s="70"/>
      <c r="I41" s="71"/>
      <c r="J41" s="72"/>
      <c r="K41" s="72"/>
      <c r="L41" s="72"/>
      <c r="M41" s="72"/>
      <c r="N41" s="70"/>
      <c r="O41" s="72"/>
      <c r="P41" s="72"/>
      <c r="Q41" s="72"/>
      <c r="R41" s="72"/>
      <c r="S41" s="72"/>
      <c r="T41" s="72"/>
      <c r="U41" s="72"/>
      <c r="V41" s="73"/>
      <c r="X41" s="43"/>
    </row>
    <row r="42" spans="1:26" ht="15.75" hidden="1" customHeight="1" x14ac:dyDescent="0.25">
      <c r="A42" s="67"/>
      <c r="B42" s="67" t="str">
        <f t="shared" si="0"/>
        <v/>
      </c>
      <c r="C42" s="67"/>
      <c r="D42" s="67"/>
      <c r="E42" s="68"/>
      <c r="F42" s="69"/>
      <c r="G42" s="67"/>
      <c r="H42" s="70"/>
      <c r="I42" s="71"/>
      <c r="J42" s="72"/>
      <c r="K42" s="72"/>
      <c r="L42" s="72"/>
      <c r="M42" s="72"/>
      <c r="N42" s="70"/>
      <c r="O42" s="72"/>
      <c r="P42" s="72"/>
      <c r="Q42" s="72"/>
      <c r="R42" s="72"/>
      <c r="S42" s="72"/>
      <c r="T42" s="72"/>
      <c r="U42" s="72"/>
      <c r="V42" s="73"/>
      <c r="X42" s="43"/>
    </row>
    <row r="43" spans="1:26" ht="15.75" hidden="1" customHeight="1" x14ac:dyDescent="0.25">
      <c r="A43" s="67"/>
      <c r="B43" s="67" t="str">
        <f t="shared" si="0"/>
        <v/>
      </c>
      <c r="C43" s="67"/>
      <c r="D43" s="67"/>
      <c r="E43" s="68"/>
      <c r="F43" s="69"/>
      <c r="G43" s="67"/>
      <c r="H43" s="70"/>
      <c r="I43" s="71"/>
      <c r="J43" s="72"/>
      <c r="K43" s="72"/>
      <c r="L43" s="72"/>
      <c r="M43" s="72"/>
      <c r="N43" s="70"/>
      <c r="O43" s="72"/>
      <c r="P43" s="72"/>
      <c r="Q43" s="72"/>
      <c r="R43" s="72"/>
      <c r="S43" s="72"/>
      <c r="T43" s="72"/>
      <c r="U43" s="72"/>
      <c r="V43" s="73"/>
    </row>
    <row r="44" spans="1:26" ht="15.75" customHeight="1" x14ac:dyDescent="0.25"/>
    <row r="45" spans="1:26" ht="23.25" customHeight="1" x14ac:dyDescent="0.25">
      <c r="A45" s="63" t="s">
        <v>33</v>
      </c>
      <c r="B45" s="63"/>
      <c r="C45" s="63"/>
      <c r="D45" s="63"/>
      <c r="E45" s="64"/>
      <c r="F45" s="63">
        <f ca="1">SUM(F22:F43)</f>
        <v>2441973289</v>
      </c>
      <c r="G45" s="63"/>
      <c r="H45" s="63">
        <f ca="1">SUM(H22:H43)</f>
        <v>1241984000</v>
      </c>
      <c r="I45" s="63"/>
      <c r="J45" s="63">
        <f t="shared" ref="J45:V45" ca="1" si="1">SUM(J22:J43)</f>
        <v>0</v>
      </c>
      <c r="K45" s="63">
        <f t="shared" ca="1" si="1"/>
        <v>0</v>
      </c>
      <c r="L45" s="63">
        <f t="shared" ca="1" si="1"/>
        <v>0</v>
      </c>
      <c r="M45" s="63">
        <f t="shared" ca="1" si="1"/>
        <v>0</v>
      </c>
      <c r="N45" s="63">
        <f t="shared" ca="1" si="1"/>
        <v>0</v>
      </c>
      <c r="O45" s="63">
        <f t="shared" ca="1" si="1"/>
        <v>0</v>
      </c>
      <c r="P45" s="63">
        <f t="shared" ca="1" si="1"/>
        <v>0</v>
      </c>
      <c r="Q45" s="63">
        <f t="shared" ca="1" si="1"/>
        <v>1241984000</v>
      </c>
      <c r="R45" s="63">
        <f t="shared" ca="1" si="1"/>
        <v>0</v>
      </c>
      <c r="S45" s="63">
        <f t="shared" ca="1" si="1"/>
        <v>0</v>
      </c>
      <c r="T45" s="63">
        <f t="shared" ca="1" si="1"/>
        <v>0</v>
      </c>
      <c r="U45" s="63">
        <f t="shared" ca="1" si="1"/>
        <v>0</v>
      </c>
      <c r="V45" s="63">
        <f t="shared" ca="1" si="1"/>
        <v>1241984000</v>
      </c>
      <c r="W45" s="81"/>
      <c r="X45" s="81"/>
      <c r="Y45" s="66"/>
      <c r="Z45" s="66"/>
    </row>
    <row r="46" spans="1:26" ht="15.75" customHeight="1" x14ac:dyDescent="0.25"/>
    <row r="47" spans="1:26" ht="15.75" customHeight="1" x14ac:dyDescent="0.25">
      <c r="B47" s="80" t="s">
        <v>40</v>
      </c>
    </row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mergeCells count="14">
    <mergeCell ref="I20:I21"/>
    <mergeCell ref="A13:B15"/>
    <mergeCell ref="C13:V15"/>
    <mergeCell ref="A16:B16"/>
    <mergeCell ref="C16:V16"/>
    <mergeCell ref="A20:A21"/>
    <mergeCell ref="B20:B21"/>
    <mergeCell ref="C20:C21"/>
    <mergeCell ref="J20:V20"/>
    <mergeCell ref="D20:D21"/>
    <mergeCell ref="E20:E21"/>
    <mergeCell ref="F20:F21"/>
    <mergeCell ref="G20:G21"/>
    <mergeCell ref="H20:H21"/>
  </mergeCells>
  <dataValidations count="1">
    <dataValidation type="list" allowBlank="1" showErrorMessage="1" sqref="I22:I23" xr:uid="{A936336D-BE67-47A7-AB00-1B3E4DA3E77B}">
      <formula1>$N$8:$O$8</formula1>
    </dataValidation>
  </dataValidations>
  <pageMargins left="0.7" right="0.7" top="0.75" bottom="0.75" header="0" footer="0"/>
  <pageSetup paperSize="5" scale="4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Z1030"/>
  <sheetViews>
    <sheetView showGridLines="0" zoomScale="70" zoomScaleNormal="70" workbookViewId="0">
      <pane ySplit="21" topLeftCell="A22" activePane="bottomLeft" state="frozen"/>
      <selection pane="bottomLeft" activeCell="A13" sqref="A13:B15"/>
    </sheetView>
  </sheetViews>
  <sheetFormatPr baseColWidth="10" defaultColWidth="14.42578125" defaultRowHeight="15" customHeight="1" x14ac:dyDescent="0.25"/>
  <cols>
    <col min="1" max="1" width="27.42578125" customWidth="1"/>
    <col min="2" max="2" width="15" customWidth="1"/>
    <col min="3" max="3" width="66.42578125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.85546875" customWidth="1"/>
    <col min="9" max="9" width="47.140625" bestFit="1" customWidth="1"/>
    <col min="10" max="10" width="10.7109375" customWidth="1"/>
    <col min="11" max="11" width="13.28515625" customWidth="1"/>
    <col min="12" max="12" width="10.7109375" customWidth="1"/>
    <col min="13" max="13" width="11.42578125" customWidth="1"/>
    <col min="14" max="14" width="19.28515625" customWidth="1"/>
    <col min="15" max="15" width="11.42578125" customWidth="1"/>
    <col min="16" max="16" width="16.7109375" customWidth="1"/>
    <col min="17" max="17" width="11.42578125" customWidth="1"/>
    <col min="18" max="18" width="15.85546875" hidden="1" customWidth="1"/>
    <col min="19" max="19" width="11.42578125" hidden="1" customWidth="1"/>
    <col min="20" max="20" width="15.28515625" hidden="1" customWidth="1"/>
    <col min="21" max="21" width="14.28515625" hidden="1" customWidth="1"/>
    <col min="22" max="22" width="20.28515625" customWidth="1"/>
    <col min="23" max="24" width="10.7109375" hidden="1" customWidth="1"/>
    <col min="25" max="26" width="10.7109375" customWidth="1"/>
  </cols>
  <sheetData>
    <row r="1" spans="1:26" x14ac:dyDescent="0.25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5" t="str">
        <f>'05.05.03.33.03.005 - PMU'!A7</f>
        <v>AGOSTO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8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82" t="s">
        <v>47</v>
      </c>
      <c r="B11" s="1"/>
      <c r="C11" s="5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3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90" t="s">
        <v>6</v>
      </c>
      <c r="B13" s="91"/>
      <c r="C13" s="96" t="s">
        <v>7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1"/>
      <c r="W13" s="1"/>
      <c r="X13" s="1"/>
      <c r="Y13" s="1"/>
      <c r="Z13" s="1"/>
    </row>
    <row r="14" spans="1:26" ht="12.75" customHeight="1" x14ac:dyDescent="0.25">
      <c r="A14" s="92"/>
      <c r="B14" s="93"/>
      <c r="C14" s="9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3"/>
      <c r="W14" s="1"/>
      <c r="X14" s="1"/>
      <c r="Y14" s="1"/>
      <c r="Z14" s="1"/>
    </row>
    <row r="15" spans="1:26" ht="28.5" customHeight="1" x14ac:dyDescent="0.25">
      <c r="A15" s="94"/>
      <c r="B15" s="95"/>
      <c r="C15" s="94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5"/>
      <c r="W15" s="1"/>
      <c r="X15" s="1"/>
      <c r="Y15" s="1"/>
      <c r="Z15" s="1"/>
    </row>
    <row r="16" spans="1:26" x14ac:dyDescent="0.25">
      <c r="A16" s="100" t="s">
        <v>8</v>
      </c>
      <c r="B16" s="89"/>
      <c r="C16" s="101" t="s">
        <v>9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9"/>
      <c r="W16" s="1"/>
      <c r="X16" s="1"/>
      <c r="Y16" s="1"/>
      <c r="Z16" s="1"/>
    </row>
    <row r="20" spans="1:26" ht="15" customHeight="1" x14ac:dyDescent="0.25">
      <c r="A20" s="84" t="s">
        <v>10</v>
      </c>
      <c r="B20" s="84" t="s">
        <v>11</v>
      </c>
      <c r="C20" s="84" t="s">
        <v>12</v>
      </c>
      <c r="D20" s="84" t="s">
        <v>14</v>
      </c>
      <c r="E20" s="84" t="s">
        <v>15</v>
      </c>
      <c r="F20" s="84" t="s">
        <v>16</v>
      </c>
      <c r="G20" s="84" t="s">
        <v>17</v>
      </c>
      <c r="H20" s="84" t="s">
        <v>18</v>
      </c>
      <c r="I20" s="84" t="s">
        <v>19</v>
      </c>
      <c r="J20" s="87" t="s">
        <v>20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</row>
    <row r="21" spans="1:26" ht="25.5" customHeight="1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12" t="s">
        <v>21</v>
      </c>
      <c r="K21" s="12" t="s">
        <v>22</v>
      </c>
      <c r="L21" s="12" t="s">
        <v>23</v>
      </c>
      <c r="M21" s="12" t="s">
        <v>24</v>
      </c>
      <c r="N21" s="12" t="s">
        <v>25</v>
      </c>
      <c r="O21" s="12" t="s">
        <v>26</v>
      </c>
      <c r="P21" s="12" t="s">
        <v>27</v>
      </c>
      <c r="Q21" s="12" t="s">
        <v>0</v>
      </c>
      <c r="R21" s="12" t="s">
        <v>28</v>
      </c>
      <c r="S21" s="12" t="s">
        <v>29</v>
      </c>
      <c r="T21" s="12" t="s">
        <v>30</v>
      </c>
      <c r="U21" s="12" t="s">
        <v>31</v>
      </c>
      <c r="V21" s="15" t="s">
        <v>32</v>
      </c>
    </row>
    <row r="22" spans="1:26" ht="20.100000000000001" customHeight="1" x14ac:dyDescent="0.25">
      <c r="A22" s="67" t="str">
        <f ca="1">IFERROR(__xludf.DUMMYFUNCTION("IMPORTRANGE(""https://docs.google.com/spreadsheets/d/1326rdUM6oOTA_5T6U_eA-Yqy4OMk6d_RGd_Z1bKVaC8/edit#gid=1459860096"",""'32.04.002 Ciudades'!g10:g30"")"),"REGIÓN METROPOLITANA")</f>
        <v>REGIÓN METROPOLITANA</v>
      </c>
      <c r="B22" s="67" t="str">
        <f t="shared" ref="B22:B39" ca="1" si="0">MID(X22,17,30)</f>
        <v xml:space="preserve"> VITACURA</v>
      </c>
      <c r="C22" s="67" t="str">
        <f ca="1">IFERROR(__xludf.DUMMYFUNCTION("IMPORTRANGE(""https://docs.google.com/spreadsheets/d/1326rdUM6oOTA_5T6U_eA-Yqy4OMk6d_RGd_Z1bKVaC8/edit#gid=1459860096"",""'32.04.002 Ciudades'!i10:i30"")"),"Ciclo Parque Mapocho 42k, tramo 03 a 05, Vitacura")</f>
        <v>Ciclo Parque Mapocho 42k, tramo 03 a 05, Vitacura</v>
      </c>
      <c r="D22" s="67" t="str">
        <f ca="1">IFERROR(__xludf.DUMMYFUNCTION("IMPORTRANGE(""https://docs.google.com/spreadsheets/d/1326rdUM6oOTA_5T6U_eA-Yqy4OMk6d_RGd_Z1bKVaC8/edit#gid=1459860096"",""'32.04.002 Ciudades'!n10:n30"")"),"En ejecución ")</f>
        <v xml:space="preserve">En ejecución </v>
      </c>
      <c r="E22" s="68">
        <f ca="1">IFERROR(__xludf.DUMMYFUNCTION("IMPORTRANGE(""https://docs.google.com/spreadsheets/d/1326rdUM6oOTA_5T6U_eA-Yqy4OMk6d_RGd_Z1bKVaC8/edit#gid=1459860096"",""'32.04.002 Ciudades'!m10:m30"")"),44838)</f>
        <v>44838</v>
      </c>
      <c r="F22" s="69">
        <f ca="1">IFERROR(__xludf.DUMMYFUNCTION("IMPORTRANGE(""https://docs.google.com/spreadsheets/d/1326rdUM6oOTA_5T6U_eA-Yqy4OMk6d_RGd_Z1bKVaC8/edit#gid=1459860096"",""'32.04.002 Ciudades'!p10:p30"")"),4708643000)</f>
        <v>4708643000</v>
      </c>
      <c r="G22" s="67" t="str">
        <f ca="1">IFERROR(__xludf.DUMMYFUNCTION("IMPORTRANGE(""https://docs.google.com/spreadsheets/d/1326rdUM6oOTA_5T6U_eA-Yqy4OMk6d_RGd_Z1bKVaC8/edit#gid=1459860096"",""'32.04.002 Ciudades'!n10:n30"")"),"En ejecución ")</f>
        <v xml:space="preserve">En ejecución </v>
      </c>
      <c r="H22" s="70">
        <f ca="1">IFERROR(__xludf.DUMMYFUNCTION("IMPORTRANGE(""https://docs.google.com/spreadsheets/d/1326rdUM6oOTA_5T6U_eA-Yqy4OMk6d_RGd_Z1bKVaC8/edit#gid=1459860096"",""'32.04.002 Ciudades'!ad10:ad30"")"),1648025050)</f>
        <v>1648025050</v>
      </c>
      <c r="I22" s="83" t="s">
        <v>48</v>
      </c>
      <c r="J22" s="72" t="str">
        <f ca="1">IFERROR(__xludf.DUMMYFUNCTION("IMPORTRANGE(""https://docs.google.com/spreadsheets/d/1326rdUM6oOTA_5T6U_eA-Yqy4OMk6d_RGd_Z1bKVaC8/edit#gid=1459860096"",""'32.04.002 Ciudades'!r10:r30"")"),"")</f>
        <v/>
      </c>
      <c r="K22" s="72" t="str">
        <f ca="1">IFERROR(__xludf.DUMMYFUNCTION("IMPORTRANGE(""https://docs.google.com/spreadsheets/d/1326rdUM6oOTA_5T6U_eA-Yqy4OMk6d_RGd_Z1bKVaC8/edit#gid=1459860096"",""'32.04.002 Ciudades'!s10:s30"")"),"")</f>
        <v/>
      </c>
      <c r="L22" s="72" t="str">
        <f ca="1">IFERROR(__xludf.DUMMYFUNCTION("IMPORTRANGE(""https://docs.google.com/spreadsheets/d/1326rdUM6oOTA_5T6U_eA-Yqy4OMk6d_RGd_Z1bKVaC8/edit#gid=1459860096"",""'32.04.002 Ciudades'!t10:t30"")"),"")</f>
        <v/>
      </c>
      <c r="M22" s="72" t="str">
        <f ca="1">IFERROR(__xludf.DUMMYFUNCTION("IMPORTRANGE(""https://docs.google.com/spreadsheets/d/1326rdUM6oOTA_5T6U_eA-Yqy4OMk6d_RGd_Z1bKVaC8/edit#gid=1459860096"",""'32.04.002 Ciudades'!u10:u30"")"),"")</f>
        <v/>
      </c>
      <c r="N22" s="70">
        <f ca="1">IFERROR(__xludf.DUMMYFUNCTION("IMPORTRANGE(""https://docs.google.com/spreadsheets/d/1326rdUM6oOTA_5T6U_eA-Yqy4OMk6d_RGd_Z1bKVaC8/edit#gid=1459860096"",""'32.04.002 Ciudades'!v10:v30"")"),1648025050)</f>
        <v>1648025050</v>
      </c>
      <c r="O22" s="72" t="str">
        <f ca="1">IFERROR(__xludf.DUMMYFUNCTION("IMPORTRANGE(""https://docs.google.com/spreadsheets/d/1326rdUM6oOTA_5T6U_eA-Yqy4OMk6d_RGd_Z1bKVaC8/edit#gid=1459860096"",""'32.04.002 Ciudades'!w10:w30"")"),"")</f>
        <v/>
      </c>
      <c r="P22" s="72" t="str">
        <f ca="1">IFERROR(__xludf.DUMMYFUNCTION("IMPORTRANGE(""https://docs.google.com/spreadsheets/d/1326rdUM6oOTA_5T6U_eA-Yqy4OMk6d_RGd_Z1bKVaC8/edit#gid=1459860096"",""'32.04.002 Ciudades'!x10:x30"")"),"")</f>
        <v/>
      </c>
      <c r="Q22" s="72" t="str">
        <f ca="1">IFERROR(__xludf.DUMMYFUNCTION("IMPORTRANGE(""https://docs.google.com/spreadsheets/d/1326rdUM6oOTA_5T6U_eA-Yqy4OMk6d_RGd_Z1bKVaC8/edit#gid=1459860096"",""'32.04.002 Ciudades'!y10:y30"")"),"")</f>
        <v/>
      </c>
      <c r="R22" s="72" t="str">
        <f ca="1">IFERROR(__xludf.DUMMYFUNCTION("IMPORTRANGE(""https://docs.google.com/spreadsheets/d/1326rdUM6oOTA_5T6U_eA-Yqy4OMk6d_RGd_Z1bKVaC8/edit#gid=1459860096"",""'32.04.002 Ciudades'!z10:z30"")"),"")</f>
        <v/>
      </c>
      <c r="S22" s="72" t="str">
        <f ca="1">IFERROR(__xludf.DUMMYFUNCTION("IMPORTRANGE(""https://docs.google.com/spreadsheets/d/1326rdUM6oOTA_5T6U_eA-Yqy4OMk6d_RGd_Z1bKVaC8/edit#gid=1459860096"",""'32.04.002 Ciudades'!aa10:aa30"")"),"")</f>
        <v/>
      </c>
      <c r="T22" s="72" t="str">
        <f ca="1">IFERROR(__xludf.DUMMYFUNCTION("IMPORTRANGE(""https://docs.google.com/spreadsheets/d/1326rdUM6oOTA_5T6U_eA-Yqy4OMk6d_RGd_Z1bKVaC8/edit#gid=1459860096"",""'32.04.002 Ciudades'!ab10:ab30"")"),"")</f>
        <v/>
      </c>
      <c r="U22" s="72" t="str">
        <f ca="1">IFERROR(__xludf.DUMMYFUNCTION("IMPORTRANGE(""https://docs.google.com/spreadsheets/d/1326rdUM6oOTA_5T6U_eA-Yqy4OMk6d_RGd_Z1bKVaC8/edit#gid=1459860096"",""'32.04.002 Ciudades'!ac10:ac30"")"),"")</f>
        <v/>
      </c>
      <c r="V22" s="73">
        <f ca="1">IFERROR(__xludf.DUMMYFUNCTION("IMPORTRANGE(""https://docs.google.com/spreadsheets/d/1326rdUM6oOTA_5T6U_eA-Yqy4OMk6d_RGd_Z1bKVaC8/edit#gid=1459860096"",""'32.04.002 Ciudades'!ad10:ad30"")"),1648025050)</f>
        <v>1648025050</v>
      </c>
      <c r="W22" s="74"/>
      <c r="X22" s="74" t="str">
        <f ca="1">IFERROR(__xludf.DUMMYFUNCTION("IMPORTRANGE(""https://docs.google.com/spreadsheets/d/1326rdUM6oOTA_5T6U_eA-Yqy4OMk6d_RGd_Z1bKVaC8/edit#gid=1459860096"",""'32.04.002 Ciudades'!f10:f30"")"),"MUNICIPALIDAD DE VITACURA")</f>
        <v>MUNICIPALIDAD DE VITACURA</v>
      </c>
      <c r="Y22" s="74"/>
      <c r="Z22" s="74"/>
    </row>
    <row r="23" spans="1:26" ht="20.100000000000001" customHeight="1" x14ac:dyDescent="0.25">
      <c r="A23" s="67" t="str">
        <f ca="1">IFERROR(__xludf.DUMMYFUNCTION("""COMPUTED_VALUE"""),"REGIÓN DE ÑUBLE")</f>
        <v>REGIÓN DE ÑUBLE</v>
      </c>
      <c r="B23" s="67" t="str">
        <f t="shared" ca="1" si="0"/>
        <v xml:space="preserve"> CHILLÁN</v>
      </c>
      <c r="C23" s="67" t="str">
        <f ca="1">IFERROR(__xludf.DUMMYFUNCTION("""COMPUTED_VALUE"""),"Recambio Masivo de Alumbrado Público a Tecnología LED, Chillán ")</f>
        <v xml:space="preserve">Recambio Masivo de Alumbrado Público a Tecnología LED, Chillán </v>
      </c>
      <c r="D23" s="67" t="str">
        <f ca="1">IFERROR(__xludf.DUMMYFUNCTION("""COMPUTED_VALUE"""),"En ejecución ")</f>
        <v xml:space="preserve">En ejecución </v>
      </c>
      <c r="E23" s="68">
        <f ca="1">IFERROR(__xludf.DUMMYFUNCTION("""COMPUTED_VALUE"""),43593)</f>
        <v>43593</v>
      </c>
      <c r="F23" s="69">
        <f ca="1">IFERROR(__xludf.DUMMYFUNCTION("""COMPUTED_VALUE"""),4109817510)</f>
        <v>4109817510</v>
      </c>
      <c r="G23" s="67" t="str">
        <f ca="1">IFERROR(__xludf.DUMMYFUNCTION("""COMPUTED_VALUE"""),"En ejecución ")</f>
        <v xml:space="preserve">En ejecución </v>
      </c>
      <c r="H23" s="70">
        <f ca="1">IFERROR(__xludf.DUMMYFUNCTION("""COMPUTED_VALUE"""),2434674675)</f>
        <v>2434674675</v>
      </c>
      <c r="I23" s="83" t="s">
        <v>48</v>
      </c>
      <c r="J23" s="72"/>
      <c r="K23" s="72"/>
      <c r="L23" s="72"/>
      <c r="M23" s="72"/>
      <c r="N23" s="70">
        <f ca="1">IFERROR(__xludf.DUMMYFUNCTION("""COMPUTED_VALUE"""),1123696004)</f>
        <v>1123696004</v>
      </c>
      <c r="O23" s="72"/>
      <c r="P23" s="70">
        <f ca="1">IFERROR(__xludf.DUMMYFUNCTION("""COMPUTED_VALUE"""),1310978671)</f>
        <v>1310978671</v>
      </c>
      <c r="Q23" s="72"/>
      <c r="R23" s="72"/>
      <c r="S23" s="72"/>
      <c r="T23" s="72"/>
      <c r="U23" s="72"/>
      <c r="V23" s="73">
        <f ca="1">IFERROR(__xludf.DUMMYFUNCTION("""COMPUTED_VALUE"""),2434674675)</f>
        <v>2434674675</v>
      </c>
      <c r="W23" s="74"/>
      <c r="X23" s="74" t="str">
        <f ca="1">IFERROR(__xludf.DUMMYFUNCTION("""COMPUTED_VALUE"""),"MUNICIPALIDAD DE CHILLÁN")</f>
        <v>MUNICIPALIDAD DE CHILLÁN</v>
      </c>
      <c r="Y23" s="74"/>
      <c r="Z23" s="74"/>
    </row>
    <row r="24" spans="1:26" x14ac:dyDescent="0.25">
      <c r="A24" s="67"/>
      <c r="B24" s="67" t="str">
        <f t="shared" si="0"/>
        <v/>
      </c>
      <c r="C24" s="67"/>
      <c r="D24" s="67"/>
      <c r="E24" s="67"/>
      <c r="F24" s="69"/>
      <c r="G24" s="67"/>
      <c r="H24" s="70"/>
      <c r="I24" s="71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4"/>
      <c r="X24" s="74"/>
      <c r="Y24" s="74"/>
      <c r="Z24" s="74"/>
    </row>
    <row r="25" spans="1:26" x14ac:dyDescent="0.25">
      <c r="A25" s="67"/>
      <c r="B25" s="67" t="str">
        <f t="shared" si="0"/>
        <v/>
      </c>
      <c r="C25" s="67"/>
      <c r="D25" s="67"/>
      <c r="E25" s="67"/>
      <c r="F25" s="69"/>
      <c r="G25" s="67"/>
      <c r="H25" s="70"/>
      <c r="I25" s="71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3"/>
      <c r="W25" s="74"/>
      <c r="X25" s="74"/>
      <c r="Y25" s="74"/>
      <c r="Z25" s="74"/>
    </row>
    <row r="26" spans="1:26" hidden="1" x14ac:dyDescent="0.25">
      <c r="A26" s="67"/>
      <c r="B26" s="67" t="str">
        <f t="shared" si="0"/>
        <v/>
      </c>
      <c r="C26" s="67"/>
      <c r="D26" s="67"/>
      <c r="E26" s="67"/>
      <c r="F26" s="69"/>
      <c r="G26" s="67"/>
      <c r="H26" s="70"/>
      <c r="I26" s="71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3"/>
      <c r="W26" s="74"/>
      <c r="X26" s="74"/>
      <c r="Y26" s="74"/>
      <c r="Z26" s="74"/>
    </row>
    <row r="27" spans="1:26" hidden="1" x14ac:dyDescent="0.25">
      <c r="A27" s="67"/>
      <c r="B27" s="67" t="str">
        <f t="shared" si="0"/>
        <v/>
      </c>
      <c r="C27" s="67"/>
      <c r="D27" s="67"/>
      <c r="E27" s="67"/>
      <c r="F27" s="69"/>
      <c r="G27" s="67"/>
      <c r="H27" s="70"/>
      <c r="I27" s="71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3"/>
      <c r="W27" s="74"/>
      <c r="X27" s="74"/>
      <c r="Y27" s="74"/>
      <c r="Z27" s="74"/>
    </row>
    <row r="28" spans="1:26" hidden="1" x14ac:dyDescent="0.25">
      <c r="A28" s="67"/>
      <c r="B28" s="67" t="str">
        <f t="shared" si="0"/>
        <v/>
      </c>
      <c r="C28" s="67"/>
      <c r="D28" s="67"/>
      <c r="E28" s="67"/>
      <c r="F28" s="69"/>
      <c r="G28" s="67"/>
      <c r="H28" s="70"/>
      <c r="I28" s="7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3"/>
      <c r="W28" s="74"/>
      <c r="X28" s="74"/>
      <c r="Y28" s="74"/>
      <c r="Z28" s="74"/>
    </row>
    <row r="29" spans="1:26" hidden="1" x14ac:dyDescent="0.25">
      <c r="A29" s="67"/>
      <c r="B29" s="67" t="str">
        <f t="shared" si="0"/>
        <v/>
      </c>
      <c r="C29" s="67"/>
      <c r="D29" s="67"/>
      <c r="E29" s="67"/>
      <c r="F29" s="69"/>
      <c r="G29" s="67"/>
      <c r="H29" s="70"/>
      <c r="I29" s="71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3"/>
      <c r="W29" s="74"/>
      <c r="X29" s="74"/>
      <c r="Y29" s="74"/>
      <c r="Z29" s="74"/>
    </row>
    <row r="30" spans="1:26" hidden="1" x14ac:dyDescent="0.25">
      <c r="A30" s="67"/>
      <c r="B30" s="67" t="str">
        <f t="shared" si="0"/>
        <v/>
      </c>
      <c r="C30" s="67"/>
      <c r="D30" s="67"/>
      <c r="E30" s="67"/>
      <c r="F30" s="69"/>
      <c r="G30" s="67"/>
      <c r="H30" s="70"/>
      <c r="I30" s="71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3"/>
      <c r="W30" s="74"/>
      <c r="X30" s="74"/>
      <c r="Y30" s="74"/>
      <c r="Z30" s="74"/>
    </row>
    <row r="31" spans="1:26" hidden="1" x14ac:dyDescent="0.25">
      <c r="A31" s="67"/>
      <c r="B31" s="67" t="str">
        <f t="shared" si="0"/>
        <v/>
      </c>
      <c r="C31" s="67"/>
      <c r="D31" s="67"/>
      <c r="E31" s="67"/>
      <c r="F31" s="69"/>
      <c r="G31" s="67"/>
      <c r="H31" s="70"/>
      <c r="I31" s="71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3"/>
      <c r="W31" s="74"/>
      <c r="X31" s="74"/>
      <c r="Y31" s="74"/>
      <c r="Z31" s="74"/>
    </row>
    <row r="32" spans="1:26" hidden="1" x14ac:dyDescent="0.25">
      <c r="A32" s="67"/>
      <c r="B32" s="67" t="str">
        <f t="shared" si="0"/>
        <v/>
      </c>
      <c r="C32" s="67"/>
      <c r="D32" s="67"/>
      <c r="E32" s="67"/>
      <c r="F32" s="69"/>
      <c r="G32" s="67"/>
      <c r="H32" s="70"/>
      <c r="I32" s="71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3"/>
      <c r="W32" s="74"/>
      <c r="X32" s="74"/>
      <c r="Y32" s="74"/>
      <c r="Z32" s="74"/>
    </row>
    <row r="33" spans="1:26" hidden="1" x14ac:dyDescent="0.25">
      <c r="A33" s="67"/>
      <c r="B33" s="67" t="str">
        <f t="shared" si="0"/>
        <v/>
      </c>
      <c r="C33" s="67"/>
      <c r="D33" s="67"/>
      <c r="E33" s="67"/>
      <c r="F33" s="69"/>
      <c r="G33" s="67"/>
      <c r="H33" s="70"/>
      <c r="I33" s="71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3"/>
      <c r="W33" s="74"/>
      <c r="X33" s="74"/>
      <c r="Y33" s="74"/>
      <c r="Z33" s="74"/>
    </row>
    <row r="34" spans="1:26" hidden="1" x14ac:dyDescent="0.25">
      <c r="A34" s="67"/>
      <c r="B34" s="67" t="str">
        <f t="shared" si="0"/>
        <v/>
      </c>
      <c r="C34" s="67"/>
      <c r="D34" s="67"/>
      <c r="E34" s="67"/>
      <c r="F34" s="69"/>
      <c r="G34" s="67"/>
      <c r="H34" s="70"/>
      <c r="I34" s="71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  <c r="W34" s="74"/>
      <c r="X34" s="74"/>
      <c r="Y34" s="74"/>
      <c r="Z34" s="74"/>
    </row>
    <row r="35" spans="1:26" hidden="1" x14ac:dyDescent="0.25">
      <c r="A35" s="67"/>
      <c r="B35" s="67" t="str">
        <f t="shared" si="0"/>
        <v/>
      </c>
      <c r="C35" s="67"/>
      <c r="D35" s="67"/>
      <c r="E35" s="67"/>
      <c r="F35" s="69"/>
      <c r="G35" s="67"/>
      <c r="H35" s="70"/>
      <c r="I35" s="71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3"/>
      <c r="W35" s="74"/>
      <c r="X35" s="74"/>
      <c r="Y35" s="74"/>
      <c r="Z35" s="74"/>
    </row>
    <row r="36" spans="1:26" hidden="1" x14ac:dyDescent="0.25">
      <c r="A36" s="67"/>
      <c r="B36" s="67" t="str">
        <f t="shared" si="0"/>
        <v/>
      </c>
      <c r="C36" s="67"/>
      <c r="D36" s="67"/>
      <c r="E36" s="67"/>
      <c r="F36" s="69"/>
      <c r="G36" s="67"/>
      <c r="H36" s="70"/>
      <c r="I36" s="71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3"/>
      <c r="W36" s="74"/>
      <c r="X36" s="74"/>
      <c r="Y36" s="74"/>
      <c r="Z36" s="74"/>
    </row>
    <row r="37" spans="1:26" hidden="1" x14ac:dyDescent="0.25">
      <c r="A37" s="67"/>
      <c r="B37" s="67" t="str">
        <f t="shared" si="0"/>
        <v/>
      </c>
      <c r="C37" s="67"/>
      <c r="D37" s="67"/>
      <c r="E37" s="67"/>
      <c r="F37" s="69"/>
      <c r="G37" s="67"/>
      <c r="H37" s="70"/>
      <c r="I37" s="71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  <c r="W37" s="74"/>
      <c r="X37" s="74"/>
      <c r="Y37" s="74"/>
      <c r="Z37" s="74"/>
    </row>
    <row r="38" spans="1:26" hidden="1" x14ac:dyDescent="0.25">
      <c r="A38" s="67"/>
      <c r="B38" s="67" t="str">
        <f t="shared" si="0"/>
        <v/>
      </c>
      <c r="C38" s="67"/>
      <c r="D38" s="67"/>
      <c r="E38" s="67"/>
      <c r="F38" s="69"/>
      <c r="G38" s="67"/>
      <c r="H38" s="70"/>
      <c r="I38" s="71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3"/>
      <c r="W38" s="74"/>
      <c r="X38" s="74"/>
      <c r="Y38" s="74"/>
      <c r="Z38" s="74"/>
    </row>
    <row r="39" spans="1:26" hidden="1" x14ac:dyDescent="0.25">
      <c r="A39" s="67"/>
      <c r="B39" s="67" t="str">
        <f t="shared" si="0"/>
        <v/>
      </c>
      <c r="C39" s="67"/>
      <c r="D39" s="67"/>
      <c r="E39" s="67"/>
      <c r="F39" s="69"/>
      <c r="G39" s="67"/>
      <c r="H39" s="70"/>
      <c r="I39" s="71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3"/>
      <c r="W39" s="74"/>
      <c r="X39" s="74"/>
      <c r="Y39" s="74"/>
      <c r="Z39" s="74"/>
    </row>
    <row r="40" spans="1:26" hidden="1" x14ac:dyDescent="0.25">
      <c r="A40" s="67"/>
      <c r="B40" s="67"/>
      <c r="C40" s="67"/>
      <c r="D40" s="67"/>
      <c r="E40" s="67"/>
      <c r="F40" s="69"/>
      <c r="G40" s="67"/>
      <c r="H40" s="70"/>
      <c r="I40" s="71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4"/>
      <c r="X40" s="74"/>
      <c r="Y40" s="74"/>
      <c r="Z40" s="74"/>
    </row>
    <row r="41" spans="1:26" hidden="1" x14ac:dyDescent="0.25">
      <c r="A41" s="67"/>
      <c r="B41" s="67"/>
      <c r="C41" s="67"/>
      <c r="D41" s="67"/>
      <c r="E41" s="67"/>
      <c r="F41" s="69"/>
      <c r="G41" s="67"/>
      <c r="H41" s="70"/>
      <c r="I41" s="71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3"/>
      <c r="W41" s="74"/>
      <c r="X41" s="74"/>
      <c r="Y41" s="74"/>
      <c r="Z41" s="74"/>
    </row>
    <row r="42" spans="1:26" hidden="1" x14ac:dyDescent="0.25">
      <c r="A42" s="67"/>
      <c r="B42" s="67"/>
      <c r="C42" s="67"/>
      <c r="D42" s="67"/>
      <c r="E42" s="67"/>
      <c r="F42" s="69"/>
      <c r="G42" s="67"/>
      <c r="H42" s="70"/>
      <c r="I42" s="71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3"/>
      <c r="W42" s="74"/>
      <c r="X42" s="74"/>
      <c r="Y42" s="74"/>
      <c r="Z42" s="74"/>
    </row>
    <row r="43" spans="1:26" hidden="1" x14ac:dyDescent="0.25">
      <c r="A43" s="67"/>
      <c r="B43" s="67"/>
      <c r="C43" s="67"/>
      <c r="D43" s="67"/>
      <c r="E43" s="67"/>
      <c r="F43" s="69"/>
      <c r="G43" s="67"/>
      <c r="H43" s="70"/>
      <c r="I43" s="71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3"/>
      <c r="W43" s="74"/>
      <c r="X43" s="74"/>
      <c r="Y43" s="74"/>
      <c r="Z43" s="74"/>
    </row>
    <row r="44" spans="1:26" hidden="1" x14ac:dyDescent="0.25">
      <c r="A44" s="67"/>
      <c r="B44" s="67"/>
      <c r="C44" s="67"/>
      <c r="D44" s="67"/>
      <c r="E44" s="67"/>
      <c r="F44" s="69"/>
      <c r="G44" s="67"/>
      <c r="H44" s="70"/>
      <c r="I44" s="71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3"/>
      <c r="W44" s="74"/>
      <c r="X44" s="74"/>
      <c r="Y44" s="74"/>
      <c r="Z44" s="74"/>
    </row>
    <row r="45" spans="1:26" hidden="1" x14ac:dyDescent="0.25">
      <c r="A45" s="67"/>
      <c r="B45" s="67"/>
      <c r="C45" s="67"/>
      <c r="D45" s="67"/>
      <c r="E45" s="67"/>
      <c r="F45" s="69"/>
      <c r="G45" s="67"/>
      <c r="H45" s="70"/>
      <c r="I45" s="71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3"/>
      <c r="W45" s="74"/>
      <c r="X45" s="74"/>
      <c r="Y45" s="74"/>
      <c r="Z45" s="74"/>
    </row>
    <row r="46" spans="1:26" hidden="1" x14ac:dyDescent="0.25">
      <c r="A46" s="67"/>
      <c r="B46" s="67"/>
      <c r="C46" s="67"/>
      <c r="D46" s="67"/>
      <c r="E46" s="67"/>
      <c r="F46" s="69"/>
      <c r="G46" s="67"/>
      <c r="H46" s="70"/>
      <c r="I46" s="71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3"/>
      <c r="W46" s="74"/>
      <c r="X46" s="74"/>
      <c r="Y46" s="74"/>
      <c r="Z46" s="74"/>
    </row>
    <row r="47" spans="1:26" hidden="1" x14ac:dyDescent="0.25">
      <c r="A47" s="67"/>
      <c r="B47" s="67"/>
      <c r="C47" s="67"/>
      <c r="D47" s="67"/>
      <c r="E47" s="67"/>
      <c r="F47" s="69"/>
      <c r="G47" s="67"/>
      <c r="H47" s="70"/>
      <c r="I47" s="71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3"/>
      <c r="W47" s="74"/>
      <c r="X47" s="74"/>
      <c r="Y47" s="74"/>
      <c r="Z47" s="74"/>
    </row>
    <row r="48" spans="1:26" hidden="1" x14ac:dyDescent="0.25">
      <c r="A48" s="67"/>
      <c r="B48" s="67"/>
      <c r="C48" s="67"/>
      <c r="D48" s="67"/>
      <c r="E48" s="67"/>
      <c r="F48" s="69"/>
      <c r="G48" s="67"/>
      <c r="H48" s="70"/>
      <c r="I48" s="71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3"/>
      <c r="W48" s="74"/>
      <c r="X48" s="74"/>
      <c r="Y48" s="74"/>
      <c r="Z48" s="74"/>
    </row>
    <row r="49" spans="1:26" hidden="1" x14ac:dyDescent="0.25">
      <c r="A49" s="67"/>
      <c r="B49" s="67"/>
      <c r="C49" s="67"/>
      <c r="D49" s="67"/>
      <c r="E49" s="67"/>
      <c r="F49" s="69"/>
      <c r="G49" s="67"/>
      <c r="H49" s="70"/>
      <c r="I49" s="71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3"/>
      <c r="W49" s="74"/>
      <c r="X49" s="74"/>
      <c r="Y49" s="74"/>
      <c r="Z49" s="74"/>
    </row>
    <row r="50" spans="1:26" hidden="1" x14ac:dyDescent="0.25">
      <c r="A50" s="67"/>
      <c r="B50" s="67"/>
      <c r="C50" s="67"/>
      <c r="D50" s="67"/>
      <c r="E50" s="67"/>
      <c r="F50" s="69"/>
      <c r="G50" s="67"/>
      <c r="H50" s="70"/>
      <c r="I50" s="71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3"/>
      <c r="W50" s="74"/>
      <c r="X50" s="74"/>
      <c r="Y50" s="74"/>
      <c r="Z50" s="74"/>
    </row>
    <row r="51" spans="1:26" hidden="1" x14ac:dyDescent="0.25">
      <c r="A51" s="67"/>
      <c r="B51" s="67"/>
      <c r="C51" s="67"/>
      <c r="D51" s="67"/>
      <c r="E51" s="67"/>
      <c r="F51" s="69"/>
      <c r="G51" s="67"/>
      <c r="H51" s="70"/>
      <c r="I51" s="71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3"/>
      <c r="W51" s="74"/>
      <c r="X51" s="74"/>
      <c r="Y51" s="74"/>
      <c r="Z51" s="74"/>
    </row>
    <row r="52" spans="1:26" hidden="1" x14ac:dyDescent="0.25">
      <c r="A52" s="67"/>
      <c r="B52" s="67"/>
      <c r="C52" s="67"/>
      <c r="D52" s="67"/>
      <c r="E52" s="67"/>
      <c r="F52" s="69"/>
      <c r="G52" s="67"/>
      <c r="H52" s="70"/>
      <c r="I52" s="71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3"/>
      <c r="W52" s="74"/>
      <c r="X52" s="74"/>
      <c r="Y52" s="74"/>
      <c r="Z52" s="74"/>
    </row>
    <row r="53" spans="1:26" hidden="1" x14ac:dyDescent="0.25">
      <c r="A53" s="75"/>
      <c r="B53" s="75"/>
      <c r="C53" s="75"/>
      <c r="D53" s="71"/>
      <c r="E53" s="76"/>
      <c r="F53" s="71"/>
      <c r="G53" s="71"/>
      <c r="H53" s="77"/>
      <c r="I53" s="71"/>
      <c r="J53" s="71"/>
      <c r="K53" s="71"/>
      <c r="L53" s="71"/>
      <c r="M53" s="78"/>
      <c r="N53" s="78"/>
      <c r="O53" s="78"/>
      <c r="P53" s="78"/>
      <c r="Q53" s="78"/>
      <c r="R53" s="78"/>
      <c r="S53" s="78"/>
      <c r="T53" s="78"/>
      <c r="U53" s="78"/>
      <c r="V53" s="71"/>
      <c r="W53" s="74"/>
      <c r="X53" s="74"/>
      <c r="Y53" s="74"/>
      <c r="Z53" s="74"/>
    </row>
    <row r="54" spans="1:26" ht="15.75" hidden="1" customHeight="1" x14ac:dyDescent="0.25">
      <c r="A54" s="71"/>
      <c r="B54" s="71"/>
      <c r="C54" s="75"/>
      <c r="D54" s="71"/>
      <c r="E54" s="78"/>
      <c r="F54" s="71"/>
      <c r="G54" s="71"/>
      <c r="H54" s="77"/>
      <c r="I54" s="71"/>
      <c r="J54" s="71"/>
      <c r="K54" s="71"/>
      <c r="L54" s="71"/>
      <c r="M54" s="78"/>
      <c r="N54" s="78"/>
      <c r="O54" s="78"/>
      <c r="P54" s="78"/>
      <c r="Q54" s="78"/>
      <c r="R54" s="78"/>
      <c r="S54" s="78"/>
      <c r="T54" s="78"/>
      <c r="U54" s="78"/>
      <c r="V54" s="71"/>
      <c r="W54" s="74"/>
      <c r="X54" s="74"/>
      <c r="Y54" s="74"/>
      <c r="Z54" s="74"/>
    </row>
    <row r="55" spans="1:26" ht="15.75" customHeight="1" x14ac:dyDescent="0.25">
      <c r="F55" s="79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spans="1:26" ht="23.25" customHeight="1" x14ac:dyDescent="0.25">
      <c r="A56" s="63" t="s">
        <v>33</v>
      </c>
      <c r="B56" s="63"/>
      <c r="C56" s="63"/>
      <c r="D56" s="63"/>
      <c r="E56" s="64"/>
      <c r="F56" s="63">
        <f ca="1">SUM(F22:F54)</f>
        <v>8818460510</v>
      </c>
      <c r="G56" s="63"/>
      <c r="H56" s="63">
        <f ca="1">SUM(H22:H54)</f>
        <v>4082699725</v>
      </c>
      <c r="I56" s="63"/>
      <c r="J56" s="63">
        <f t="shared" ref="J56:V56" ca="1" si="1">SUM(J22:J54)</f>
        <v>0</v>
      </c>
      <c r="K56" s="63">
        <f t="shared" ca="1" si="1"/>
        <v>0</v>
      </c>
      <c r="L56" s="63">
        <f t="shared" ca="1" si="1"/>
        <v>0</v>
      </c>
      <c r="M56" s="63">
        <f t="shared" ca="1" si="1"/>
        <v>0</v>
      </c>
      <c r="N56" s="63">
        <f t="shared" ca="1" si="1"/>
        <v>2771721054</v>
      </c>
      <c r="O56" s="63">
        <f t="shared" ca="1" si="1"/>
        <v>0</v>
      </c>
      <c r="P56" s="63">
        <f t="shared" ca="1" si="1"/>
        <v>1310978671</v>
      </c>
      <c r="Q56" s="63">
        <f t="shared" ca="1" si="1"/>
        <v>0</v>
      </c>
      <c r="R56" s="63">
        <f t="shared" ca="1" si="1"/>
        <v>0</v>
      </c>
      <c r="S56" s="63">
        <f t="shared" ca="1" si="1"/>
        <v>0</v>
      </c>
      <c r="T56" s="63">
        <f t="shared" ca="1" si="1"/>
        <v>0</v>
      </c>
      <c r="U56" s="63">
        <f t="shared" ca="1" si="1"/>
        <v>0</v>
      </c>
      <c r="V56" s="63">
        <f t="shared" ca="1" si="1"/>
        <v>4082699725</v>
      </c>
      <c r="W56" s="63" t="e">
        <f>SUM(#REF!)</f>
        <v>#REF!</v>
      </c>
      <c r="X56" s="65"/>
      <c r="Y56" s="66"/>
      <c r="Z56" s="66"/>
    </row>
    <row r="57" spans="1:26" ht="15.75" customHeight="1" x14ac:dyDescent="0.25"/>
    <row r="58" spans="1:26" ht="15.75" customHeight="1" x14ac:dyDescent="0.25">
      <c r="A58" s="80" t="s">
        <v>34</v>
      </c>
    </row>
    <row r="59" spans="1:26" ht="15.75" customHeight="1" x14ac:dyDescent="0.25">
      <c r="A59" s="80" t="s">
        <v>39</v>
      </c>
    </row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</sheetData>
  <mergeCells count="14">
    <mergeCell ref="I20:I21"/>
    <mergeCell ref="A13:B15"/>
    <mergeCell ref="C13:V15"/>
    <mergeCell ref="A16:B16"/>
    <mergeCell ref="C16:V16"/>
    <mergeCell ref="A20:A21"/>
    <mergeCell ref="B20:B21"/>
    <mergeCell ref="C20:C21"/>
    <mergeCell ref="J20:V20"/>
    <mergeCell ref="D20:D21"/>
    <mergeCell ref="E20:E21"/>
    <mergeCell ref="F20:F21"/>
    <mergeCell ref="G20:G21"/>
    <mergeCell ref="H20:H21"/>
  </mergeCells>
  <dataValidations count="2">
    <dataValidation type="list" allowBlank="1" showErrorMessage="1" sqref="I24:I54" xr:uid="{00000000-0002-0000-0500-000000000000}">
      <formula1>$M$8:$N$8</formula1>
    </dataValidation>
    <dataValidation type="list" allowBlank="1" showErrorMessage="1" sqref="I22:I23" xr:uid="{EE6B754E-1487-4DAD-ABCE-AFB687BCC5B8}">
      <formula1>$N$8:$O$8</formula1>
    </dataValidation>
  </dataValidations>
  <pageMargins left="0.7" right="0.7" top="0.75" bottom="0.75" header="0" footer="0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05.05.03.24.03.406 PTRAC</vt:lpstr>
      <vt:lpstr>05.05.03.33.03.005 - PMU</vt:lpstr>
      <vt:lpstr>05.05.03.33.03.006 PMB</vt:lpstr>
      <vt:lpstr>05.05.03.33.03.100 FRC</vt:lpstr>
      <vt:lpstr>05.05.03.33.03.111 PRBIPE</vt:lpstr>
      <vt:lpstr>05.05.03.33.03.112 PREAVS</vt:lpstr>
      <vt:lpstr>05.05.03.32.04.002 PRÉSTAMOS</vt:lpstr>
      <vt:lpstr>'05.05.03.24.03.406 PTRAC'!Área_de_impresión</vt:lpstr>
      <vt:lpstr>'05.05.03.32.04.002 PRÉSTAMOS'!Área_de_impresión</vt:lpstr>
      <vt:lpstr>'05.05.03.33.03.005 - PMU'!Área_de_impresión</vt:lpstr>
      <vt:lpstr>'05.05.03.33.03.006 PMB'!Área_de_impresión</vt:lpstr>
      <vt:lpstr>'05.05.03.33.03.100 FRC'!Área_de_impresión</vt:lpstr>
      <vt:lpstr>'05.05.03.33.03.111 PRBIPE'!Área_de_impresión</vt:lpstr>
      <vt:lpstr>'05.05.03.33.03.112 PREAVS'!Área_de_impresión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Cancino Pacheco</dc:creator>
  <cp:lastModifiedBy>JUAN IGNACIO CANCINO PACHECO</cp:lastModifiedBy>
  <cp:lastPrinted>2024-09-26T19:23:33Z</cp:lastPrinted>
  <dcterms:created xsi:type="dcterms:W3CDTF">2024-09-26T19:28:41Z</dcterms:created>
  <dcterms:modified xsi:type="dcterms:W3CDTF">2024-09-26T19:28:41Z</dcterms:modified>
</cp:coreProperties>
</file>